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9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6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7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ranfield-my.sharepoint.com/personal/g_c_brown_cranfield_ac_uk/Documents/s294313/Write ups/4. Life Cycle/Data/"/>
    </mc:Choice>
  </mc:AlternateContent>
  <xr:revisionPtr revIDLastSave="9" documentId="8_{7DE9BCCF-8688-418E-906B-367EDE560D0C}" xr6:coauthVersionLast="47" xr6:coauthVersionMax="47" xr10:uidLastSave="{4956C164-F8FE-4CAA-B3BE-BE9559A76CB8}"/>
  <bookViews>
    <workbookView xWindow="-19310" yWindow="6640" windowWidth="19420" windowHeight="10300" xr2:uid="{0E3B674C-4DAA-4191-931B-F1392C10FC57}"/>
  </bookViews>
  <sheets>
    <sheet name="Quoting" sheetId="9" r:id="rId1"/>
    <sheet name="Flow and Constent" sheetId="8" r:id="rId2"/>
    <sheet name="Index" sheetId="1" r:id="rId3"/>
    <sheet name="CPI" sheetId="30" r:id="rId4"/>
    <sheet name="Wet Well" sheetId="25" state="hidden" r:id="rId5"/>
    <sheet name="Fencing" sheetId="11" r:id="rId6"/>
    <sheet name="Septic Tank Design" sheetId="24" r:id="rId7"/>
    <sheet name="SAF - Design" sheetId="3" r:id="rId8"/>
    <sheet name="ABR Design" sheetId="21" r:id="rId9"/>
    <sheet name="Sectional GRP Tanks" sheetId="19" state="hidden" r:id="rId10"/>
    <sheet name="GRP Costing" sheetId="15" state="hidden" r:id="rId11"/>
    <sheet name="Wetland Design" sheetId="16" r:id="rId12"/>
    <sheet name="Wetland Operation" sheetId="17" r:id="rId13"/>
    <sheet name="Sheet1" sheetId="23" state="hidden" r:id="rId14"/>
    <sheet name="Septic Tank - BS" sheetId="4" state="hidden" r:id="rId15"/>
    <sheet name="STS" sheetId="12" r:id="rId16"/>
    <sheet name="SAF" sheetId="13" state="hidden" r:id="rId17"/>
    <sheet name="SAF-mk2" sheetId="32" r:id="rId18"/>
    <sheet name="ABR-T" sheetId="2" r:id="rId19"/>
    <sheet name="ABR-Exca" sheetId="20" state="hidden" r:id="rId20"/>
    <sheet name="VF" sheetId="5" r:id="rId21"/>
    <sheet name="AHF" sheetId="6" r:id="rId22"/>
    <sheet name="Pumping" sheetId="31" state="hidden" r:id="rId23"/>
    <sheet name="Hedge Fencing" sheetId="26" state="hidden" r:id="rId24"/>
    <sheet name="nth" sheetId="33" state="hidden" r:id="rId25"/>
    <sheet name="STS Summary" sheetId="10" state="hidden" r:id="rId26"/>
    <sheet name="SAF Summary" sheetId="14" state="hidden" r:id="rId27"/>
    <sheet name="ABR Summary" sheetId="27" state="hidden" r:id="rId28"/>
    <sheet name="Wetland Summary" sheetId="18" state="hidden" r:id="rId29"/>
    <sheet name="ABR-Wetland" sheetId="28" state="hidden" r:id="rId30"/>
    <sheet name="Initial Comparison" sheetId="22" state="hidden" r:id="rId31"/>
    <sheet name="10 NPV" sheetId="29" state="hidden" r:id="rId32"/>
    <sheet name="METland" sheetId="7" state="hidden" r:id="rId33"/>
  </sheets>
  <externalReferences>
    <externalReference r:id="rId34"/>
    <externalReference r:id="rId35"/>
  </externalReferences>
  <definedNames>
    <definedName name="solver_adj" localSheetId="10" hidden="1">'GRP Costing'!$AT$7</definedName>
    <definedName name="solver_cvg" localSheetId="10" hidden="1">0.0001</definedName>
    <definedName name="solver_drv" localSheetId="10" hidden="1">1</definedName>
    <definedName name="solver_eng" localSheetId="10" hidden="1">1</definedName>
    <definedName name="solver_est" localSheetId="10" hidden="1">1</definedName>
    <definedName name="solver_itr" localSheetId="10" hidden="1">2147483647</definedName>
    <definedName name="solver_lhs1" localSheetId="10" hidden="1">'GRP Costing'!$AT$7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od" localSheetId="10" hidden="1">2147483647</definedName>
    <definedName name="solver_num" localSheetId="10" hidden="1">1</definedName>
    <definedName name="solver_nwt" localSheetId="10" hidden="1">1</definedName>
    <definedName name="solver_opt" localSheetId="10" hidden="1">'GRP Costing'!$BD$5</definedName>
    <definedName name="solver_pre" localSheetId="10" hidden="1">0.000001</definedName>
    <definedName name="solver_rbv" localSheetId="10" hidden="1">1</definedName>
    <definedName name="solver_rel1" localSheetId="10" hidden="1">1</definedName>
    <definedName name="solver_rhs1" localSheetId="10" hidden="1">'GRP Costing'!$AG$7</definedName>
    <definedName name="solver_rlx" localSheetId="10" hidden="1">2</definedName>
    <definedName name="solver_rsd" localSheetId="10" hidden="1">0</definedName>
    <definedName name="solver_scl" localSheetId="10" hidden="1">1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3</definedName>
    <definedName name="solver_val" localSheetId="10" hidden="1">2389.6</definedName>
    <definedName name="solver_ver" localSheetId="1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N144" i="13" l="1"/>
  <c r="GR136" i="13"/>
  <c r="S21" i="8"/>
  <c r="S20" i="8"/>
  <c r="H8" i="8"/>
  <c r="DU170" i="4"/>
  <c r="CG98" i="13"/>
  <c r="L52" i="12"/>
  <c r="L58" i="12"/>
  <c r="ER100" i="5"/>
  <c r="EL88" i="5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12" i="33"/>
  <c r="EY251" i="6"/>
  <c r="EY250" i="6"/>
  <c r="EY249" i="6"/>
  <c r="EN251" i="6"/>
  <c r="EN250" i="6"/>
  <c r="EN249" i="6"/>
  <c r="EC251" i="6"/>
  <c r="EC250" i="6"/>
  <c r="EC249" i="6"/>
  <c r="DR251" i="6"/>
  <c r="DR250" i="6"/>
  <c r="DR249" i="6"/>
  <c r="DG251" i="6"/>
  <c r="DG250" i="6"/>
  <c r="DG249" i="6"/>
  <c r="CV251" i="6"/>
  <c r="CV250" i="6"/>
  <c r="CV249" i="6"/>
  <c r="CK251" i="6"/>
  <c r="CK250" i="6"/>
  <c r="CK249" i="6"/>
  <c r="BO251" i="6"/>
  <c r="BO250" i="6"/>
  <c r="BO249" i="6"/>
  <c r="BD251" i="6"/>
  <c r="BD250" i="6"/>
  <c r="BD249" i="6"/>
  <c r="AS251" i="6"/>
  <c r="AS250" i="6"/>
  <c r="AS249" i="6"/>
  <c r="AH251" i="6"/>
  <c r="AH250" i="6"/>
  <c r="AH249" i="6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12" i="33"/>
  <c r="AF230" i="5"/>
  <c r="AF229" i="5"/>
  <c r="AF228" i="5"/>
  <c r="AQ230" i="5"/>
  <c r="AQ229" i="5"/>
  <c r="AQ228" i="5"/>
  <c r="BB230" i="5"/>
  <c r="BB229" i="5"/>
  <c r="BB228" i="5"/>
  <c r="BM230" i="5"/>
  <c r="BM229" i="5"/>
  <c r="BM228" i="5"/>
  <c r="CI230" i="5"/>
  <c r="CI229" i="5"/>
  <c r="CI228" i="5"/>
  <c r="CT230" i="5"/>
  <c r="CT229" i="5"/>
  <c r="CT228" i="5"/>
  <c r="DE230" i="5"/>
  <c r="DE229" i="5"/>
  <c r="DE228" i="5"/>
  <c r="DP230" i="5"/>
  <c r="DP229" i="5"/>
  <c r="DP228" i="5"/>
  <c r="EA230" i="5"/>
  <c r="EA229" i="5"/>
  <c r="EA228" i="5"/>
  <c r="EL230" i="5"/>
  <c r="EL229" i="5"/>
  <c r="EL228" i="5"/>
  <c r="EW230" i="5"/>
  <c r="EW229" i="5"/>
  <c r="EW228" i="5"/>
  <c r="D30" i="33"/>
  <c r="AK112" i="20"/>
  <c r="AK111" i="20"/>
  <c r="AK110" i="20"/>
  <c r="AV112" i="20"/>
  <c r="AV111" i="20"/>
  <c r="AV110" i="20"/>
  <c r="BG112" i="20"/>
  <c r="BG111" i="20"/>
  <c r="BG110" i="20"/>
  <c r="BR112" i="20"/>
  <c r="BR111" i="20"/>
  <c r="BR110" i="20"/>
  <c r="CN112" i="20"/>
  <c r="CN111" i="20"/>
  <c r="CN110" i="20"/>
  <c r="CY112" i="20"/>
  <c r="CY111" i="20"/>
  <c r="CY110" i="20"/>
  <c r="DJ112" i="20"/>
  <c r="DJ111" i="20"/>
  <c r="DJ110" i="20"/>
  <c r="DU112" i="20"/>
  <c r="DU111" i="20"/>
  <c r="DU110" i="20"/>
  <c r="EF112" i="20"/>
  <c r="EF111" i="20"/>
  <c r="EF110" i="20"/>
  <c r="EQ112" i="20"/>
  <c r="EQ111" i="20"/>
  <c r="EQ110" i="20"/>
  <c r="FB112" i="20"/>
  <c r="FB111" i="20"/>
  <c r="FB110" i="20"/>
  <c r="CT182" i="32"/>
  <c r="CT183" i="32"/>
  <c r="DH182" i="32"/>
  <c r="DV182" i="32"/>
  <c r="EJ182" i="32"/>
  <c r="EX182" i="32"/>
  <c r="FL182" i="32"/>
  <c r="FZ182" i="32"/>
  <c r="FZ182" i="13"/>
  <c r="FV169" i="12"/>
  <c r="FV180" i="12"/>
  <c r="GN183" i="32" l="1"/>
  <c r="GN181" i="32"/>
  <c r="GN182" i="32"/>
  <c r="GN144" i="32"/>
  <c r="GR136" i="32"/>
  <c r="GS108" i="32"/>
  <c r="GP104" i="32"/>
  <c r="GS104" i="32"/>
  <c r="GQ104" i="32"/>
  <c r="GR104" i="32" s="1"/>
  <c r="GD108" i="32"/>
  <c r="GA104" i="32"/>
  <c r="GB104" i="32"/>
  <c r="GC104" i="32" s="1"/>
  <c r="FP108" i="32"/>
  <c r="FM104" i="32"/>
  <c r="FN104" i="32"/>
  <c r="FO104" i="32" s="1"/>
  <c r="FB108" i="32"/>
  <c r="EY104" i="32"/>
  <c r="EZ104" i="32"/>
  <c r="FA104" i="32" s="1"/>
  <c r="EN108" i="32"/>
  <c r="EK104" i="32"/>
  <c r="EL104" i="32"/>
  <c r="EM104" i="32" s="1"/>
  <c r="EN104" i="32" s="1"/>
  <c r="DZ108" i="32"/>
  <c r="DW104" i="32"/>
  <c r="DX104" i="32"/>
  <c r="DY104" i="32" s="1"/>
  <c r="DL108" i="32"/>
  <c r="DI104" i="32"/>
  <c r="DL104" i="32" s="1"/>
  <c r="DH144" i="32" s="1"/>
  <c r="DJ104" i="32"/>
  <c r="DK104" i="32" s="1"/>
  <c r="CX108" i="32"/>
  <c r="BT144" i="32"/>
  <c r="BW110" i="32"/>
  <c r="BX111" i="32"/>
  <c r="CU104" i="32"/>
  <c r="CV104" i="32"/>
  <c r="CW104" i="32" s="1"/>
  <c r="GQ13" i="32"/>
  <c r="GC13" i="32"/>
  <c r="FO13" i="32"/>
  <c r="FA13" i="32"/>
  <c r="EM13" i="32"/>
  <c r="DY13" i="32"/>
  <c r="DK13" i="32"/>
  <c r="DG2" i="32"/>
  <c r="DH3" i="32"/>
  <c r="DJ3" i="32"/>
  <c r="DK3" i="32"/>
  <c r="DG5" i="32"/>
  <c r="DG6" i="32"/>
  <c r="DH6" i="32"/>
  <c r="DI6" i="32"/>
  <c r="DJ6" i="32"/>
  <c r="DK6" i="32"/>
  <c r="DG7" i="32"/>
  <c r="DH7" i="32"/>
  <c r="DI7" i="32"/>
  <c r="DJ7" i="32"/>
  <c r="DK7" i="32"/>
  <c r="DG8" i="32"/>
  <c r="DH8" i="32"/>
  <c r="DI8" i="32"/>
  <c r="DJ8" i="32"/>
  <c r="DK8" i="32"/>
  <c r="DG9" i="32"/>
  <c r="DH9" i="32"/>
  <c r="DI9" i="32"/>
  <c r="DJ9" i="32"/>
  <c r="DK9" i="32"/>
  <c r="DG11" i="32"/>
  <c r="DK11" i="32"/>
  <c r="CW13" i="32"/>
  <c r="CT3" i="32"/>
  <c r="CU3" i="32"/>
  <c r="CV3" i="32"/>
  <c r="CW3" i="32"/>
  <c r="CS5" i="32"/>
  <c r="CS6" i="32"/>
  <c r="CT6" i="32"/>
  <c r="CU6" i="32"/>
  <c r="CV6" i="32"/>
  <c r="CW6" i="32"/>
  <c r="CS7" i="32"/>
  <c r="CT7" i="32"/>
  <c r="CU7" i="32"/>
  <c r="CV7" i="32"/>
  <c r="CW7" i="32"/>
  <c r="CS8" i="32"/>
  <c r="CT8" i="32"/>
  <c r="CU8" i="32"/>
  <c r="CV8" i="32"/>
  <c r="CW8" i="32"/>
  <c r="CS9" i="32"/>
  <c r="CT9" i="32"/>
  <c r="CU9" i="32"/>
  <c r="CV9" i="32"/>
  <c r="CW9" i="32"/>
  <c r="CS11" i="32"/>
  <c r="CW11" i="32"/>
  <c r="GD135" i="32"/>
  <c r="FP135" i="32"/>
  <c r="FB135" i="32"/>
  <c r="FB136" i="32" s="1"/>
  <c r="EN135" i="32"/>
  <c r="CX135" i="32"/>
  <c r="CK135" i="32"/>
  <c r="BY135" i="32"/>
  <c r="BL135" i="32"/>
  <c r="AY135" i="32"/>
  <c r="AK135" i="32"/>
  <c r="W135" i="32"/>
  <c r="H135" i="32"/>
  <c r="GD134" i="32"/>
  <c r="GD136" i="32" s="1"/>
  <c r="FP134" i="32"/>
  <c r="FP136" i="32" s="1"/>
  <c r="FB134" i="32"/>
  <c r="EN134" i="32"/>
  <c r="EN136" i="32" s="1"/>
  <c r="DZ134" i="32"/>
  <c r="DL134" i="32"/>
  <c r="CX134" i="32"/>
  <c r="CX136" i="32" s="1"/>
  <c r="CK134" i="32"/>
  <c r="CK136" i="32" s="1"/>
  <c r="BY134" i="32"/>
  <c r="BY136" i="32" s="1"/>
  <c r="BL134" i="32"/>
  <c r="BL136" i="32" s="1"/>
  <c r="AY134" i="32"/>
  <c r="AY136" i="32" s="1"/>
  <c r="AK134" i="32"/>
  <c r="AK136" i="32" s="1"/>
  <c r="W134" i="32"/>
  <c r="W136" i="32" s="1"/>
  <c r="H134" i="32"/>
  <c r="H136" i="32" s="1"/>
  <c r="DZ133" i="32"/>
  <c r="DZ135" i="32" s="1"/>
  <c r="DL133" i="32"/>
  <c r="DL135" i="32" s="1"/>
  <c r="GT132" i="32"/>
  <c r="GT131" i="32"/>
  <c r="GT130" i="32"/>
  <c r="GC130" i="32"/>
  <c r="GD130" i="32" s="1"/>
  <c r="GD131" i="32" s="1"/>
  <c r="GB130" i="32"/>
  <c r="FN130" i="32"/>
  <c r="FO130" i="32" s="1"/>
  <c r="FP130" i="32" s="1"/>
  <c r="FP131" i="32" s="1"/>
  <c r="EZ130" i="32"/>
  <c r="FA130" i="32" s="1"/>
  <c r="FB130" i="32" s="1"/>
  <c r="FB131" i="32" s="1"/>
  <c r="EN130" i="32"/>
  <c r="EN131" i="32" s="1"/>
  <c r="EM130" i="32"/>
  <c r="EL130" i="32"/>
  <c r="CV130" i="32"/>
  <c r="CW130" i="32" s="1"/>
  <c r="CX130" i="32" s="1"/>
  <c r="CK130" i="32"/>
  <c r="CK131" i="32" s="1"/>
  <c r="CJ130" i="32"/>
  <c r="CI130" i="32"/>
  <c r="BX130" i="32"/>
  <c r="BY130" i="32" s="1"/>
  <c r="BW130" i="32"/>
  <c r="BJ130" i="32"/>
  <c r="BK130" i="32" s="1"/>
  <c r="BL130" i="32" s="1"/>
  <c r="AW130" i="32"/>
  <c r="AX130" i="32" s="1"/>
  <c r="AY130" i="32" s="1"/>
  <c r="AK130" i="32"/>
  <c r="AJ130" i="32"/>
  <c r="AI130" i="32"/>
  <c r="V130" i="32"/>
  <c r="W130" i="32" s="1"/>
  <c r="U130" i="32"/>
  <c r="F130" i="32"/>
  <c r="G130" i="32" s="1"/>
  <c r="H130" i="32" s="1"/>
  <c r="H131" i="32" s="1"/>
  <c r="GB129" i="32"/>
  <c r="GC129" i="32" s="1"/>
  <c r="GD129" i="32" s="1"/>
  <c r="FP129" i="32"/>
  <c r="FO129" i="32"/>
  <c r="FN129" i="32"/>
  <c r="FA129" i="32"/>
  <c r="FB129" i="32" s="1"/>
  <c r="EZ129" i="32"/>
  <c r="EL129" i="32"/>
  <c r="EM129" i="32" s="1"/>
  <c r="EN129" i="32" s="1"/>
  <c r="DX129" i="32"/>
  <c r="DY129" i="32" s="1"/>
  <c r="DZ129" i="32" s="1"/>
  <c r="DZ130" i="32" s="1"/>
  <c r="DL129" i="32"/>
  <c r="DK129" i="32"/>
  <c r="DJ129" i="32"/>
  <c r="CW129" i="32"/>
  <c r="CX129" i="32" s="1"/>
  <c r="CV129" i="32"/>
  <c r="CI129" i="32"/>
  <c r="CJ129" i="32" s="1"/>
  <c r="CK129" i="32" s="1"/>
  <c r="BW129" i="32"/>
  <c r="BX129" i="32" s="1"/>
  <c r="BY129" i="32" s="1"/>
  <c r="BJ129" i="32"/>
  <c r="BK129" i="32" s="1"/>
  <c r="BL129" i="32" s="1"/>
  <c r="AX129" i="32"/>
  <c r="AY129" i="32" s="1"/>
  <c r="AW129" i="32"/>
  <c r="AI129" i="32"/>
  <c r="AJ129" i="32" s="1"/>
  <c r="AK129" i="32" s="1"/>
  <c r="U129" i="32"/>
  <c r="V129" i="32" s="1"/>
  <c r="W129" i="32" s="1"/>
  <c r="F129" i="32"/>
  <c r="G129" i="32" s="1"/>
  <c r="H129" i="32" s="1"/>
  <c r="DY128" i="32"/>
  <c r="DZ128" i="32" s="1"/>
  <c r="DX128" i="32"/>
  <c r="DJ128" i="32"/>
  <c r="DK128" i="32" s="1"/>
  <c r="DL128" i="32" s="1"/>
  <c r="GR126" i="32"/>
  <c r="GS126" i="32" s="1"/>
  <c r="GT126" i="32" s="1"/>
  <c r="GT127" i="32" s="1"/>
  <c r="GR125" i="32"/>
  <c r="GS125" i="32" s="1"/>
  <c r="CI124" i="32"/>
  <c r="CH124" i="32"/>
  <c r="CG124" i="32"/>
  <c r="BW124" i="32"/>
  <c r="BV124" i="32"/>
  <c r="BU124" i="32"/>
  <c r="CI123" i="32"/>
  <c r="CF123" i="32"/>
  <c r="CH123" i="32" s="1"/>
  <c r="BT123" i="32"/>
  <c r="BW123" i="32" s="1"/>
  <c r="BJ123" i="32"/>
  <c r="BL123" i="32" s="1"/>
  <c r="BI123" i="32"/>
  <c r="BH123" i="32"/>
  <c r="BG123" i="32"/>
  <c r="AW123" i="32"/>
  <c r="AV123" i="32"/>
  <c r="AT123" i="32"/>
  <c r="AU123" i="32" s="1"/>
  <c r="AI123" i="32"/>
  <c r="AK123" i="32" s="1"/>
  <c r="AF123" i="32"/>
  <c r="AH123" i="32" s="1"/>
  <c r="Y123" i="32"/>
  <c r="U123" i="32"/>
  <c r="W123" i="32" s="1"/>
  <c r="T123" i="32"/>
  <c r="S123" i="32"/>
  <c r="R123" i="32"/>
  <c r="F123" i="32"/>
  <c r="H123" i="32" s="1"/>
  <c r="E123" i="32"/>
  <c r="C123" i="32"/>
  <c r="D123" i="32" s="1"/>
  <c r="CI122" i="32"/>
  <c r="CH122" i="32"/>
  <c r="CG122" i="32"/>
  <c r="BW122" i="32"/>
  <c r="BV122" i="32"/>
  <c r="BU122" i="32"/>
  <c r="BJ122" i="32"/>
  <c r="BI122" i="32"/>
  <c r="BH122" i="32"/>
  <c r="AW122" i="32"/>
  <c r="AV122" i="32"/>
  <c r="AU122" i="32"/>
  <c r="AK122" i="32"/>
  <c r="AI122" i="32"/>
  <c r="AH122" i="32"/>
  <c r="AG122" i="32"/>
  <c r="Y122" i="32"/>
  <c r="U122" i="32"/>
  <c r="W122" i="32" s="1"/>
  <c r="T122" i="32"/>
  <c r="S122" i="32"/>
  <c r="F122" i="32"/>
  <c r="H122" i="32" s="1"/>
  <c r="E122" i="32"/>
  <c r="D122" i="32"/>
  <c r="CI121" i="32"/>
  <c r="CK121" i="32" s="1"/>
  <c r="CH121" i="32"/>
  <c r="CG121" i="32"/>
  <c r="BW121" i="32"/>
  <c r="BY121" i="32" s="1"/>
  <c r="BV121" i="32"/>
  <c r="BU121" i="32"/>
  <c r="BJ121" i="32"/>
  <c r="BI121" i="32"/>
  <c r="BH121" i="32"/>
  <c r="AW121" i="32"/>
  <c r="AV121" i="32"/>
  <c r="AU121" i="32"/>
  <c r="AI121" i="32"/>
  <c r="AK121" i="32" s="1"/>
  <c r="AH121" i="32"/>
  <c r="AG121" i="32"/>
  <c r="Y121" i="32"/>
  <c r="U121" i="32"/>
  <c r="W121" i="32" s="1"/>
  <c r="T121" i="32"/>
  <c r="S121" i="32"/>
  <c r="F121" i="32"/>
  <c r="H121" i="32" s="1"/>
  <c r="E121" i="32"/>
  <c r="D121" i="32"/>
  <c r="CI120" i="32"/>
  <c r="CH120" i="32"/>
  <c r="CG120" i="32"/>
  <c r="BW120" i="32"/>
  <c r="BV120" i="32"/>
  <c r="BU120" i="32"/>
  <c r="BJ120" i="32"/>
  <c r="BI120" i="32"/>
  <c r="BH120" i="32"/>
  <c r="AW120" i="32"/>
  <c r="AV120" i="32"/>
  <c r="AU120" i="32"/>
  <c r="AK120" i="32"/>
  <c r="AI120" i="32"/>
  <c r="AH120" i="32"/>
  <c r="AG120" i="32"/>
  <c r="Y120" i="32"/>
  <c r="U120" i="32"/>
  <c r="W120" i="32" s="1"/>
  <c r="T120" i="32"/>
  <c r="S120" i="32"/>
  <c r="F120" i="32"/>
  <c r="H120" i="32" s="1"/>
  <c r="E120" i="32"/>
  <c r="D120" i="32"/>
  <c r="CI119" i="32"/>
  <c r="CH119" i="32"/>
  <c r="CG119" i="32"/>
  <c r="BW119" i="32"/>
  <c r="BV119" i="32"/>
  <c r="BU119" i="32"/>
  <c r="BJ119" i="32"/>
  <c r="BI119" i="32"/>
  <c r="BH119" i="32"/>
  <c r="AW119" i="32"/>
  <c r="AV119" i="32"/>
  <c r="AU119" i="32"/>
  <c r="AK119" i="32"/>
  <c r="AI119" i="32"/>
  <c r="AH119" i="32"/>
  <c r="AG119" i="32"/>
  <c r="Y119" i="32"/>
  <c r="U119" i="32"/>
  <c r="W119" i="32" s="1"/>
  <c r="T119" i="32"/>
  <c r="S119" i="32"/>
  <c r="F119" i="32"/>
  <c r="H119" i="32" s="1"/>
  <c r="E119" i="32"/>
  <c r="D119" i="32"/>
  <c r="CK118" i="32"/>
  <c r="CI118" i="32"/>
  <c r="CH118" i="32"/>
  <c r="CG118" i="32"/>
  <c r="BW118" i="32"/>
  <c r="BV118" i="32"/>
  <c r="BU118" i="32"/>
  <c r="BJ118" i="32"/>
  <c r="BI118" i="32"/>
  <c r="BH118" i="32"/>
  <c r="AW118" i="32"/>
  <c r="AV118" i="32"/>
  <c r="AU118" i="32"/>
  <c r="AI118" i="32"/>
  <c r="AK118" i="32" s="1"/>
  <c r="AH118" i="32"/>
  <c r="AG118" i="32"/>
  <c r="Y118" i="32"/>
  <c r="W118" i="32"/>
  <c r="U118" i="32"/>
  <c r="T118" i="32"/>
  <c r="S118" i="32"/>
  <c r="H118" i="32"/>
  <c r="F118" i="32"/>
  <c r="E118" i="32"/>
  <c r="D118" i="32"/>
  <c r="CI117" i="32"/>
  <c r="CK117" i="32" s="1"/>
  <c r="CH117" i="32"/>
  <c r="CG117" i="32"/>
  <c r="BW117" i="32"/>
  <c r="BY117" i="32" s="1"/>
  <c r="BV117" i="32"/>
  <c r="BU117" i="32"/>
  <c r="BJ117" i="32"/>
  <c r="BI117" i="32"/>
  <c r="BH117" i="32"/>
  <c r="AW117" i="32"/>
  <c r="AV117" i="32"/>
  <c r="AU117" i="32"/>
  <c r="AI117" i="32"/>
  <c r="AK117" i="32" s="1"/>
  <c r="AH117" i="32"/>
  <c r="AG117" i="32"/>
  <c r="Y117" i="32"/>
  <c r="W117" i="32"/>
  <c r="U117" i="32"/>
  <c r="T117" i="32"/>
  <c r="S117" i="32"/>
  <c r="H117" i="32"/>
  <c r="F117" i="32"/>
  <c r="E117" i="32"/>
  <c r="D117" i="32"/>
  <c r="CI116" i="32"/>
  <c r="CK116" i="32" s="1"/>
  <c r="CH116" i="32"/>
  <c r="CG116" i="32"/>
  <c r="BW116" i="32"/>
  <c r="BY116" i="32" s="1"/>
  <c r="BV116" i="32"/>
  <c r="BU116" i="32"/>
  <c r="BJ116" i="32"/>
  <c r="BI116" i="32"/>
  <c r="BH116" i="32"/>
  <c r="AW116" i="32"/>
  <c r="AV116" i="32"/>
  <c r="AU116" i="32"/>
  <c r="AI116" i="32"/>
  <c r="AK116" i="32" s="1"/>
  <c r="AH116" i="32"/>
  <c r="AG116" i="32"/>
  <c r="Y116" i="32"/>
  <c r="U116" i="32"/>
  <c r="W116" i="32" s="1"/>
  <c r="T116" i="32"/>
  <c r="S116" i="32"/>
  <c r="F116" i="32"/>
  <c r="H116" i="32" s="1"/>
  <c r="E116" i="32"/>
  <c r="D116" i="32"/>
  <c r="CG112" i="32"/>
  <c r="BU112" i="32"/>
  <c r="BT124" i="32" s="1"/>
  <c r="AU112" i="32"/>
  <c r="CO110" i="32"/>
  <c r="CI104" i="32" s="1"/>
  <c r="CL104" i="32" s="1"/>
  <c r="CG144" i="32" s="1"/>
  <c r="CH110" i="32"/>
  <c r="CG110" i="32"/>
  <c r="CI110" i="32" s="1"/>
  <c r="CJ111" i="32" s="1"/>
  <c r="CB110" i="32"/>
  <c r="BV104" i="32" s="1"/>
  <c r="BV110" i="32"/>
  <c r="BU110" i="32"/>
  <c r="BJ110" i="32"/>
  <c r="BI110" i="32"/>
  <c r="BH110" i="32"/>
  <c r="AV110" i="32"/>
  <c r="AW110" i="32" s="1"/>
  <c r="AU110" i="32"/>
  <c r="BI109" i="32"/>
  <c r="BJ109" i="32" s="1"/>
  <c r="BK111" i="32" s="1"/>
  <c r="AW109" i="32"/>
  <c r="AX111" i="32" s="1"/>
  <c r="AV109" i="32"/>
  <c r="BP106" i="32"/>
  <c r="BC106" i="32"/>
  <c r="AV104" i="32" s="1"/>
  <c r="L106" i="32"/>
  <c r="CK104" i="32"/>
  <c r="CJ104" i="32"/>
  <c r="BX104" i="32"/>
  <c r="BY104" i="32" s="1"/>
  <c r="BW104" i="32"/>
  <c r="BK104" i="32"/>
  <c r="BL104" i="32" s="1"/>
  <c r="BJ104" i="32"/>
  <c r="BI104" i="32"/>
  <c r="AX104" i="32"/>
  <c r="AY104" i="32" s="1"/>
  <c r="AW104" i="32"/>
  <c r="AJ104" i="32"/>
  <c r="AI104" i="32"/>
  <c r="W104" i="32"/>
  <c r="V104" i="32"/>
  <c r="U104" i="32"/>
  <c r="G104" i="32"/>
  <c r="H104" i="32" s="1"/>
  <c r="C144" i="32" s="1"/>
  <c r="F104" i="32"/>
  <c r="E104" i="32"/>
  <c r="AO103" i="32"/>
  <c r="AO106" i="32" s="1"/>
  <c r="AH104" i="32" s="1"/>
  <c r="AK104" i="32" s="1"/>
  <c r="AA103" i="32"/>
  <c r="AA106" i="32" s="1"/>
  <c r="T104" i="32" s="1"/>
  <c r="BT92" i="32"/>
  <c r="R92" i="32"/>
  <c r="E92" i="32"/>
  <c r="BG91" i="32"/>
  <c r="AT91" i="32"/>
  <c r="E91" i="32"/>
  <c r="CG87" i="32"/>
  <c r="BT87" i="32"/>
  <c r="BG87" i="32"/>
  <c r="AT87" i="32"/>
  <c r="CG85" i="32"/>
  <c r="CG92" i="32" s="1"/>
  <c r="BT85" i="32"/>
  <c r="BG85" i="32"/>
  <c r="BG92" i="32" s="1"/>
  <c r="AT85" i="32"/>
  <c r="AT92" i="32" s="1"/>
  <c r="AF85" i="32"/>
  <c r="AF92" i="32" s="1"/>
  <c r="R85" i="32"/>
  <c r="E85" i="32"/>
  <c r="CG84" i="32"/>
  <c r="CG91" i="32" s="1"/>
  <c r="BT84" i="32"/>
  <c r="BT91" i="32" s="1"/>
  <c r="BG84" i="32"/>
  <c r="AT84" i="32"/>
  <c r="AF84" i="32"/>
  <c r="AF91" i="32" s="1"/>
  <c r="R84" i="32"/>
  <c r="R91" i="32" s="1"/>
  <c r="E84" i="32"/>
  <c r="CG83" i="32"/>
  <c r="BT83" i="32"/>
  <c r="BG83" i="32"/>
  <c r="AT83" i="32"/>
  <c r="AF83" i="32"/>
  <c r="R83" i="32"/>
  <c r="E83" i="32"/>
  <c r="R59" i="32"/>
  <c r="BT56" i="32"/>
  <c r="BT60" i="32" s="1"/>
  <c r="BG56" i="32"/>
  <c r="BG60" i="32" s="1"/>
  <c r="BG64" i="32" s="1"/>
  <c r="BG67" i="32" s="1"/>
  <c r="R56" i="32"/>
  <c r="R60" i="32" s="1"/>
  <c r="E56" i="32"/>
  <c r="E60" i="32" s="1"/>
  <c r="E64" i="32" s="1"/>
  <c r="E67" i="32" s="1"/>
  <c r="BG55" i="32"/>
  <c r="BG59" i="32" s="1"/>
  <c r="AT55" i="32"/>
  <c r="AT59" i="32" s="1"/>
  <c r="AT69" i="32" s="1"/>
  <c r="E55" i="32"/>
  <c r="E59" i="32" s="1"/>
  <c r="CG52" i="32"/>
  <c r="CG56" i="32" s="1"/>
  <c r="CG60" i="32" s="1"/>
  <c r="BT52" i="32"/>
  <c r="BG52" i="32"/>
  <c r="AT52" i="32"/>
  <c r="AT56" i="32" s="1"/>
  <c r="AT60" i="32" s="1"/>
  <c r="AF52" i="32"/>
  <c r="AF56" i="32" s="1"/>
  <c r="AF60" i="32" s="1"/>
  <c r="R52" i="32"/>
  <c r="E52" i="32"/>
  <c r="CG51" i="32"/>
  <c r="CG55" i="32" s="1"/>
  <c r="CG59" i="32" s="1"/>
  <c r="BT51" i="32"/>
  <c r="BT55" i="32" s="1"/>
  <c r="BT59" i="32" s="1"/>
  <c r="BG51" i="32"/>
  <c r="AT51" i="32"/>
  <c r="R51" i="32"/>
  <c r="R55" i="32" s="1"/>
  <c r="E51" i="32"/>
  <c r="L36" i="32"/>
  <c r="AP33" i="32"/>
  <c r="L33" i="32"/>
  <c r="AM26" i="32"/>
  <c r="AM36" i="32" s="1"/>
  <c r="AF22" i="32" s="1"/>
  <c r="Y26" i="32"/>
  <c r="Y36" i="32" s="1"/>
  <c r="R22" i="32" s="1"/>
  <c r="AG24" i="32"/>
  <c r="AH24" i="32" s="1"/>
  <c r="S24" i="32"/>
  <c r="T24" i="32" s="1"/>
  <c r="F24" i="32"/>
  <c r="G24" i="32" s="1"/>
  <c r="AG23" i="32"/>
  <c r="AH23" i="32" s="1"/>
  <c r="AF87" i="32" s="1"/>
  <c r="S23" i="32"/>
  <c r="T23" i="32" s="1"/>
  <c r="R87" i="32" s="1"/>
  <c r="H23" i="32"/>
  <c r="F23" i="32"/>
  <c r="G23" i="32" s="1"/>
  <c r="E87" i="32" s="1"/>
  <c r="AI22" i="32"/>
  <c r="AH22" i="32"/>
  <c r="U22" i="32"/>
  <c r="T22" i="32"/>
  <c r="H22" i="32"/>
  <c r="G22" i="32"/>
  <c r="E22" i="32"/>
  <c r="AH21" i="32"/>
  <c r="AG21" i="32"/>
  <c r="T21" i="32"/>
  <c r="S21" i="32"/>
  <c r="H21" i="32"/>
  <c r="G21" i="32"/>
  <c r="E21" i="32"/>
  <c r="T20" i="32"/>
  <c r="S20" i="32"/>
  <c r="U20" i="32" s="1"/>
  <c r="H20" i="32"/>
  <c r="F20" i="32"/>
  <c r="G20" i="32" s="1"/>
  <c r="AM15" i="32"/>
  <c r="Y15" i="32"/>
  <c r="L15" i="32"/>
  <c r="CN11" i="32"/>
  <c r="CG9" i="32" s="1"/>
  <c r="CA11" i="32"/>
  <c r="BT9" i="32" s="1"/>
  <c r="BW9" i="32" s="1"/>
  <c r="BN11" i="32"/>
  <c r="BG9" i="32" s="1"/>
  <c r="BA11" i="32"/>
  <c r="AT9" i="32" s="1"/>
  <c r="AP11" i="32"/>
  <c r="AP12" i="32" s="1"/>
  <c r="AM22" i="32" s="1"/>
  <c r="AM38" i="32" s="1"/>
  <c r="AM40" i="32" s="1"/>
  <c r="AF23" i="32" s="1"/>
  <c r="AI23" i="32" s="1"/>
  <c r="AM11" i="32"/>
  <c r="Y11" i="32"/>
  <c r="L11" i="32"/>
  <c r="L22" i="32" s="1"/>
  <c r="L38" i="32" s="1"/>
  <c r="L40" i="32" s="1"/>
  <c r="AG10" i="32"/>
  <c r="AH10" i="32" s="1"/>
  <c r="AF10" i="32"/>
  <c r="AF24" i="32" s="1"/>
  <c r="AI24" i="32" s="1"/>
  <c r="S10" i="32"/>
  <c r="T10" i="32" s="1"/>
  <c r="H10" i="32"/>
  <c r="F10" i="32"/>
  <c r="G10" i="32" s="1"/>
  <c r="E10" i="32"/>
  <c r="E24" i="32" s="1"/>
  <c r="H24" i="32" s="1"/>
  <c r="CH9" i="32"/>
  <c r="CI9" i="32" s="1"/>
  <c r="CJ9" i="32" s="1"/>
  <c r="BU9" i="32"/>
  <c r="BV9" i="32" s="1"/>
  <c r="BH9" i="32"/>
  <c r="BI9" i="32" s="1"/>
  <c r="BJ9" i="32" s="1"/>
  <c r="AU9" i="32"/>
  <c r="AV9" i="32" s="1"/>
  <c r="AW9" i="32" s="1"/>
  <c r="AH9" i="32"/>
  <c r="AF9" i="32"/>
  <c r="AI9" i="32" s="1"/>
  <c r="T9" i="32"/>
  <c r="G9" i="32"/>
  <c r="E9" i="32"/>
  <c r="H9" i="32" s="1"/>
  <c r="CI8" i="32"/>
  <c r="CG86" i="32" s="1"/>
  <c r="CH8" i="32"/>
  <c r="CG8" i="32"/>
  <c r="CJ8" i="32" s="1"/>
  <c r="BV8" i="32"/>
  <c r="BT86" i="32" s="1"/>
  <c r="BU8" i="32"/>
  <c r="BT8" i="32"/>
  <c r="BI8" i="32"/>
  <c r="BG86" i="32" s="1"/>
  <c r="BH8" i="32"/>
  <c r="BG8" i="32"/>
  <c r="AV8" i="32"/>
  <c r="AT86" i="32" s="1"/>
  <c r="AU8" i="32"/>
  <c r="AT8" i="32"/>
  <c r="AW8" i="32" s="1"/>
  <c r="AH8" i="32"/>
  <c r="AF86" i="32" s="1"/>
  <c r="AG8" i="32"/>
  <c r="AF8" i="32"/>
  <c r="AI8" i="32" s="1"/>
  <c r="T8" i="32"/>
  <c r="R86" i="32" s="1"/>
  <c r="S8" i="32"/>
  <c r="R8" i="32"/>
  <c r="U8" i="32" s="1"/>
  <c r="G8" i="32"/>
  <c r="E86" i="32" s="1"/>
  <c r="E8" i="32"/>
  <c r="H8" i="32" s="1"/>
  <c r="CJ7" i="32"/>
  <c r="CH7" i="32"/>
  <c r="CI7" i="32" s="1"/>
  <c r="BV7" i="32"/>
  <c r="BW7" i="32" s="1"/>
  <c r="BU7" i="32"/>
  <c r="BH7" i="32"/>
  <c r="BI7" i="32" s="1"/>
  <c r="BJ7" i="32" s="1"/>
  <c r="AU7" i="32"/>
  <c r="AV7" i="32" s="1"/>
  <c r="AW7" i="32" s="1"/>
  <c r="AW11" i="32" s="1"/>
  <c r="AH7" i="32"/>
  <c r="AG7" i="32"/>
  <c r="AG20" i="32" s="1"/>
  <c r="S7" i="32"/>
  <c r="T7" i="32" s="1"/>
  <c r="H7" i="32"/>
  <c r="H12" i="32" s="1"/>
  <c r="G7" i="32"/>
  <c r="F7" i="32"/>
  <c r="Q19" i="8"/>
  <c r="CG182" i="13"/>
  <c r="CT182" i="13"/>
  <c r="CV182" i="13" s="1"/>
  <c r="CX182" i="13" s="1"/>
  <c r="DH182" i="13"/>
  <c r="DV182" i="13"/>
  <c r="DX182" i="13" s="1"/>
  <c r="DZ182" i="13" s="1"/>
  <c r="EJ182" i="13"/>
  <c r="EX182" i="13"/>
  <c r="EZ182" i="13" s="1"/>
  <c r="FB182" i="13" s="1"/>
  <c r="FL182" i="13"/>
  <c r="FN182" i="13" s="1"/>
  <c r="FP182" i="13" s="1"/>
  <c r="GB182" i="13"/>
  <c r="GD182" i="13" s="1"/>
  <c r="GC45" i="13"/>
  <c r="FO45" i="13"/>
  <c r="FA45" i="13"/>
  <c r="EM45" i="13"/>
  <c r="DY45" i="13"/>
  <c r="DK45" i="13"/>
  <c r="CW45" i="13"/>
  <c r="EN182" i="13"/>
  <c r="EL182" i="13"/>
  <c r="DJ182" i="13"/>
  <c r="DL182" i="13" s="1"/>
  <c r="CI182" i="13"/>
  <c r="CK182" i="13" s="1"/>
  <c r="BV182" i="13"/>
  <c r="BX182" i="13" s="1"/>
  <c r="BI182" i="13"/>
  <c r="BK182" i="13" s="1"/>
  <c r="AV182" i="13"/>
  <c r="AX182" i="13" s="1"/>
  <c r="AH182" i="13"/>
  <c r="AJ182" i="13" s="1"/>
  <c r="T182" i="13"/>
  <c r="V182" i="13" s="1"/>
  <c r="G182" i="13"/>
  <c r="E182" i="13"/>
  <c r="C182" i="13"/>
  <c r="Z215" i="5"/>
  <c r="V223" i="5"/>
  <c r="AM243" i="6"/>
  <c r="AM213" i="6"/>
  <c r="AM214" i="6"/>
  <c r="AM215" i="6"/>
  <c r="AM216" i="6"/>
  <c r="AM217" i="6"/>
  <c r="AM218" i="6"/>
  <c r="AM219" i="6"/>
  <c r="AM220" i="6"/>
  <c r="AM221" i="6"/>
  <c r="AM222" i="6"/>
  <c r="AM223" i="6"/>
  <c r="AM224" i="6"/>
  <c r="AM225" i="6"/>
  <c r="AM226" i="6"/>
  <c r="AM227" i="6"/>
  <c r="AM228" i="6"/>
  <c r="AM229" i="6"/>
  <c r="AM230" i="6"/>
  <c r="AM231" i="6"/>
  <c r="AM232" i="6"/>
  <c r="AM233" i="6"/>
  <c r="AM234" i="6"/>
  <c r="AM235" i="6"/>
  <c r="AM236" i="6"/>
  <c r="AM237" i="6"/>
  <c r="AM238" i="6"/>
  <c r="AM239" i="6"/>
  <c r="AM240" i="6"/>
  <c r="AM241" i="6"/>
  <c r="AM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12" i="6"/>
  <c r="FO243" i="6"/>
  <c r="FN213" i="6"/>
  <c r="FO213" i="6"/>
  <c r="FN214" i="6"/>
  <c r="FO214" i="6"/>
  <c r="FN215" i="6"/>
  <c r="FO215" i="6"/>
  <c r="FN216" i="6"/>
  <c r="FO216" i="6"/>
  <c r="FN217" i="6"/>
  <c r="FO217" i="6"/>
  <c r="FN218" i="6"/>
  <c r="FO218" i="6"/>
  <c r="FN219" i="6"/>
  <c r="FO219" i="6"/>
  <c r="FN220" i="6"/>
  <c r="FO220" i="6"/>
  <c r="FN221" i="6"/>
  <c r="FO221" i="6"/>
  <c r="FN222" i="6"/>
  <c r="FO222" i="6"/>
  <c r="FN223" i="6"/>
  <c r="FO223" i="6"/>
  <c r="FN224" i="6"/>
  <c r="FO224" i="6"/>
  <c r="FN225" i="6"/>
  <c r="FO225" i="6"/>
  <c r="FN226" i="6"/>
  <c r="FO226" i="6"/>
  <c r="FN227" i="6"/>
  <c r="FO227" i="6"/>
  <c r="FN228" i="6"/>
  <c r="FO228" i="6"/>
  <c r="FN229" i="6"/>
  <c r="FO229" i="6"/>
  <c r="FN230" i="6"/>
  <c r="FO230" i="6"/>
  <c r="FN231" i="6"/>
  <c r="FO231" i="6"/>
  <c r="FN232" i="6"/>
  <c r="FO232" i="6"/>
  <c r="FN233" i="6"/>
  <c r="FO233" i="6"/>
  <c r="FN234" i="6"/>
  <c r="FO234" i="6"/>
  <c r="FN235" i="6"/>
  <c r="FO235" i="6"/>
  <c r="FN236" i="6"/>
  <c r="FO236" i="6"/>
  <c r="FN237" i="6"/>
  <c r="FO237" i="6"/>
  <c r="FN238" i="6"/>
  <c r="FO238" i="6"/>
  <c r="FN239" i="6"/>
  <c r="FO239" i="6"/>
  <c r="FN240" i="6"/>
  <c r="FO240" i="6"/>
  <c r="FN241" i="6"/>
  <c r="FO241" i="6"/>
  <c r="FO212" i="6"/>
  <c r="FN212" i="6"/>
  <c r="FP241" i="6"/>
  <c r="FN243" i="6"/>
  <c r="FJ155" i="6"/>
  <c r="EY155" i="6"/>
  <c r="EP169" i="6"/>
  <c r="FM155" i="6"/>
  <c r="O313" i="6"/>
  <c r="W212" i="6"/>
  <c r="X212" i="6"/>
  <c r="J190" i="5"/>
  <c r="W168" i="6"/>
  <c r="W142" i="6"/>
  <c r="Y142" i="6"/>
  <c r="Z149" i="6"/>
  <c r="FN105" i="20"/>
  <c r="GX156" i="12"/>
  <c r="X156" i="12"/>
  <c r="H87" i="12"/>
  <c r="H75" i="12"/>
  <c r="H70" i="12"/>
  <c r="H58" i="12"/>
  <c r="H56" i="12"/>
  <c r="AC22" i="24"/>
  <c r="AC23" i="24"/>
  <c r="AC24" i="24"/>
  <c r="AC25" i="24"/>
  <c r="AC26" i="24"/>
  <c r="AC21" i="24"/>
  <c r="Y10" i="24"/>
  <c r="H319" i="3"/>
  <c r="FZ183" i="13"/>
  <c r="FZ181" i="13"/>
  <c r="FL183" i="13"/>
  <c r="FL181" i="13"/>
  <c r="EX183" i="13"/>
  <c r="EX181" i="13"/>
  <c r="EJ183" i="13"/>
  <c r="EJ181" i="13"/>
  <c r="DV183" i="13"/>
  <c r="DV181" i="13"/>
  <c r="DH183" i="13"/>
  <c r="DH181" i="13"/>
  <c r="CT183" i="13"/>
  <c r="CT181" i="13"/>
  <c r="CT147" i="13"/>
  <c r="CT146" i="13"/>
  <c r="CV146" i="13" s="1"/>
  <c r="CV145" i="13"/>
  <c r="CT145" i="13"/>
  <c r="CU145" i="13" s="1"/>
  <c r="CV144" i="13"/>
  <c r="CU144" i="13"/>
  <c r="CT144" i="13"/>
  <c r="DI144" i="13"/>
  <c r="DH144" i="13"/>
  <c r="DH145" i="13" s="1"/>
  <c r="DX144" i="13"/>
  <c r="DW144" i="13"/>
  <c r="DV144" i="13"/>
  <c r="DV145" i="13" s="1"/>
  <c r="EL144" i="13"/>
  <c r="EK144" i="13"/>
  <c r="EJ144" i="13"/>
  <c r="EJ145" i="13" s="1"/>
  <c r="EX145" i="13"/>
  <c r="EY145" i="13" s="1"/>
  <c r="EX144" i="13"/>
  <c r="FL144" i="13"/>
  <c r="FM144" i="13"/>
  <c r="FL145" i="13"/>
  <c r="GB175" i="13"/>
  <c r="GA175" i="13"/>
  <c r="FZ175" i="13"/>
  <c r="GA145" i="13"/>
  <c r="GB145" i="13"/>
  <c r="GA146" i="13"/>
  <c r="GB146" i="13"/>
  <c r="GA147" i="13"/>
  <c r="GB147" i="13"/>
  <c r="GA148" i="13"/>
  <c r="GB148" i="13"/>
  <c r="GA149" i="13"/>
  <c r="GB149" i="13"/>
  <c r="GA150" i="13"/>
  <c r="GB150" i="13"/>
  <c r="GA151" i="13"/>
  <c r="GB151" i="13"/>
  <c r="GA152" i="13"/>
  <c r="GB152" i="13"/>
  <c r="GA153" i="13"/>
  <c r="GB153" i="13"/>
  <c r="GA154" i="13"/>
  <c r="GB154" i="13"/>
  <c r="GA155" i="13"/>
  <c r="GB155" i="13"/>
  <c r="GA156" i="13"/>
  <c r="GB156" i="13"/>
  <c r="GA157" i="13"/>
  <c r="GB157" i="13"/>
  <c r="GA158" i="13"/>
  <c r="GB158" i="13"/>
  <c r="GA159" i="13"/>
  <c r="GB159" i="13"/>
  <c r="GA160" i="13"/>
  <c r="GB160" i="13"/>
  <c r="GA161" i="13"/>
  <c r="GB161" i="13"/>
  <c r="GA162" i="13"/>
  <c r="GB162" i="13"/>
  <c r="GA163" i="13"/>
  <c r="GB163" i="13"/>
  <c r="GA164" i="13"/>
  <c r="GB164" i="13"/>
  <c r="GA165" i="13"/>
  <c r="GB165" i="13"/>
  <c r="GA166" i="13"/>
  <c r="GB166" i="13"/>
  <c r="GA167" i="13"/>
  <c r="GB167" i="13"/>
  <c r="GA168" i="13"/>
  <c r="GB168" i="13"/>
  <c r="GA169" i="13"/>
  <c r="GB169" i="13"/>
  <c r="GA170" i="13"/>
  <c r="GB170" i="13"/>
  <c r="GA171" i="13"/>
  <c r="GB171" i="13"/>
  <c r="GA172" i="13"/>
  <c r="GB172" i="13"/>
  <c r="GA173" i="13"/>
  <c r="GB173" i="13"/>
  <c r="GA144" i="13"/>
  <c r="FZ155" i="13"/>
  <c r="FZ156" i="13"/>
  <c r="FZ157" i="13" s="1"/>
  <c r="FZ158" i="13" s="1"/>
  <c r="FZ159" i="13" s="1"/>
  <c r="FZ160" i="13" s="1"/>
  <c r="FZ161" i="13" s="1"/>
  <c r="FZ162" i="13" s="1"/>
  <c r="FZ163" i="13" s="1"/>
  <c r="FZ164" i="13" s="1"/>
  <c r="FZ165" i="13" s="1"/>
  <c r="FZ166" i="13" s="1"/>
  <c r="FZ167" i="13" s="1"/>
  <c r="FZ168" i="13" s="1"/>
  <c r="FZ169" i="13" s="1"/>
  <c r="FZ170" i="13" s="1"/>
  <c r="FZ171" i="13" s="1"/>
  <c r="FZ172" i="13" s="1"/>
  <c r="FZ173" i="13" s="1"/>
  <c r="FZ146" i="13"/>
  <c r="FZ147" i="13" s="1"/>
  <c r="FZ148" i="13" s="1"/>
  <c r="FZ149" i="13" s="1"/>
  <c r="FZ150" i="13" s="1"/>
  <c r="FZ151" i="13" s="1"/>
  <c r="FZ152" i="13" s="1"/>
  <c r="FZ153" i="13" s="1"/>
  <c r="FZ154" i="13" s="1"/>
  <c r="FZ145" i="13"/>
  <c r="FZ144" i="13"/>
  <c r="GB144" i="13"/>
  <c r="GA118" i="13"/>
  <c r="FM118" i="13"/>
  <c r="EY118" i="13"/>
  <c r="EK118" i="13"/>
  <c r="DW118" i="13"/>
  <c r="DI118" i="13"/>
  <c r="CU119" i="13"/>
  <c r="CU117" i="13"/>
  <c r="DI116" i="13"/>
  <c r="DW116" i="13"/>
  <c r="EK116" i="13"/>
  <c r="EY116" i="13"/>
  <c r="FM116" i="13"/>
  <c r="GA116" i="13"/>
  <c r="GP119" i="13"/>
  <c r="EY113" i="13"/>
  <c r="CU112" i="13"/>
  <c r="DI111" i="13"/>
  <c r="DW111" i="13"/>
  <c r="EK111" i="13"/>
  <c r="EY111" i="13"/>
  <c r="FM111" i="13"/>
  <c r="GA111" i="13"/>
  <c r="GP117" i="13"/>
  <c r="DI113" i="13"/>
  <c r="DW113" i="13"/>
  <c r="EK113" i="13"/>
  <c r="FM113" i="13"/>
  <c r="GA113" i="13"/>
  <c r="GP114" i="13"/>
  <c r="GT131" i="13"/>
  <c r="GD135" i="13"/>
  <c r="GD136" i="13" s="1"/>
  <c r="GD134" i="13"/>
  <c r="GC130" i="13"/>
  <c r="GD130" i="13" s="1"/>
  <c r="GB130" i="13"/>
  <c r="GB129" i="13"/>
  <c r="GC129" i="13" s="1"/>
  <c r="GD129" i="13" s="1"/>
  <c r="FP136" i="13"/>
  <c r="FP135" i="13"/>
  <c r="FP134" i="13"/>
  <c r="FN130" i="13"/>
  <c r="FO130" i="13" s="1"/>
  <c r="FP130" i="13" s="1"/>
  <c r="FP131" i="13" s="1"/>
  <c r="FP129" i="13"/>
  <c r="FO129" i="13"/>
  <c r="FN129" i="13"/>
  <c r="FB135" i="13"/>
  <c r="FB134" i="13"/>
  <c r="FB136" i="13" s="1"/>
  <c r="EZ130" i="13"/>
  <c r="FA130" i="13" s="1"/>
  <c r="FB130" i="13" s="1"/>
  <c r="EZ129" i="13"/>
  <c r="FA129" i="13" s="1"/>
  <c r="FB129" i="13" s="1"/>
  <c r="EN136" i="13"/>
  <c r="EN135" i="13"/>
  <c r="EN134" i="13"/>
  <c r="EL130" i="13"/>
  <c r="EM130" i="13" s="1"/>
  <c r="EN130" i="13" s="1"/>
  <c r="EN131" i="13" s="1"/>
  <c r="EN129" i="13"/>
  <c r="EM129" i="13"/>
  <c r="EL129" i="13"/>
  <c r="DZ134" i="13"/>
  <c r="DZ133" i="13"/>
  <c r="DZ135" i="13" s="1"/>
  <c r="DX129" i="13"/>
  <c r="DY129" i="13" s="1"/>
  <c r="DZ129" i="13" s="1"/>
  <c r="DX128" i="13"/>
  <c r="DY128" i="13" s="1"/>
  <c r="DZ128" i="13" s="1"/>
  <c r="DL135" i="13"/>
  <c r="DL134" i="13"/>
  <c r="DL133" i="13"/>
  <c r="DJ129" i="13"/>
  <c r="DK129" i="13" s="1"/>
  <c r="DL129" i="13" s="1"/>
  <c r="DL130" i="13" s="1"/>
  <c r="DL128" i="13"/>
  <c r="DK128" i="13"/>
  <c r="DJ128" i="13"/>
  <c r="CX135" i="13"/>
  <c r="CX134" i="13"/>
  <c r="CX136" i="13" s="1"/>
  <c r="CW130" i="13"/>
  <c r="CX130" i="13" s="1"/>
  <c r="CX131" i="13" s="1"/>
  <c r="CV130" i="13"/>
  <c r="CV129" i="13"/>
  <c r="CW129" i="13" s="1"/>
  <c r="CX129" i="13" s="1"/>
  <c r="BT182" i="13"/>
  <c r="BT183" i="13"/>
  <c r="BT181" i="13"/>
  <c r="BG183" i="13"/>
  <c r="BG182" i="13"/>
  <c r="BG181" i="13"/>
  <c r="AT183" i="13"/>
  <c r="AT181" i="13"/>
  <c r="AT182" i="13"/>
  <c r="AF182" i="13"/>
  <c r="AF183" i="13"/>
  <c r="AF181" i="13"/>
  <c r="X169" i="12"/>
  <c r="W251" i="6"/>
  <c r="BZ251" i="6"/>
  <c r="BZ250" i="6"/>
  <c r="BZ249" i="6"/>
  <c r="W249" i="6"/>
  <c r="W250" i="6"/>
  <c r="K251" i="6"/>
  <c r="K250" i="6"/>
  <c r="K249" i="6"/>
  <c r="FI230" i="5"/>
  <c r="FI229" i="5"/>
  <c r="FI228" i="5"/>
  <c r="BX228" i="5"/>
  <c r="BX230" i="5"/>
  <c r="BX229" i="5"/>
  <c r="U228" i="5"/>
  <c r="U230" i="5"/>
  <c r="U229" i="5"/>
  <c r="J230" i="5"/>
  <c r="J229" i="5"/>
  <c r="J228" i="5"/>
  <c r="CC110" i="20"/>
  <c r="FM110" i="20"/>
  <c r="FM112" i="20"/>
  <c r="FM111" i="20"/>
  <c r="CC112" i="20"/>
  <c r="CC111" i="20"/>
  <c r="Z110" i="20"/>
  <c r="Z112" i="20"/>
  <c r="Z111" i="20"/>
  <c r="O112" i="20"/>
  <c r="O111" i="20"/>
  <c r="O110" i="20"/>
  <c r="W131" i="13"/>
  <c r="BV173" i="13"/>
  <c r="BV172" i="13"/>
  <c r="BV171" i="13"/>
  <c r="BV170" i="13"/>
  <c r="BV169" i="13"/>
  <c r="BV168" i="13"/>
  <c r="BV167" i="13"/>
  <c r="BV166" i="13"/>
  <c r="BV165" i="13"/>
  <c r="BV164" i="13"/>
  <c r="BV163" i="13"/>
  <c r="BV162" i="13"/>
  <c r="BV161" i="13"/>
  <c r="BV160" i="13"/>
  <c r="BV159" i="13"/>
  <c r="BV158" i="13"/>
  <c r="BV157" i="13"/>
  <c r="BV156" i="13"/>
  <c r="BV155" i="13"/>
  <c r="BV154" i="13"/>
  <c r="BV153" i="13"/>
  <c r="BV152" i="13"/>
  <c r="BV151" i="13"/>
  <c r="BV150" i="13"/>
  <c r="BV149" i="13"/>
  <c r="BV148" i="13"/>
  <c r="BV147" i="13"/>
  <c r="BV146" i="13"/>
  <c r="BV145" i="13"/>
  <c r="BV144" i="13"/>
  <c r="BI173" i="13"/>
  <c r="BI172" i="13"/>
  <c r="BI171" i="13"/>
  <c r="BI170" i="13"/>
  <c r="BI169" i="13"/>
  <c r="BI168" i="13"/>
  <c r="BI167" i="13"/>
  <c r="BI166" i="13"/>
  <c r="BI165" i="13"/>
  <c r="BI164" i="13"/>
  <c r="BI163" i="13"/>
  <c r="BI162" i="13"/>
  <c r="BI161" i="13"/>
  <c r="BI160" i="13"/>
  <c r="BI159" i="13"/>
  <c r="BI158" i="13"/>
  <c r="BI157" i="13"/>
  <c r="BI156" i="13"/>
  <c r="BI155" i="13"/>
  <c r="BI154" i="13"/>
  <c r="BI153" i="13"/>
  <c r="BI152" i="13"/>
  <c r="BI151" i="13"/>
  <c r="BI150" i="13"/>
  <c r="BI149" i="13"/>
  <c r="BI148" i="13"/>
  <c r="BI147" i="13"/>
  <c r="BI146" i="13"/>
  <c r="BI145" i="13"/>
  <c r="BI144" i="13"/>
  <c r="AV173" i="13"/>
  <c r="AV172" i="13"/>
  <c r="AV171" i="13"/>
  <c r="AV170" i="13"/>
  <c r="AV169" i="13"/>
  <c r="AV168" i="13"/>
  <c r="AV167" i="13"/>
  <c r="AV166" i="13"/>
  <c r="AV165" i="13"/>
  <c r="AV164" i="13"/>
  <c r="AV163" i="13"/>
  <c r="AV162" i="13"/>
  <c r="AV161" i="13"/>
  <c r="AV160" i="13"/>
  <c r="AV159" i="13"/>
  <c r="AV158" i="13"/>
  <c r="AV157" i="13"/>
  <c r="AV156" i="13"/>
  <c r="AV155" i="13"/>
  <c r="AV154" i="13"/>
  <c r="AV153" i="13"/>
  <c r="AV152" i="13"/>
  <c r="AV151" i="13"/>
  <c r="AV150" i="13"/>
  <c r="AV149" i="13"/>
  <c r="AV148" i="13"/>
  <c r="AV147" i="13"/>
  <c r="AV146" i="13"/>
  <c r="AV145" i="13"/>
  <c r="AV144" i="13"/>
  <c r="AH173" i="13"/>
  <c r="AH172" i="13"/>
  <c r="AH171" i="13"/>
  <c r="AH170" i="13"/>
  <c r="AH169" i="13"/>
  <c r="AH168" i="13"/>
  <c r="AH167" i="13"/>
  <c r="AH166" i="13"/>
  <c r="AH165" i="13"/>
  <c r="AH164" i="13"/>
  <c r="AH163" i="13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44" i="13"/>
  <c r="C181" i="13"/>
  <c r="GW189" i="12"/>
  <c r="EU124" i="12"/>
  <c r="EU125" i="12"/>
  <c r="EU126" i="12"/>
  <c r="EU127" i="12"/>
  <c r="EU128" i="12"/>
  <c r="EU129" i="12"/>
  <c r="EU130" i="12"/>
  <c r="EU131" i="12"/>
  <c r="EU132" i="12"/>
  <c r="EU133" i="12"/>
  <c r="EU134" i="12"/>
  <c r="EU135" i="12"/>
  <c r="EU136" i="12"/>
  <c r="EU137" i="12"/>
  <c r="EU138" i="12"/>
  <c r="EU139" i="12"/>
  <c r="EU140" i="12"/>
  <c r="EU141" i="12"/>
  <c r="EU142" i="12"/>
  <c r="EU143" i="12"/>
  <c r="EU144" i="12"/>
  <c r="EU145" i="12"/>
  <c r="EU146" i="12"/>
  <c r="EU147" i="12"/>
  <c r="EU148" i="12"/>
  <c r="EU149" i="12"/>
  <c r="EU150" i="12"/>
  <c r="EU151" i="12"/>
  <c r="EU152" i="12"/>
  <c r="EU123" i="12"/>
  <c r="EG124" i="12"/>
  <c r="EG125" i="12"/>
  <c r="EG126" i="12"/>
  <c r="EG127" i="12"/>
  <c r="EG128" i="12"/>
  <c r="EG129" i="12"/>
  <c r="EG130" i="12"/>
  <c r="EG131" i="12"/>
  <c r="EG132" i="12"/>
  <c r="EG133" i="12"/>
  <c r="EG134" i="12"/>
  <c r="EG135" i="12"/>
  <c r="EG136" i="12"/>
  <c r="EG137" i="12"/>
  <c r="EG138" i="12"/>
  <c r="EG139" i="12"/>
  <c r="EG140" i="12"/>
  <c r="EG141" i="12"/>
  <c r="EG142" i="12"/>
  <c r="EG143" i="12"/>
  <c r="EG144" i="12"/>
  <c r="EG145" i="12"/>
  <c r="EG146" i="12"/>
  <c r="EG147" i="12"/>
  <c r="EG148" i="12"/>
  <c r="EG149" i="12"/>
  <c r="EG150" i="12"/>
  <c r="EG151" i="12"/>
  <c r="EG152" i="12"/>
  <c r="EG123" i="12"/>
  <c r="DS124" i="12"/>
  <c r="DS125" i="12"/>
  <c r="DS126" i="12"/>
  <c r="DS127" i="12"/>
  <c r="DS128" i="12"/>
  <c r="DS129" i="12"/>
  <c r="DS130" i="12"/>
  <c r="DS131" i="12"/>
  <c r="DS132" i="12"/>
  <c r="DS133" i="12"/>
  <c r="DS134" i="12"/>
  <c r="DS135" i="12"/>
  <c r="DS136" i="12"/>
  <c r="DS137" i="12"/>
  <c r="DS138" i="12"/>
  <c r="DS139" i="12"/>
  <c r="DS140" i="12"/>
  <c r="DS141" i="12"/>
  <c r="DS142" i="12"/>
  <c r="DS143" i="12"/>
  <c r="DS144" i="12"/>
  <c r="DS145" i="12"/>
  <c r="DS146" i="12"/>
  <c r="DS147" i="12"/>
  <c r="DS148" i="12"/>
  <c r="DS149" i="12"/>
  <c r="DS150" i="12"/>
  <c r="DS151" i="12"/>
  <c r="DS152" i="12"/>
  <c r="DS123" i="12"/>
  <c r="DE123" i="12"/>
  <c r="CC124" i="12"/>
  <c r="CC125" i="12"/>
  <c r="CC126" i="12"/>
  <c r="CC127" i="12"/>
  <c r="CC128" i="12"/>
  <c r="CC129" i="12"/>
  <c r="CC130" i="12"/>
  <c r="CC131" i="12"/>
  <c r="CC132" i="12"/>
  <c r="CC133" i="12"/>
  <c r="CC134" i="12"/>
  <c r="CC135" i="12"/>
  <c r="CC136" i="12"/>
  <c r="CC137" i="12"/>
  <c r="CC138" i="12"/>
  <c r="CC139" i="12"/>
  <c r="CC140" i="12"/>
  <c r="CC141" i="12"/>
  <c r="CC142" i="12"/>
  <c r="CC143" i="12"/>
  <c r="CC144" i="12"/>
  <c r="CC145" i="12"/>
  <c r="CC146" i="12"/>
  <c r="CC147" i="12"/>
  <c r="CC148" i="12"/>
  <c r="CC149" i="12"/>
  <c r="CC150" i="12"/>
  <c r="CC151" i="12"/>
  <c r="CC152" i="12"/>
  <c r="CC123" i="12"/>
  <c r="BO124" i="12"/>
  <c r="BO125" i="12"/>
  <c r="BO126" i="12"/>
  <c r="BO127" i="12"/>
  <c r="BO128" i="12"/>
  <c r="BO129" i="12"/>
  <c r="BO130" i="12"/>
  <c r="BO131" i="12"/>
  <c r="BO132" i="12"/>
  <c r="BO133" i="12"/>
  <c r="BO134" i="12"/>
  <c r="BO135" i="12"/>
  <c r="BO136" i="12"/>
  <c r="BO137" i="12"/>
  <c r="BO138" i="12"/>
  <c r="BO139" i="12"/>
  <c r="BO140" i="12"/>
  <c r="BO141" i="12"/>
  <c r="BO142" i="12"/>
  <c r="BO143" i="12"/>
  <c r="BO144" i="12"/>
  <c r="BO145" i="12"/>
  <c r="BO146" i="12"/>
  <c r="BO147" i="12"/>
  <c r="BO148" i="12"/>
  <c r="BO149" i="12"/>
  <c r="BO150" i="12"/>
  <c r="BO151" i="12"/>
  <c r="BO152" i="12"/>
  <c r="BO123" i="12"/>
  <c r="BA124" i="12"/>
  <c r="BA125" i="12"/>
  <c r="BA126" i="12"/>
  <c r="BA127" i="12"/>
  <c r="BA128" i="12"/>
  <c r="BA129" i="12"/>
  <c r="BA130" i="12"/>
  <c r="BA131" i="12"/>
  <c r="BA132" i="12"/>
  <c r="BA133" i="12"/>
  <c r="BA134" i="12"/>
  <c r="BA135" i="12"/>
  <c r="BA136" i="12"/>
  <c r="BA137" i="12"/>
  <c r="BA138" i="12"/>
  <c r="BA139" i="12"/>
  <c r="BA140" i="12"/>
  <c r="BA141" i="12"/>
  <c r="BA142" i="12"/>
  <c r="BA143" i="12"/>
  <c r="BA144" i="12"/>
  <c r="BA145" i="12"/>
  <c r="BA146" i="12"/>
  <c r="BA147" i="12"/>
  <c r="BA148" i="12"/>
  <c r="BA149" i="12"/>
  <c r="BA150" i="12"/>
  <c r="BA151" i="12"/>
  <c r="BA152" i="12"/>
  <c r="BA123" i="12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23" i="12"/>
  <c r="Y124" i="12"/>
  <c r="Y125" i="12"/>
  <c r="Y126" i="12"/>
  <c r="Y127" i="12"/>
  <c r="Y128" i="12"/>
  <c r="Y129" i="12"/>
  <c r="Y130" i="12"/>
  <c r="Y131" i="12"/>
  <c r="Y132" i="12"/>
  <c r="Y133" i="12"/>
  <c r="Y134" i="12"/>
  <c r="Y135" i="12"/>
  <c r="Y136" i="12"/>
  <c r="Y137" i="12"/>
  <c r="Y138" i="12"/>
  <c r="Y139" i="12"/>
  <c r="Y140" i="12"/>
  <c r="Y141" i="12"/>
  <c r="Y142" i="12"/>
  <c r="Y143" i="12"/>
  <c r="Y144" i="12"/>
  <c r="Y145" i="12"/>
  <c r="Y146" i="12"/>
  <c r="Y147" i="12"/>
  <c r="Y148" i="12"/>
  <c r="Y149" i="12"/>
  <c r="Y150" i="12"/>
  <c r="Y151" i="12"/>
  <c r="Y152" i="12"/>
  <c r="Y123" i="12"/>
  <c r="CQ124" i="12"/>
  <c r="CQ125" i="12"/>
  <c r="CQ126" i="12"/>
  <c r="CQ127" i="12"/>
  <c r="CQ128" i="12"/>
  <c r="CQ129" i="12"/>
  <c r="CQ130" i="12"/>
  <c r="CQ131" i="12"/>
  <c r="CQ132" i="12"/>
  <c r="CQ133" i="12"/>
  <c r="CQ134" i="12"/>
  <c r="CQ135" i="12"/>
  <c r="CQ136" i="12"/>
  <c r="CQ137" i="12"/>
  <c r="CQ138" i="12"/>
  <c r="CQ139" i="12"/>
  <c r="CQ140" i="12"/>
  <c r="CQ141" i="12"/>
  <c r="CQ142" i="12"/>
  <c r="CQ143" i="12"/>
  <c r="CQ144" i="12"/>
  <c r="CQ145" i="12"/>
  <c r="CQ146" i="12"/>
  <c r="CQ147" i="12"/>
  <c r="CQ148" i="12"/>
  <c r="CQ149" i="12"/>
  <c r="CQ150" i="12"/>
  <c r="CQ151" i="12"/>
  <c r="CQ152" i="12"/>
  <c r="CQ123" i="12"/>
  <c r="GY124" i="12"/>
  <c r="GY125" i="12"/>
  <c r="GY126" i="12"/>
  <c r="GY127" i="12"/>
  <c r="GY128" i="12"/>
  <c r="GY129" i="12"/>
  <c r="GY130" i="12"/>
  <c r="GY131" i="12"/>
  <c r="GY132" i="12"/>
  <c r="GY133" i="12"/>
  <c r="GY134" i="12"/>
  <c r="GY135" i="12"/>
  <c r="GY136" i="12"/>
  <c r="GY137" i="12"/>
  <c r="GY138" i="12"/>
  <c r="GY139" i="12"/>
  <c r="GY140" i="12"/>
  <c r="GY141" i="12"/>
  <c r="GY142" i="12"/>
  <c r="GY143" i="12"/>
  <c r="GY144" i="12"/>
  <c r="GY145" i="12"/>
  <c r="GY146" i="12"/>
  <c r="GY147" i="12"/>
  <c r="GY148" i="12"/>
  <c r="GY149" i="12"/>
  <c r="GY150" i="12"/>
  <c r="GY151" i="12"/>
  <c r="GY152" i="12"/>
  <c r="GY123" i="12"/>
  <c r="GW188" i="12"/>
  <c r="GW187" i="12"/>
  <c r="CO186" i="12"/>
  <c r="CO187" i="12"/>
  <c r="W187" i="12"/>
  <c r="W186" i="12"/>
  <c r="H188" i="12"/>
  <c r="H187" i="12"/>
  <c r="H186" i="12"/>
  <c r="I169" i="12"/>
  <c r="I175" i="12"/>
  <c r="GD104" i="32" l="1"/>
  <c r="FZ144" i="32" s="1"/>
  <c r="FP104" i="32"/>
  <c r="FL144" i="32" s="1"/>
  <c r="FL145" i="32" s="1"/>
  <c r="FB104" i="32"/>
  <c r="EX144" i="32" s="1"/>
  <c r="EZ144" i="32" s="1"/>
  <c r="DZ104" i="32"/>
  <c r="DV144" i="32" s="1"/>
  <c r="CX104" i="32"/>
  <c r="CG146" i="32"/>
  <c r="CI144" i="32"/>
  <c r="CG145" i="32"/>
  <c r="CH144" i="32"/>
  <c r="BJ11" i="32"/>
  <c r="AH20" i="32"/>
  <c r="AI20" i="32"/>
  <c r="BT69" i="32"/>
  <c r="BT63" i="32"/>
  <c r="BT66" i="32" s="1"/>
  <c r="AF70" i="32"/>
  <c r="AF64" i="32"/>
  <c r="AF67" i="32" s="1"/>
  <c r="CG70" i="32"/>
  <c r="CG64" i="32"/>
  <c r="CG67" i="32" s="1"/>
  <c r="U7" i="32"/>
  <c r="CJ11" i="32"/>
  <c r="BJ8" i="32"/>
  <c r="H26" i="32"/>
  <c r="R69" i="32"/>
  <c r="R63" i="32"/>
  <c r="R66" i="32" s="1"/>
  <c r="AT63" i="32"/>
  <c r="AT66" i="32" s="1"/>
  <c r="E70" i="32"/>
  <c r="C145" i="32"/>
  <c r="D144" i="32"/>
  <c r="E144" i="32"/>
  <c r="DH145" i="32"/>
  <c r="DI144" i="32"/>
  <c r="DJ144" i="32"/>
  <c r="AY122" i="32"/>
  <c r="AY120" i="32"/>
  <c r="AY119" i="32"/>
  <c r="AY116" i="32"/>
  <c r="AY123" i="32"/>
  <c r="Y22" i="32"/>
  <c r="R10" i="32"/>
  <c r="CG69" i="32"/>
  <c r="CG72" i="32" s="1"/>
  <c r="CG76" i="32" s="1"/>
  <c r="CG63" i="32"/>
  <c r="CG66" i="32" s="1"/>
  <c r="AT70" i="32"/>
  <c r="AT72" i="32" s="1"/>
  <c r="AT76" i="32" s="1"/>
  <c r="AT64" i="32"/>
  <c r="AT67" i="32" s="1"/>
  <c r="E69" i="32"/>
  <c r="E63" i="32"/>
  <c r="E66" i="32" s="1"/>
  <c r="R70" i="32"/>
  <c r="R64" i="32"/>
  <c r="R67" i="32" s="1"/>
  <c r="BG70" i="32"/>
  <c r="GB144" i="32"/>
  <c r="FZ145" i="32"/>
  <c r="GA144" i="32"/>
  <c r="FM144" i="32"/>
  <c r="FN144" i="32"/>
  <c r="BW11" i="32"/>
  <c r="BG144" i="32"/>
  <c r="DX144" i="32"/>
  <c r="DV145" i="32"/>
  <c r="DW144" i="32"/>
  <c r="EX145" i="32"/>
  <c r="AI7" i="32"/>
  <c r="BW8" i="32"/>
  <c r="AI10" i="32"/>
  <c r="BG69" i="32"/>
  <c r="BG72" i="32" s="1"/>
  <c r="BG76" i="32" s="1"/>
  <c r="BG79" i="32" s="1"/>
  <c r="BG80" i="32" s="1"/>
  <c r="BG94" i="32" s="1"/>
  <c r="BG63" i="32"/>
  <c r="BG66" i="32" s="1"/>
  <c r="BT70" i="32"/>
  <c r="BT64" i="32"/>
  <c r="BT67" i="32" s="1"/>
  <c r="R144" i="32"/>
  <c r="AF51" i="32"/>
  <c r="AF55" i="32" s="1"/>
  <c r="AF59" i="32" s="1"/>
  <c r="GN146" i="32"/>
  <c r="GP144" i="32"/>
  <c r="GN145" i="32"/>
  <c r="GO144" i="32"/>
  <c r="BL122" i="32"/>
  <c r="BL120" i="32"/>
  <c r="BL119" i="32"/>
  <c r="BL118" i="32"/>
  <c r="BL117" i="32"/>
  <c r="AY118" i="32"/>
  <c r="BY123" i="32"/>
  <c r="CK124" i="32"/>
  <c r="AK131" i="32"/>
  <c r="AF144" i="32" s="1"/>
  <c r="BY131" i="32"/>
  <c r="CX131" i="32"/>
  <c r="Y33" i="32"/>
  <c r="R21" i="32" s="1"/>
  <c r="U21" i="32" s="1"/>
  <c r="EJ144" i="32"/>
  <c r="CM124" i="32"/>
  <c r="CK122" i="32"/>
  <c r="CK120" i="32"/>
  <c r="CK119" i="32"/>
  <c r="CM121" i="32"/>
  <c r="CM122" i="32"/>
  <c r="CM120" i="32"/>
  <c r="CM119" i="32"/>
  <c r="AY117" i="32"/>
  <c r="BL121" i="32"/>
  <c r="BY124" i="32"/>
  <c r="W131" i="32"/>
  <c r="AY131" i="32"/>
  <c r="AT144" i="32" s="1"/>
  <c r="AM33" i="32"/>
  <c r="AP34" i="32" s="1"/>
  <c r="AF21" i="32" s="1"/>
  <c r="AI21" i="32" s="1"/>
  <c r="BY122" i="32"/>
  <c r="BY120" i="32"/>
  <c r="BY119" i="32"/>
  <c r="BY118" i="32"/>
  <c r="BL116" i="32"/>
  <c r="AY121" i="32"/>
  <c r="CK123" i="32"/>
  <c r="DL130" i="32"/>
  <c r="BL131" i="32"/>
  <c r="BU123" i="32"/>
  <c r="AG123" i="32"/>
  <c r="BV123" i="32"/>
  <c r="CG123" i="32"/>
  <c r="CM123" i="32"/>
  <c r="CT148" i="13"/>
  <c r="CV147" i="13"/>
  <c r="CU147" i="13"/>
  <c r="CU146" i="13"/>
  <c r="DI145" i="13"/>
  <c r="DJ145" i="13"/>
  <c r="DH146" i="13"/>
  <c r="DJ144" i="13"/>
  <c r="DW145" i="13"/>
  <c r="DX145" i="13"/>
  <c r="DV146" i="13"/>
  <c r="EK145" i="13"/>
  <c r="EJ146" i="13"/>
  <c r="EL145" i="13"/>
  <c r="EY144" i="13"/>
  <c r="EZ145" i="13"/>
  <c r="EZ144" i="13"/>
  <c r="EX146" i="13"/>
  <c r="FM145" i="13"/>
  <c r="FN145" i="13"/>
  <c r="FL146" i="13"/>
  <c r="FN144" i="13"/>
  <c r="GD131" i="13"/>
  <c r="FB131" i="13"/>
  <c r="DZ130" i="13"/>
  <c r="O72" i="31"/>
  <c r="N72" i="31"/>
  <c r="M72" i="31"/>
  <c r="N42" i="31"/>
  <c r="O42" i="31"/>
  <c r="N43" i="31"/>
  <c r="O43" i="31"/>
  <c r="N44" i="31"/>
  <c r="O44" i="31"/>
  <c r="N45" i="31"/>
  <c r="O45" i="31"/>
  <c r="N46" i="31"/>
  <c r="O46" i="31"/>
  <c r="N47" i="31"/>
  <c r="O47" i="31"/>
  <c r="N48" i="31"/>
  <c r="O48" i="31"/>
  <c r="N49" i="31"/>
  <c r="O49" i="31"/>
  <c r="N50" i="31"/>
  <c r="O50" i="31"/>
  <c r="N51" i="31"/>
  <c r="O51" i="31"/>
  <c r="N52" i="31"/>
  <c r="O52" i="31"/>
  <c r="N53" i="31"/>
  <c r="O53" i="31"/>
  <c r="N54" i="31"/>
  <c r="O54" i="31"/>
  <c r="N55" i="31"/>
  <c r="O55" i="31"/>
  <c r="N56" i="31"/>
  <c r="O56" i="31"/>
  <c r="N57" i="31"/>
  <c r="O57" i="31"/>
  <c r="N58" i="31"/>
  <c r="O58" i="31"/>
  <c r="N59" i="31"/>
  <c r="O59" i="31"/>
  <c r="N60" i="31"/>
  <c r="O60" i="31"/>
  <c r="N61" i="31"/>
  <c r="O61" i="31"/>
  <c r="N62" i="31"/>
  <c r="O62" i="31"/>
  <c r="N63" i="31"/>
  <c r="O63" i="31"/>
  <c r="N64" i="31"/>
  <c r="O64" i="31"/>
  <c r="N65" i="31"/>
  <c r="O65" i="31"/>
  <c r="N66" i="31"/>
  <c r="O66" i="31"/>
  <c r="N67" i="31"/>
  <c r="O67" i="31"/>
  <c r="N68" i="31"/>
  <c r="O68" i="31"/>
  <c r="N69" i="31"/>
  <c r="O69" i="31"/>
  <c r="N70" i="31"/>
  <c r="O70" i="31"/>
  <c r="M43" i="31"/>
  <c r="M44" i="31"/>
  <c r="M45" i="31" s="1"/>
  <c r="M46" i="31" s="1"/>
  <c r="M47" i="31" s="1"/>
  <c r="M48" i="31" s="1"/>
  <c r="M49" i="31" s="1"/>
  <c r="M50" i="31" s="1"/>
  <c r="M51" i="31" s="1"/>
  <c r="M52" i="31" s="1"/>
  <c r="M53" i="31" s="1"/>
  <c r="M54" i="31" s="1"/>
  <c r="M55" i="31" s="1"/>
  <c r="M56" i="31" s="1"/>
  <c r="M57" i="31" s="1"/>
  <c r="M58" i="31" s="1"/>
  <c r="M59" i="31" s="1"/>
  <c r="M60" i="31" s="1"/>
  <c r="M61" i="31" s="1"/>
  <c r="M62" i="31" s="1"/>
  <c r="M63" i="31" s="1"/>
  <c r="M64" i="31" s="1"/>
  <c r="M65" i="31" s="1"/>
  <c r="M66" i="31" s="1"/>
  <c r="M67" i="31" s="1"/>
  <c r="M68" i="31" s="1"/>
  <c r="M69" i="31" s="1"/>
  <c r="M70" i="31" s="1"/>
  <c r="O41" i="31"/>
  <c r="N41" i="31"/>
  <c r="M42" i="31"/>
  <c r="M41" i="31"/>
  <c r="K72" i="31"/>
  <c r="L72" i="31"/>
  <c r="J72" i="31"/>
  <c r="K42" i="31"/>
  <c r="L42" i="31"/>
  <c r="K43" i="31"/>
  <c r="L43" i="31"/>
  <c r="K44" i="31"/>
  <c r="L44" i="31"/>
  <c r="K45" i="31"/>
  <c r="L45" i="31"/>
  <c r="K46" i="31"/>
  <c r="L46" i="31"/>
  <c r="K47" i="31"/>
  <c r="L47" i="31"/>
  <c r="K48" i="31"/>
  <c r="L48" i="31"/>
  <c r="K49" i="31"/>
  <c r="L49" i="31"/>
  <c r="K50" i="31"/>
  <c r="L50" i="31"/>
  <c r="K51" i="31"/>
  <c r="L51" i="31"/>
  <c r="K52" i="31"/>
  <c r="L52" i="31"/>
  <c r="K53" i="31"/>
  <c r="L53" i="31"/>
  <c r="K54" i="31"/>
  <c r="L54" i="31"/>
  <c r="K55" i="31"/>
  <c r="L55" i="31"/>
  <c r="K56" i="31"/>
  <c r="L56" i="31"/>
  <c r="K57" i="31"/>
  <c r="L57" i="31"/>
  <c r="K58" i="31"/>
  <c r="L58" i="31"/>
  <c r="K59" i="31"/>
  <c r="L59" i="31"/>
  <c r="K60" i="31"/>
  <c r="L60" i="31"/>
  <c r="K61" i="31"/>
  <c r="L61" i="31"/>
  <c r="K62" i="31"/>
  <c r="L62" i="31"/>
  <c r="K63" i="31"/>
  <c r="L63" i="31"/>
  <c r="K64" i="31"/>
  <c r="L64" i="31"/>
  <c r="K65" i="31"/>
  <c r="L65" i="31"/>
  <c r="K66" i="31"/>
  <c r="L66" i="31"/>
  <c r="K67" i="31"/>
  <c r="L67" i="31"/>
  <c r="K68" i="31"/>
  <c r="L68" i="31"/>
  <c r="K69" i="31"/>
  <c r="L69" i="31"/>
  <c r="K70" i="31"/>
  <c r="L70" i="31"/>
  <c r="L41" i="31"/>
  <c r="K41" i="31"/>
  <c r="J43" i="31"/>
  <c r="J44" i="31"/>
  <c r="J45" i="31" s="1"/>
  <c r="J46" i="31" s="1"/>
  <c r="J47" i="31" s="1"/>
  <c r="J48" i="31" s="1"/>
  <c r="J49" i="31" s="1"/>
  <c r="J50" i="31" s="1"/>
  <c r="J51" i="31" s="1"/>
  <c r="J52" i="31" s="1"/>
  <c r="J53" i="31" s="1"/>
  <c r="J54" i="31" s="1"/>
  <c r="J55" i="31" s="1"/>
  <c r="J56" i="31" s="1"/>
  <c r="J57" i="31" s="1"/>
  <c r="J58" i="31" s="1"/>
  <c r="J59" i="31" s="1"/>
  <c r="J60" i="31" s="1"/>
  <c r="J61" i="31" s="1"/>
  <c r="J62" i="31" s="1"/>
  <c r="J63" i="31" s="1"/>
  <c r="J64" i="31" s="1"/>
  <c r="J65" i="31" s="1"/>
  <c r="J66" i="31" s="1"/>
  <c r="J67" i="31" s="1"/>
  <c r="J68" i="31" s="1"/>
  <c r="J69" i="31" s="1"/>
  <c r="J70" i="31" s="1"/>
  <c r="J42" i="31"/>
  <c r="J41" i="31"/>
  <c r="EN213" i="6"/>
  <c r="EO213" i="6" s="1"/>
  <c r="EN212" i="6"/>
  <c r="EN240" i="6" s="1"/>
  <c r="EC219" i="6"/>
  <c r="EC220" i="6" s="1"/>
  <c r="ED212" i="6"/>
  <c r="EC212" i="6"/>
  <c r="EC240" i="6" s="1"/>
  <c r="DR219" i="6"/>
  <c r="DR220" i="6" s="1"/>
  <c r="DT213" i="6"/>
  <c r="DR213" i="6"/>
  <c r="DS213" i="6" s="1"/>
  <c r="DS212" i="6"/>
  <c r="DR212" i="6"/>
  <c r="DR240" i="6" s="1"/>
  <c r="DG219" i="6"/>
  <c r="DG220" i="6" s="1"/>
  <c r="DH212" i="6"/>
  <c r="DG212" i="6"/>
  <c r="DG240" i="6" s="1"/>
  <c r="CV219" i="6"/>
  <c r="CV220" i="6" s="1"/>
  <c r="CW212" i="6"/>
  <c r="CV212" i="6"/>
  <c r="CV240" i="6" s="1"/>
  <c r="CK227" i="6"/>
  <c r="CK228" i="6" s="1"/>
  <c r="CK226" i="6"/>
  <c r="CM226" i="6" s="1"/>
  <c r="CK219" i="6"/>
  <c r="CK220" i="6" s="1"/>
  <c r="CK218" i="6"/>
  <c r="CM218" i="6" s="1"/>
  <c r="CM212" i="6"/>
  <c r="CL212" i="6"/>
  <c r="CK212" i="6"/>
  <c r="CK240" i="6" s="1"/>
  <c r="BZ227" i="6"/>
  <c r="BZ228" i="6" s="1"/>
  <c r="BZ226" i="6"/>
  <c r="CB226" i="6" s="1"/>
  <c r="BZ219" i="6"/>
  <c r="BZ220" i="6" s="1"/>
  <c r="BZ218" i="6"/>
  <c r="CB218" i="6" s="1"/>
  <c r="CB212" i="6"/>
  <c r="CA212" i="6"/>
  <c r="BZ212" i="6"/>
  <c r="BZ240" i="6" s="1"/>
  <c r="BD212" i="6"/>
  <c r="BO219" i="6"/>
  <c r="BO220" i="6" s="1"/>
  <c r="BQ213" i="6"/>
  <c r="BO213" i="6"/>
  <c r="BP213" i="6" s="1"/>
  <c r="BP212" i="6"/>
  <c r="BO212" i="6"/>
  <c r="BO240" i="6" s="1"/>
  <c r="BD219" i="6"/>
  <c r="BD220" i="6" s="1"/>
  <c r="BE212" i="6"/>
  <c r="BD240" i="6"/>
  <c r="AS219" i="6"/>
  <c r="AS220" i="6" s="1"/>
  <c r="AU213" i="6"/>
  <c r="AS213" i="6"/>
  <c r="AT213" i="6" s="1"/>
  <c r="AT212" i="6"/>
  <c r="AS212" i="6"/>
  <c r="AS240" i="6" s="1"/>
  <c r="AH212" i="6"/>
  <c r="AH240" i="6" s="1"/>
  <c r="W218" i="6"/>
  <c r="Z164" i="6"/>
  <c r="W219" i="6"/>
  <c r="W220" i="6" s="1"/>
  <c r="W240" i="6"/>
  <c r="L213" i="6"/>
  <c r="M213" i="6"/>
  <c r="L214" i="6"/>
  <c r="M214" i="6"/>
  <c r="L215" i="6"/>
  <c r="M215" i="6"/>
  <c r="L216" i="6"/>
  <c r="M216" i="6"/>
  <c r="L217" i="6"/>
  <c r="M217" i="6"/>
  <c r="L218" i="6"/>
  <c r="M218" i="6"/>
  <c r="L219" i="6"/>
  <c r="M219" i="6"/>
  <c r="L220" i="6"/>
  <c r="M220" i="6"/>
  <c r="L221" i="6"/>
  <c r="M221" i="6"/>
  <c r="L222" i="6"/>
  <c r="M222" i="6"/>
  <c r="L223" i="6"/>
  <c r="M223" i="6"/>
  <c r="L224" i="6"/>
  <c r="M224" i="6"/>
  <c r="L225" i="6"/>
  <c r="M225" i="6"/>
  <c r="L226" i="6"/>
  <c r="M226" i="6"/>
  <c r="L227" i="6"/>
  <c r="M227" i="6"/>
  <c r="L228" i="6"/>
  <c r="M228" i="6"/>
  <c r="L229" i="6"/>
  <c r="M229" i="6"/>
  <c r="L230" i="6"/>
  <c r="M230" i="6"/>
  <c r="L231" i="6"/>
  <c r="M231" i="6"/>
  <c r="L232" i="6"/>
  <c r="M232" i="6"/>
  <c r="L233" i="6"/>
  <c r="M233" i="6"/>
  <c r="L234" i="6"/>
  <c r="M234" i="6"/>
  <c r="L235" i="6"/>
  <c r="M235" i="6"/>
  <c r="L236" i="6"/>
  <c r="M236" i="6"/>
  <c r="L237" i="6"/>
  <c r="M237" i="6"/>
  <c r="L238" i="6"/>
  <c r="M238" i="6"/>
  <c r="L239" i="6"/>
  <c r="M239" i="6"/>
  <c r="L240" i="6"/>
  <c r="M240" i="6"/>
  <c r="L241" i="6"/>
  <c r="M241" i="6"/>
  <c r="M212" i="6"/>
  <c r="L212" i="6"/>
  <c r="K239" i="6"/>
  <c r="K232" i="6"/>
  <c r="K225" i="6"/>
  <c r="K219" i="6"/>
  <c r="K218" i="6"/>
  <c r="K212" i="6"/>
  <c r="K220" i="6"/>
  <c r="K240" i="6"/>
  <c r="K170" i="6"/>
  <c r="AJ249" i="5"/>
  <c r="AI249" i="5"/>
  <c r="AH249" i="5"/>
  <c r="AN249" i="5" s="1"/>
  <c r="AG249" i="5"/>
  <c r="AM249" i="5" s="1"/>
  <c r="AF249" i="5"/>
  <c r="D249" i="5"/>
  <c r="F249" i="5" s="1"/>
  <c r="C249" i="5"/>
  <c r="E249" i="5" s="1"/>
  <c r="AJ248" i="5"/>
  <c r="AI248" i="5"/>
  <c r="AH248" i="5"/>
  <c r="AN248" i="5" s="1"/>
  <c r="AG248" i="5"/>
  <c r="AM248" i="5" s="1"/>
  <c r="AF248" i="5"/>
  <c r="D248" i="5"/>
  <c r="F248" i="5" s="1"/>
  <c r="C248" i="5"/>
  <c r="E248" i="5" s="1"/>
  <c r="K247" i="5"/>
  <c r="J247" i="5"/>
  <c r="I245" i="5"/>
  <c r="FO101" i="20"/>
  <c r="FN101" i="20"/>
  <c r="FO100" i="20"/>
  <c r="FN100" i="20"/>
  <c r="FO98" i="20"/>
  <c r="FN98" i="20"/>
  <c r="FO97" i="20"/>
  <c r="FN97" i="20"/>
  <c r="FO96" i="20"/>
  <c r="FN96" i="20"/>
  <c r="FO95" i="20"/>
  <c r="FN95" i="20"/>
  <c r="FO94" i="20"/>
  <c r="FN94" i="20"/>
  <c r="FO93" i="20"/>
  <c r="FN93" i="20"/>
  <c r="FO91" i="20"/>
  <c r="FN91" i="20"/>
  <c r="FO90" i="20"/>
  <c r="FN90" i="20"/>
  <c r="FO89" i="20"/>
  <c r="FN89" i="20"/>
  <c r="FO88" i="20"/>
  <c r="FN88" i="20"/>
  <c r="FO87" i="20"/>
  <c r="FN87" i="20"/>
  <c r="FO86" i="20"/>
  <c r="FN86" i="20"/>
  <c r="FO84" i="20"/>
  <c r="FN84" i="20"/>
  <c r="FO83" i="20"/>
  <c r="FN83" i="20"/>
  <c r="FO82" i="20"/>
  <c r="FN82" i="20"/>
  <c r="FO81" i="20"/>
  <c r="FN81" i="20"/>
  <c r="FO80" i="20"/>
  <c r="FN80" i="20"/>
  <c r="FO79" i="20"/>
  <c r="FN79" i="20"/>
  <c r="FO77" i="20"/>
  <c r="FN77" i="20"/>
  <c r="FO76" i="20"/>
  <c r="FN76" i="20"/>
  <c r="FO75" i="20"/>
  <c r="FN75" i="20"/>
  <c r="FO74" i="20"/>
  <c r="FN74" i="20"/>
  <c r="FO73" i="20"/>
  <c r="FN73" i="20"/>
  <c r="FO72" i="20"/>
  <c r="FN72" i="20"/>
  <c r="FD101" i="20"/>
  <c r="FC101" i="20"/>
  <c r="FD100" i="20"/>
  <c r="FC100" i="20"/>
  <c r="FD98" i="20"/>
  <c r="FC98" i="20"/>
  <c r="FD97" i="20"/>
  <c r="FC97" i="20"/>
  <c r="FD96" i="20"/>
  <c r="FC96" i="20"/>
  <c r="FD95" i="20"/>
  <c r="FC95" i="20"/>
  <c r="FD94" i="20"/>
  <c r="FC94" i="20"/>
  <c r="FD93" i="20"/>
  <c r="FC93" i="20"/>
  <c r="FD91" i="20"/>
  <c r="FC91" i="20"/>
  <c r="FD90" i="20"/>
  <c r="FC90" i="20"/>
  <c r="FD89" i="20"/>
  <c r="FC89" i="20"/>
  <c r="FD88" i="20"/>
  <c r="FC88" i="20"/>
  <c r="FD87" i="20"/>
  <c r="FC87" i="20"/>
  <c r="FD86" i="20"/>
  <c r="FC86" i="20"/>
  <c r="FD84" i="20"/>
  <c r="FC84" i="20"/>
  <c r="FD83" i="20"/>
  <c r="FC83" i="20"/>
  <c r="FD82" i="20"/>
  <c r="FC82" i="20"/>
  <c r="FD81" i="20"/>
  <c r="FC81" i="20"/>
  <c r="FD80" i="20"/>
  <c r="FC80" i="20"/>
  <c r="FD79" i="20"/>
  <c r="FC79" i="20"/>
  <c r="FD77" i="20"/>
  <c r="FC77" i="20"/>
  <c r="FD76" i="20"/>
  <c r="FC76" i="20"/>
  <c r="FD75" i="20"/>
  <c r="FC75" i="20"/>
  <c r="FD74" i="20"/>
  <c r="FC74" i="20"/>
  <c r="FD73" i="20"/>
  <c r="FC73" i="20"/>
  <c r="FD72" i="20"/>
  <c r="FC72" i="20"/>
  <c r="ES101" i="20"/>
  <c r="ER101" i="20"/>
  <c r="ES100" i="20"/>
  <c r="ER100" i="20"/>
  <c r="ES98" i="20"/>
  <c r="ER98" i="20"/>
  <c r="ES97" i="20"/>
  <c r="ER97" i="20"/>
  <c r="ES96" i="20"/>
  <c r="ER96" i="20"/>
  <c r="ES95" i="20"/>
  <c r="ER95" i="20"/>
  <c r="ES94" i="20"/>
  <c r="ER94" i="20"/>
  <c r="ES93" i="20"/>
  <c r="ER93" i="20"/>
  <c r="ES91" i="20"/>
  <c r="ER91" i="20"/>
  <c r="ES90" i="20"/>
  <c r="ER90" i="20"/>
  <c r="ES89" i="20"/>
  <c r="ER89" i="20"/>
  <c r="ES88" i="20"/>
  <c r="ER88" i="20"/>
  <c r="ES87" i="20"/>
  <c r="ER87" i="20"/>
  <c r="ES86" i="20"/>
  <c r="ER86" i="20"/>
  <c r="ES84" i="20"/>
  <c r="ER84" i="20"/>
  <c r="ES83" i="20"/>
  <c r="ER83" i="20"/>
  <c r="ES82" i="20"/>
  <c r="ER82" i="20"/>
  <c r="ES81" i="20"/>
  <c r="ER81" i="20"/>
  <c r="ES80" i="20"/>
  <c r="ER80" i="20"/>
  <c r="ES79" i="20"/>
  <c r="ER79" i="20"/>
  <c r="ES77" i="20"/>
  <c r="ER77" i="20"/>
  <c r="ES76" i="20"/>
  <c r="ER76" i="20"/>
  <c r="ES75" i="20"/>
  <c r="ER75" i="20"/>
  <c r="ES74" i="20"/>
  <c r="ER74" i="20"/>
  <c r="ES73" i="20"/>
  <c r="ER73" i="20"/>
  <c r="ES72" i="20"/>
  <c r="ER72" i="20"/>
  <c r="EH101" i="20"/>
  <c r="EG101" i="20"/>
  <c r="EH100" i="20"/>
  <c r="EG100" i="20"/>
  <c r="EH98" i="20"/>
  <c r="EG98" i="20"/>
  <c r="EH97" i="20"/>
  <c r="EG97" i="20"/>
  <c r="EH96" i="20"/>
  <c r="EG96" i="20"/>
  <c r="EH95" i="20"/>
  <c r="EG95" i="20"/>
  <c r="EH94" i="20"/>
  <c r="EG94" i="20"/>
  <c r="EH93" i="20"/>
  <c r="EG93" i="20"/>
  <c r="EH91" i="20"/>
  <c r="EG91" i="20"/>
  <c r="EH90" i="20"/>
  <c r="EG90" i="20"/>
  <c r="EH89" i="20"/>
  <c r="EG89" i="20"/>
  <c r="EH88" i="20"/>
  <c r="EG88" i="20"/>
  <c r="EH87" i="20"/>
  <c r="EG87" i="20"/>
  <c r="EH86" i="20"/>
  <c r="EG86" i="20"/>
  <c r="EH84" i="20"/>
  <c r="EG84" i="20"/>
  <c r="EH83" i="20"/>
  <c r="EG83" i="20"/>
  <c r="EH82" i="20"/>
  <c r="EG82" i="20"/>
  <c r="EH81" i="20"/>
  <c r="EG81" i="20"/>
  <c r="EH80" i="20"/>
  <c r="EG80" i="20"/>
  <c r="EH79" i="20"/>
  <c r="EG79" i="20"/>
  <c r="EH77" i="20"/>
  <c r="EG77" i="20"/>
  <c r="EH76" i="20"/>
  <c r="EG76" i="20"/>
  <c r="EH75" i="20"/>
  <c r="EG75" i="20"/>
  <c r="EH74" i="20"/>
  <c r="EG74" i="20"/>
  <c r="EH73" i="20"/>
  <c r="EG73" i="20"/>
  <c r="EH72" i="20"/>
  <c r="EG72" i="20"/>
  <c r="DW101" i="20"/>
  <c r="DV101" i="20"/>
  <c r="DW100" i="20"/>
  <c r="DV100" i="20"/>
  <c r="DW98" i="20"/>
  <c r="DV98" i="20"/>
  <c r="DW97" i="20"/>
  <c r="DV97" i="20"/>
  <c r="DW96" i="20"/>
  <c r="DV96" i="20"/>
  <c r="DW95" i="20"/>
  <c r="DV95" i="20"/>
  <c r="DW94" i="20"/>
  <c r="DV94" i="20"/>
  <c r="DW93" i="20"/>
  <c r="DV93" i="20"/>
  <c r="DW91" i="20"/>
  <c r="DV91" i="20"/>
  <c r="DW90" i="20"/>
  <c r="DV90" i="20"/>
  <c r="DW89" i="20"/>
  <c r="DV89" i="20"/>
  <c r="DW88" i="20"/>
  <c r="DV88" i="20"/>
  <c r="DW87" i="20"/>
  <c r="DV87" i="20"/>
  <c r="DW86" i="20"/>
  <c r="DV86" i="20"/>
  <c r="DW84" i="20"/>
  <c r="DV84" i="20"/>
  <c r="DW83" i="20"/>
  <c r="DV83" i="20"/>
  <c r="DW82" i="20"/>
  <c r="DV82" i="20"/>
  <c r="DW81" i="20"/>
  <c r="DV81" i="20"/>
  <c r="DW80" i="20"/>
  <c r="DV80" i="20"/>
  <c r="DW79" i="20"/>
  <c r="DV79" i="20"/>
  <c r="DW77" i="20"/>
  <c r="DV77" i="20"/>
  <c r="DW76" i="20"/>
  <c r="DV76" i="20"/>
  <c r="DW75" i="20"/>
  <c r="DV75" i="20"/>
  <c r="DW74" i="20"/>
  <c r="DV74" i="20"/>
  <c r="DW73" i="20"/>
  <c r="DV73" i="20"/>
  <c r="DW72" i="20"/>
  <c r="DV72" i="20"/>
  <c r="DL101" i="20"/>
  <c r="DK101" i="20"/>
  <c r="DL100" i="20"/>
  <c r="DK100" i="20"/>
  <c r="DL98" i="20"/>
  <c r="DK98" i="20"/>
  <c r="DL97" i="20"/>
  <c r="DK97" i="20"/>
  <c r="DL96" i="20"/>
  <c r="DK96" i="20"/>
  <c r="DL95" i="20"/>
  <c r="DK95" i="20"/>
  <c r="DL94" i="20"/>
  <c r="DK94" i="20"/>
  <c r="DL93" i="20"/>
  <c r="DK93" i="20"/>
  <c r="DL91" i="20"/>
  <c r="DK91" i="20"/>
  <c r="DL90" i="20"/>
  <c r="DK90" i="20"/>
  <c r="DL89" i="20"/>
  <c r="DK89" i="20"/>
  <c r="DL88" i="20"/>
  <c r="DK88" i="20"/>
  <c r="DL87" i="20"/>
  <c r="DK87" i="20"/>
  <c r="DL86" i="20"/>
  <c r="DK86" i="20"/>
  <c r="DL84" i="20"/>
  <c r="DK84" i="20"/>
  <c r="DL83" i="20"/>
  <c r="DK83" i="20"/>
  <c r="DL82" i="20"/>
  <c r="DK82" i="20"/>
  <c r="DL81" i="20"/>
  <c r="DK81" i="20"/>
  <c r="DL80" i="20"/>
  <c r="DK80" i="20"/>
  <c r="DL79" i="20"/>
  <c r="DK79" i="20"/>
  <c r="DL77" i="20"/>
  <c r="DK77" i="20"/>
  <c r="DL76" i="20"/>
  <c r="DK76" i="20"/>
  <c r="DL75" i="20"/>
  <c r="DK75" i="20"/>
  <c r="DL74" i="20"/>
  <c r="DK74" i="20"/>
  <c r="DL73" i="20"/>
  <c r="DK73" i="20"/>
  <c r="DL72" i="20"/>
  <c r="DK72" i="20"/>
  <c r="DA101" i="20"/>
  <c r="CZ101" i="20"/>
  <c r="DA100" i="20"/>
  <c r="CZ100" i="20"/>
  <c r="DA98" i="20"/>
  <c r="CZ98" i="20"/>
  <c r="DA97" i="20"/>
  <c r="CZ97" i="20"/>
  <c r="DA96" i="20"/>
  <c r="CZ96" i="20"/>
  <c r="DA95" i="20"/>
  <c r="CZ95" i="20"/>
  <c r="DA94" i="20"/>
  <c r="CZ94" i="20"/>
  <c r="DA93" i="20"/>
  <c r="CZ93" i="20"/>
  <c r="DA91" i="20"/>
  <c r="CZ91" i="20"/>
  <c r="DA90" i="20"/>
  <c r="CZ90" i="20"/>
  <c r="DA89" i="20"/>
  <c r="CZ89" i="20"/>
  <c r="DA88" i="20"/>
  <c r="CZ88" i="20"/>
  <c r="DA87" i="20"/>
  <c r="CZ87" i="20"/>
  <c r="DA86" i="20"/>
  <c r="CZ86" i="20"/>
  <c r="DA84" i="20"/>
  <c r="CZ84" i="20"/>
  <c r="DA83" i="20"/>
  <c r="CZ83" i="20"/>
  <c r="DA82" i="20"/>
  <c r="CZ82" i="20"/>
  <c r="DA81" i="20"/>
  <c r="CZ81" i="20"/>
  <c r="DA80" i="20"/>
  <c r="CZ80" i="20"/>
  <c r="DA79" i="20"/>
  <c r="CZ79" i="20"/>
  <c r="DA77" i="20"/>
  <c r="CZ77" i="20"/>
  <c r="DA76" i="20"/>
  <c r="CZ76" i="20"/>
  <c r="DA75" i="20"/>
  <c r="CZ75" i="20"/>
  <c r="DA74" i="20"/>
  <c r="CZ74" i="20"/>
  <c r="DA73" i="20"/>
  <c r="CZ73" i="20"/>
  <c r="DA72" i="20"/>
  <c r="CZ72" i="20"/>
  <c r="CP101" i="20"/>
  <c r="CO101" i="20"/>
  <c r="CP100" i="20"/>
  <c r="CO100" i="20"/>
  <c r="CP98" i="20"/>
  <c r="CO98" i="20"/>
  <c r="CP97" i="20"/>
  <c r="CO97" i="20"/>
  <c r="CP96" i="20"/>
  <c r="CO96" i="20"/>
  <c r="CP95" i="20"/>
  <c r="CO95" i="20"/>
  <c r="CP94" i="20"/>
  <c r="CO94" i="20"/>
  <c r="CP93" i="20"/>
  <c r="CO93" i="20"/>
  <c r="CP91" i="20"/>
  <c r="CO91" i="20"/>
  <c r="CP90" i="20"/>
  <c r="CO90" i="20"/>
  <c r="CP89" i="20"/>
  <c r="CO89" i="20"/>
  <c r="CP88" i="20"/>
  <c r="CO88" i="20"/>
  <c r="CP87" i="20"/>
  <c r="CO87" i="20"/>
  <c r="CP86" i="20"/>
  <c r="CO86" i="20"/>
  <c r="CP84" i="20"/>
  <c r="CO84" i="20"/>
  <c r="CP83" i="20"/>
  <c r="CO83" i="20"/>
  <c r="CP82" i="20"/>
  <c r="CO82" i="20"/>
  <c r="CP81" i="20"/>
  <c r="CO81" i="20"/>
  <c r="CP80" i="20"/>
  <c r="CO80" i="20"/>
  <c r="CP79" i="20"/>
  <c r="CO79" i="20"/>
  <c r="CP77" i="20"/>
  <c r="CO77" i="20"/>
  <c r="CP76" i="20"/>
  <c r="CO76" i="20"/>
  <c r="CP75" i="20"/>
  <c r="CO75" i="20"/>
  <c r="CP74" i="20"/>
  <c r="CO74" i="20"/>
  <c r="CP73" i="20"/>
  <c r="CO73" i="20"/>
  <c r="CP72" i="20"/>
  <c r="CO72" i="20"/>
  <c r="CE101" i="20"/>
  <c r="CD101" i="20"/>
  <c r="CE100" i="20"/>
  <c r="CD100" i="20"/>
  <c r="CE98" i="20"/>
  <c r="CD98" i="20"/>
  <c r="CE97" i="20"/>
  <c r="CD97" i="20"/>
  <c r="CE96" i="20"/>
  <c r="CD96" i="20"/>
  <c r="CE95" i="20"/>
  <c r="CD95" i="20"/>
  <c r="CE94" i="20"/>
  <c r="CD94" i="20"/>
  <c r="CE93" i="20"/>
  <c r="CD93" i="20"/>
  <c r="CE91" i="20"/>
  <c r="CD91" i="20"/>
  <c r="CE90" i="20"/>
  <c r="CD90" i="20"/>
  <c r="CE89" i="20"/>
  <c r="CD89" i="20"/>
  <c r="CE88" i="20"/>
  <c r="CD88" i="20"/>
  <c r="CE87" i="20"/>
  <c r="CD87" i="20"/>
  <c r="CE86" i="20"/>
  <c r="CD86" i="20"/>
  <c r="CE84" i="20"/>
  <c r="CD84" i="20"/>
  <c r="CE83" i="20"/>
  <c r="CD83" i="20"/>
  <c r="CE82" i="20"/>
  <c r="CD82" i="20"/>
  <c r="CE81" i="20"/>
  <c r="CD81" i="20"/>
  <c r="CE80" i="20"/>
  <c r="CD80" i="20"/>
  <c r="CE79" i="20"/>
  <c r="CD79" i="20"/>
  <c r="CE77" i="20"/>
  <c r="CD77" i="20"/>
  <c r="CE76" i="20"/>
  <c r="CD76" i="20"/>
  <c r="CE75" i="20"/>
  <c r="CD75" i="20"/>
  <c r="CE74" i="20"/>
  <c r="CD74" i="20"/>
  <c r="CE73" i="20"/>
  <c r="CD73" i="20"/>
  <c r="CE72" i="20"/>
  <c r="CD72" i="20"/>
  <c r="BT101" i="20"/>
  <c r="BS101" i="20"/>
  <c r="BT100" i="20"/>
  <c r="BS100" i="20"/>
  <c r="BT98" i="20"/>
  <c r="BS98" i="20"/>
  <c r="BT97" i="20"/>
  <c r="BS97" i="20"/>
  <c r="BT96" i="20"/>
  <c r="BS96" i="20"/>
  <c r="BT95" i="20"/>
  <c r="BS95" i="20"/>
  <c r="BT94" i="20"/>
  <c r="BS94" i="20"/>
  <c r="BT93" i="20"/>
  <c r="BS93" i="20"/>
  <c r="BT91" i="20"/>
  <c r="BS91" i="20"/>
  <c r="BT90" i="20"/>
  <c r="BS90" i="20"/>
  <c r="BT89" i="20"/>
  <c r="BS89" i="20"/>
  <c r="BT88" i="20"/>
  <c r="BS88" i="20"/>
  <c r="BT87" i="20"/>
  <c r="BS87" i="20"/>
  <c r="BT86" i="20"/>
  <c r="BS86" i="20"/>
  <c r="BT84" i="20"/>
  <c r="BS84" i="20"/>
  <c r="BT83" i="20"/>
  <c r="BS83" i="20"/>
  <c r="BT82" i="20"/>
  <c r="BS82" i="20"/>
  <c r="BT81" i="20"/>
  <c r="BS81" i="20"/>
  <c r="BT80" i="20"/>
  <c r="BS80" i="20"/>
  <c r="BT79" i="20"/>
  <c r="BS79" i="20"/>
  <c r="BT77" i="20"/>
  <c r="BS77" i="20"/>
  <c r="BT76" i="20"/>
  <c r="BS76" i="20"/>
  <c r="BT75" i="20"/>
  <c r="BS75" i="20"/>
  <c r="BT74" i="20"/>
  <c r="BS74" i="20"/>
  <c r="BT73" i="20"/>
  <c r="BS73" i="20"/>
  <c r="BT72" i="20"/>
  <c r="BS72" i="20"/>
  <c r="BI101" i="20"/>
  <c r="BH101" i="20"/>
  <c r="BI100" i="20"/>
  <c r="BH100" i="20"/>
  <c r="BI98" i="20"/>
  <c r="BH98" i="20"/>
  <c r="BI97" i="20"/>
  <c r="BH97" i="20"/>
  <c r="BI96" i="20"/>
  <c r="BH96" i="20"/>
  <c r="BI95" i="20"/>
  <c r="BH95" i="20"/>
  <c r="BI94" i="20"/>
  <c r="BH94" i="20"/>
  <c r="BI93" i="20"/>
  <c r="BH93" i="20"/>
  <c r="BI91" i="20"/>
  <c r="BH91" i="20"/>
  <c r="BI90" i="20"/>
  <c r="BH90" i="20"/>
  <c r="BI89" i="20"/>
  <c r="BH89" i="20"/>
  <c r="BI88" i="20"/>
  <c r="BH88" i="20"/>
  <c r="BI87" i="20"/>
  <c r="BH87" i="20"/>
  <c r="BI86" i="20"/>
  <c r="BH86" i="20"/>
  <c r="BI84" i="20"/>
  <c r="BH84" i="20"/>
  <c r="BI83" i="20"/>
  <c r="BH83" i="20"/>
  <c r="BI82" i="20"/>
  <c r="BH82" i="20"/>
  <c r="BI81" i="20"/>
  <c r="BH81" i="20"/>
  <c r="BI80" i="20"/>
  <c r="BH80" i="20"/>
  <c r="BI79" i="20"/>
  <c r="BH79" i="20"/>
  <c r="BI77" i="20"/>
  <c r="BH77" i="20"/>
  <c r="BI76" i="20"/>
  <c r="BH76" i="20"/>
  <c r="BI75" i="20"/>
  <c r="BH75" i="20"/>
  <c r="BI74" i="20"/>
  <c r="BH74" i="20"/>
  <c r="BI73" i="20"/>
  <c r="BH73" i="20"/>
  <c r="BI72" i="20"/>
  <c r="BH72" i="20"/>
  <c r="AX101" i="20"/>
  <c r="AW101" i="20"/>
  <c r="AX100" i="20"/>
  <c r="AW100" i="20"/>
  <c r="AX98" i="20"/>
  <c r="AW98" i="20"/>
  <c r="AX97" i="20"/>
  <c r="AW97" i="20"/>
  <c r="AX96" i="20"/>
  <c r="AW96" i="20"/>
  <c r="AX95" i="20"/>
  <c r="AW95" i="20"/>
  <c r="AX94" i="20"/>
  <c r="AW94" i="20"/>
  <c r="AX93" i="20"/>
  <c r="AW93" i="20"/>
  <c r="AX91" i="20"/>
  <c r="AW91" i="20"/>
  <c r="AX90" i="20"/>
  <c r="AW90" i="20"/>
  <c r="AX89" i="20"/>
  <c r="AW89" i="20"/>
  <c r="AX88" i="20"/>
  <c r="AW88" i="20"/>
  <c r="AX87" i="20"/>
  <c r="AW87" i="20"/>
  <c r="AX86" i="20"/>
  <c r="AW86" i="20"/>
  <c r="AX84" i="20"/>
  <c r="AW84" i="20"/>
  <c r="AX83" i="20"/>
  <c r="AW83" i="20"/>
  <c r="AX82" i="20"/>
  <c r="AW82" i="20"/>
  <c r="AX81" i="20"/>
  <c r="AW81" i="20"/>
  <c r="AX80" i="20"/>
  <c r="AW80" i="20"/>
  <c r="AX79" i="20"/>
  <c r="AW79" i="20"/>
  <c r="AX77" i="20"/>
  <c r="AW77" i="20"/>
  <c r="AX76" i="20"/>
  <c r="AW76" i="20"/>
  <c r="AX75" i="20"/>
  <c r="AW75" i="20"/>
  <c r="AX74" i="20"/>
  <c r="AW74" i="20"/>
  <c r="AX73" i="20"/>
  <c r="AW73" i="20"/>
  <c r="AX72" i="20"/>
  <c r="AW72" i="20"/>
  <c r="AM101" i="20"/>
  <c r="AL101" i="20"/>
  <c r="AM100" i="20"/>
  <c r="AL100" i="20"/>
  <c r="AM98" i="20"/>
  <c r="AL98" i="20"/>
  <c r="AM97" i="20"/>
  <c r="AL97" i="20"/>
  <c r="AM96" i="20"/>
  <c r="AL96" i="20"/>
  <c r="AM95" i="20"/>
  <c r="AL95" i="20"/>
  <c r="AM94" i="20"/>
  <c r="AL94" i="20"/>
  <c r="AM93" i="20"/>
  <c r="AL93" i="20"/>
  <c r="AM91" i="20"/>
  <c r="AL91" i="20"/>
  <c r="AM90" i="20"/>
  <c r="AL90" i="20"/>
  <c r="AM89" i="20"/>
  <c r="AL89" i="20"/>
  <c r="AM88" i="20"/>
  <c r="AL88" i="20"/>
  <c r="AM87" i="20"/>
  <c r="AL87" i="20"/>
  <c r="AM86" i="20"/>
  <c r="AL86" i="20"/>
  <c r="AM84" i="20"/>
  <c r="AL84" i="20"/>
  <c r="AM83" i="20"/>
  <c r="AL83" i="20"/>
  <c r="AM82" i="20"/>
  <c r="AL82" i="20"/>
  <c r="AM81" i="20"/>
  <c r="AL81" i="20"/>
  <c r="AM80" i="20"/>
  <c r="AL80" i="20"/>
  <c r="AM79" i="20"/>
  <c r="AL79" i="20"/>
  <c r="AM77" i="20"/>
  <c r="AL77" i="20"/>
  <c r="AM76" i="20"/>
  <c r="AL76" i="20"/>
  <c r="AM75" i="20"/>
  <c r="AL75" i="20"/>
  <c r="AM74" i="20"/>
  <c r="AL74" i="20"/>
  <c r="AM73" i="20"/>
  <c r="AL73" i="20"/>
  <c r="AM72" i="20"/>
  <c r="AL72" i="20"/>
  <c r="AB101" i="20"/>
  <c r="AA101" i="20"/>
  <c r="AB100" i="20"/>
  <c r="AA100" i="20"/>
  <c r="AB98" i="20"/>
  <c r="AA98" i="20"/>
  <c r="AB97" i="20"/>
  <c r="AA97" i="20"/>
  <c r="AB96" i="20"/>
  <c r="AA96" i="20"/>
  <c r="AB95" i="20"/>
  <c r="AA95" i="20"/>
  <c r="AB94" i="20"/>
  <c r="AA94" i="20"/>
  <c r="AB93" i="20"/>
  <c r="AA93" i="20"/>
  <c r="AB91" i="20"/>
  <c r="AA91" i="20"/>
  <c r="AB90" i="20"/>
  <c r="AA90" i="20"/>
  <c r="AB89" i="20"/>
  <c r="AA89" i="20"/>
  <c r="AB88" i="20"/>
  <c r="AA88" i="20"/>
  <c r="AB87" i="20"/>
  <c r="AA87" i="20"/>
  <c r="AB86" i="20"/>
  <c r="AA86" i="20"/>
  <c r="AB84" i="20"/>
  <c r="AA84" i="20"/>
  <c r="AB83" i="20"/>
  <c r="AA83" i="20"/>
  <c r="AB82" i="20"/>
  <c r="AA82" i="20"/>
  <c r="AB81" i="20"/>
  <c r="AA81" i="20"/>
  <c r="AB80" i="20"/>
  <c r="AA80" i="20"/>
  <c r="AB79" i="20"/>
  <c r="AA79" i="20"/>
  <c r="AB77" i="20"/>
  <c r="AA77" i="20"/>
  <c r="AB76" i="20"/>
  <c r="AA76" i="20"/>
  <c r="AB75" i="20"/>
  <c r="AA75" i="20"/>
  <c r="AB74" i="20"/>
  <c r="AA74" i="20"/>
  <c r="AB73" i="20"/>
  <c r="AA73" i="20"/>
  <c r="AB72" i="20"/>
  <c r="AA72" i="20"/>
  <c r="P73" i="20"/>
  <c r="Q73" i="20"/>
  <c r="P74" i="20"/>
  <c r="Q74" i="20"/>
  <c r="P75" i="20"/>
  <c r="Q75" i="20"/>
  <c r="P76" i="20"/>
  <c r="Q76" i="20"/>
  <c r="P77" i="20"/>
  <c r="Q77" i="20"/>
  <c r="P79" i="20"/>
  <c r="Q79" i="20"/>
  <c r="P80" i="20"/>
  <c r="Q80" i="20"/>
  <c r="P81" i="20"/>
  <c r="Q81" i="20"/>
  <c r="P82" i="20"/>
  <c r="Q82" i="20"/>
  <c r="P83" i="20"/>
  <c r="Q83" i="20"/>
  <c r="P84" i="20"/>
  <c r="Q84" i="20"/>
  <c r="P86" i="20"/>
  <c r="Q86" i="20"/>
  <c r="P87" i="20"/>
  <c r="Q87" i="20"/>
  <c r="P88" i="20"/>
  <c r="Q88" i="20"/>
  <c r="P89" i="20"/>
  <c r="Q89" i="20"/>
  <c r="P90" i="20"/>
  <c r="Q90" i="20"/>
  <c r="P91" i="20"/>
  <c r="Q91" i="20"/>
  <c r="P93" i="20"/>
  <c r="Q93" i="20"/>
  <c r="P94" i="20"/>
  <c r="Q94" i="20"/>
  <c r="P95" i="20"/>
  <c r="Q95" i="20"/>
  <c r="P96" i="20"/>
  <c r="Q96" i="20"/>
  <c r="P97" i="20"/>
  <c r="Q97" i="20"/>
  <c r="P98" i="20"/>
  <c r="Q98" i="20"/>
  <c r="P100" i="20"/>
  <c r="Q100" i="20"/>
  <c r="P101" i="20"/>
  <c r="Q101" i="20"/>
  <c r="Q72" i="20"/>
  <c r="P72" i="20"/>
  <c r="GN145" i="13"/>
  <c r="GP145" i="13" s="1"/>
  <c r="GP144" i="13"/>
  <c r="BT145" i="13"/>
  <c r="BT144" i="13"/>
  <c r="BV175" i="13"/>
  <c r="BU144" i="13"/>
  <c r="BG144" i="13"/>
  <c r="BI175" i="13"/>
  <c r="BG145" i="13"/>
  <c r="AT173" i="13"/>
  <c r="AT172" i="13"/>
  <c r="AT171" i="13"/>
  <c r="AT170" i="13"/>
  <c r="AT169" i="13"/>
  <c r="AT168" i="13"/>
  <c r="AT167" i="13"/>
  <c r="AT166" i="13"/>
  <c r="AT165" i="13"/>
  <c r="AT164" i="13"/>
  <c r="AT163" i="13"/>
  <c r="AT162" i="13"/>
  <c r="AT161" i="13"/>
  <c r="AT160" i="13"/>
  <c r="AT159" i="13"/>
  <c r="AT158" i="13"/>
  <c r="AT157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U112" i="13"/>
  <c r="AY121" i="13"/>
  <c r="AX111" i="13"/>
  <c r="AV175" i="13"/>
  <c r="AU144" i="13"/>
  <c r="AH175" i="13"/>
  <c r="AG144" i="13"/>
  <c r="AF144" i="13"/>
  <c r="AF145" i="13" s="1"/>
  <c r="R144" i="13"/>
  <c r="T144" i="13" s="1"/>
  <c r="D175" i="13"/>
  <c r="E175" i="13"/>
  <c r="C183" i="13" s="1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44" i="13"/>
  <c r="C146" i="13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44" i="13"/>
  <c r="H123" i="13"/>
  <c r="C145" i="13"/>
  <c r="H130" i="13"/>
  <c r="H131" i="13"/>
  <c r="H136" i="13"/>
  <c r="GW163" i="12"/>
  <c r="HB166" i="12" s="1"/>
  <c r="GX177" i="12"/>
  <c r="GX176" i="12"/>
  <c r="GX175" i="12"/>
  <c r="HF166" i="12"/>
  <c r="HH164" i="12"/>
  <c r="HG164" i="12"/>
  <c r="HF164" i="12"/>
  <c r="HE164" i="12"/>
  <c r="HD164" i="12"/>
  <c r="HC164" i="12"/>
  <c r="HB164" i="12"/>
  <c r="HA164" i="12"/>
  <c r="GZ164" i="12"/>
  <c r="GY164" i="12"/>
  <c r="HE166" i="12"/>
  <c r="GI163" i="12"/>
  <c r="GN166" i="12" s="1"/>
  <c r="GJ177" i="12"/>
  <c r="GJ176" i="12"/>
  <c r="GJ175" i="12"/>
  <c r="GR166" i="12"/>
  <c r="GT164" i="12"/>
  <c r="GS164" i="12"/>
  <c r="GR164" i="12"/>
  <c r="GQ164" i="12"/>
  <c r="GP164" i="12"/>
  <c r="GO164" i="12"/>
  <c r="GN164" i="12"/>
  <c r="GM164" i="12"/>
  <c r="GL164" i="12"/>
  <c r="GK164" i="12"/>
  <c r="GQ166" i="12"/>
  <c r="FU163" i="12"/>
  <c r="FZ166" i="12" s="1"/>
  <c r="FV177" i="12"/>
  <c r="FV176" i="12"/>
  <c r="FV175" i="12"/>
  <c r="GD166" i="12"/>
  <c r="GF164" i="12"/>
  <c r="GE164" i="12"/>
  <c r="GD164" i="12"/>
  <c r="GC164" i="12"/>
  <c r="GB164" i="12"/>
  <c r="GA164" i="12"/>
  <c r="FZ164" i="12"/>
  <c r="FY164" i="12"/>
  <c r="FX164" i="12"/>
  <c r="FW164" i="12"/>
  <c r="FV163" i="12"/>
  <c r="GE167" i="12" s="1"/>
  <c r="FG163" i="12"/>
  <c r="FL166" i="12" s="1"/>
  <c r="FH177" i="12"/>
  <c r="FH176" i="12"/>
  <c r="FH175" i="12"/>
  <c r="FP166" i="12"/>
  <c r="FR164" i="12"/>
  <c r="FQ164" i="12"/>
  <c r="FP164" i="12"/>
  <c r="FO164" i="12"/>
  <c r="FN164" i="12"/>
  <c r="FM164" i="12"/>
  <c r="FL164" i="12"/>
  <c r="FK164" i="12"/>
  <c r="FJ164" i="12"/>
  <c r="FI164" i="12"/>
  <c r="FO166" i="12"/>
  <c r="ES163" i="12"/>
  <c r="EX166" i="12" s="1"/>
  <c r="ET177" i="12"/>
  <c r="ET176" i="12"/>
  <c r="ET175" i="12"/>
  <c r="FB166" i="12"/>
  <c r="FD164" i="12"/>
  <c r="FC164" i="12"/>
  <c r="FB164" i="12"/>
  <c r="FA164" i="12"/>
  <c r="EZ164" i="12"/>
  <c r="EY164" i="12"/>
  <c r="EX164" i="12"/>
  <c r="EW164" i="12"/>
  <c r="EV164" i="12"/>
  <c r="EU164" i="12"/>
  <c r="FA166" i="12"/>
  <c r="EF163" i="12"/>
  <c r="EE163" i="12"/>
  <c r="EJ166" i="12" s="1"/>
  <c r="EF177" i="12"/>
  <c r="EF176" i="12"/>
  <c r="EF175" i="12"/>
  <c r="EN166" i="12"/>
  <c r="EP164" i="12"/>
  <c r="EO164" i="12"/>
  <c r="EN164" i="12"/>
  <c r="EM164" i="12"/>
  <c r="EL164" i="12"/>
  <c r="EK164" i="12"/>
  <c r="EJ164" i="12"/>
  <c r="EI164" i="12"/>
  <c r="EH164" i="12"/>
  <c r="EG164" i="12"/>
  <c r="EO167" i="12"/>
  <c r="EM166" i="12"/>
  <c r="DR163" i="12"/>
  <c r="DQ163" i="12"/>
  <c r="DV166" i="12" s="1"/>
  <c r="DR177" i="12"/>
  <c r="DR176" i="12"/>
  <c r="DR175" i="12"/>
  <c r="DZ166" i="12"/>
  <c r="EB164" i="12"/>
  <c r="EA164" i="12"/>
  <c r="DZ164" i="12"/>
  <c r="DY164" i="12"/>
  <c r="DX164" i="12"/>
  <c r="DX167" i="12" s="1"/>
  <c r="DW164" i="12"/>
  <c r="DV164" i="12"/>
  <c r="DU164" i="12"/>
  <c r="DT164" i="12"/>
  <c r="DT167" i="12" s="1"/>
  <c r="DS164" i="12"/>
  <c r="EA167" i="12"/>
  <c r="DC163" i="12"/>
  <c r="DD177" i="12"/>
  <c r="DD176" i="12"/>
  <c r="DD175" i="12"/>
  <c r="DL166" i="12"/>
  <c r="DH166" i="12"/>
  <c r="DN164" i="12"/>
  <c r="DN167" i="12" s="1"/>
  <c r="DD171" i="12" s="1"/>
  <c r="DM164" i="12"/>
  <c r="DL164" i="12"/>
  <c r="DK164" i="12"/>
  <c r="DK167" i="12" s="1"/>
  <c r="DJ164" i="12"/>
  <c r="DJ167" i="12" s="1"/>
  <c r="DI164" i="12"/>
  <c r="DH164" i="12"/>
  <c r="DG164" i="12"/>
  <c r="DG167" i="12" s="1"/>
  <c r="DF164" i="12"/>
  <c r="DF167" i="12" s="1"/>
  <c r="DE164" i="12"/>
  <c r="DD163" i="12"/>
  <c r="DM167" i="12" s="1"/>
  <c r="DK166" i="12"/>
  <c r="CP163" i="12"/>
  <c r="CO163" i="12"/>
  <c r="CP177" i="12"/>
  <c r="CP176" i="12"/>
  <c r="CP175" i="12"/>
  <c r="CX166" i="12"/>
  <c r="CT166" i="12"/>
  <c r="CZ164" i="12"/>
  <c r="CZ166" i="12" s="1"/>
  <c r="CY164" i="12"/>
  <c r="CX164" i="12"/>
  <c r="CW164" i="12"/>
  <c r="CV164" i="12"/>
  <c r="CV166" i="12" s="1"/>
  <c r="CU164" i="12"/>
  <c r="CT164" i="12"/>
  <c r="CS164" i="12"/>
  <c r="CR164" i="12"/>
  <c r="CR167" i="12" s="1"/>
  <c r="CQ164" i="12"/>
  <c r="CY167" i="12"/>
  <c r="CW166" i="12"/>
  <c r="CB163" i="12"/>
  <c r="CA163" i="12"/>
  <c r="CB177" i="12"/>
  <c r="CB176" i="12"/>
  <c r="CB175" i="12"/>
  <c r="CJ166" i="12"/>
  <c r="CF166" i="12"/>
  <c r="CE166" i="12"/>
  <c r="CL164" i="12"/>
  <c r="CL167" i="12" s="1"/>
  <c r="CB171" i="12" s="1"/>
  <c r="CK164" i="12"/>
  <c r="CJ164" i="12"/>
  <c r="CI164" i="12"/>
  <c r="CH164" i="12"/>
  <c r="CH167" i="12" s="1"/>
  <c r="CG164" i="12"/>
  <c r="CF164" i="12"/>
  <c r="CE164" i="12"/>
  <c r="CD164" i="12"/>
  <c r="CD167" i="12" s="1"/>
  <c r="CC164" i="12"/>
  <c r="CK167" i="12"/>
  <c r="CI166" i="12"/>
  <c r="BX167" i="12"/>
  <c r="BW167" i="12"/>
  <c r="BV167" i="12"/>
  <c r="BU167" i="12"/>
  <c r="BT167" i="12"/>
  <c r="BS167" i="12"/>
  <c r="BR167" i="12"/>
  <c r="BQ167" i="12"/>
  <c r="BP167" i="12"/>
  <c r="BO167" i="12"/>
  <c r="BX166" i="12"/>
  <c r="BW166" i="12"/>
  <c r="BV166" i="12"/>
  <c r="BU166" i="12"/>
  <c r="BT166" i="12"/>
  <c r="BS166" i="12"/>
  <c r="BN169" i="12" s="1"/>
  <c r="BN180" i="12" s="1"/>
  <c r="BR166" i="12"/>
  <c r="BQ166" i="12"/>
  <c r="BP166" i="12"/>
  <c r="BO166" i="12"/>
  <c r="BN170" i="12" s="1"/>
  <c r="BN181" i="12" s="1"/>
  <c r="BJ167" i="12"/>
  <c r="BI167" i="12"/>
  <c r="BH167" i="12"/>
  <c r="BG167" i="12"/>
  <c r="BF167" i="12"/>
  <c r="BE167" i="12"/>
  <c r="BD167" i="12"/>
  <c r="BC167" i="12"/>
  <c r="BB167" i="12"/>
  <c r="BA167" i="12"/>
  <c r="BJ166" i="12"/>
  <c r="BI166" i="12"/>
  <c r="BH166" i="12"/>
  <c r="BG166" i="12"/>
  <c r="BF166" i="12"/>
  <c r="BE166" i="12"/>
  <c r="BD166" i="12"/>
  <c r="BC166" i="12"/>
  <c r="BB166" i="12"/>
  <c r="BA166" i="12"/>
  <c r="AZ170" i="12" s="1"/>
  <c r="AV167" i="12"/>
  <c r="AU167" i="12"/>
  <c r="AT167" i="12"/>
  <c r="AS167" i="12"/>
  <c r="AR167" i="12"/>
  <c r="AQ167" i="12"/>
  <c r="AP167" i="12"/>
  <c r="AO167" i="12"/>
  <c r="AN167" i="12"/>
  <c r="AM167" i="12"/>
  <c r="AV166" i="12"/>
  <c r="AU166" i="12"/>
  <c r="AT166" i="12"/>
  <c r="AS166" i="12"/>
  <c r="AR166" i="12"/>
  <c r="AQ166" i="12"/>
  <c r="AP166" i="12"/>
  <c r="AO166" i="12"/>
  <c r="AN166" i="12"/>
  <c r="AM166" i="12"/>
  <c r="AH167" i="12"/>
  <c r="AG167" i="12"/>
  <c r="AF167" i="12"/>
  <c r="AE167" i="12"/>
  <c r="AD167" i="12"/>
  <c r="AC167" i="12"/>
  <c r="AB167" i="12"/>
  <c r="AA167" i="12"/>
  <c r="Z167" i="12"/>
  <c r="Y167" i="12"/>
  <c r="AH166" i="12"/>
  <c r="AG166" i="12"/>
  <c r="AF166" i="12"/>
  <c r="AE166" i="12"/>
  <c r="AD166" i="12"/>
  <c r="AC166" i="12"/>
  <c r="AB166" i="12"/>
  <c r="AA166" i="12"/>
  <c r="Z166" i="12"/>
  <c r="Y166" i="12"/>
  <c r="X170" i="12" s="1"/>
  <c r="X181" i="12" s="1"/>
  <c r="J166" i="12"/>
  <c r="I170" i="12" s="1"/>
  <c r="I181" i="12" s="1"/>
  <c r="S167" i="12"/>
  <c r="I171" i="12" s="1"/>
  <c r="I182" i="12" s="1"/>
  <c r="R167" i="12"/>
  <c r="Q167" i="12"/>
  <c r="P167" i="12"/>
  <c r="O167" i="12"/>
  <c r="N167" i="12"/>
  <c r="M167" i="12"/>
  <c r="L167" i="12"/>
  <c r="K167" i="12"/>
  <c r="J167" i="12"/>
  <c r="S166" i="12"/>
  <c r="R166" i="12"/>
  <c r="Q166" i="12"/>
  <c r="P166" i="12"/>
  <c r="O166" i="12"/>
  <c r="N166" i="12"/>
  <c r="M166" i="12"/>
  <c r="L166" i="12"/>
  <c r="K166" i="12"/>
  <c r="BN163" i="12"/>
  <c r="BM163" i="12"/>
  <c r="BN177" i="12"/>
  <c r="BN176" i="12"/>
  <c r="BN175" i="12"/>
  <c r="BN171" i="12"/>
  <c r="BN182" i="12" s="1"/>
  <c r="BX164" i="12"/>
  <c r="BW164" i="12"/>
  <c r="BV164" i="12"/>
  <c r="BU164" i="12"/>
  <c r="BT164" i="12"/>
  <c r="BS164" i="12"/>
  <c r="BR164" i="12"/>
  <c r="BQ164" i="12"/>
  <c r="BP164" i="12"/>
  <c r="BO164" i="12"/>
  <c r="BB164" i="12"/>
  <c r="BC164" i="12"/>
  <c r="BD164" i="12"/>
  <c r="BE164" i="12"/>
  <c r="BF164" i="12"/>
  <c r="BG164" i="12"/>
  <c r="BH164" i="12"/>
  <c r="BI164" i="12"/>
  <c r="BJ164" i="12"/>
  <c r="BA164" i="12"/>
  <c r="AZ177" i="12"/>
  <c r="AZ176" i="12"/>
  <c r="AZ175" i="12"/>
  <c r="AZ171" i="12"/>
  <c r="AZ163" i="12"/>
  <c r="AY163" i="12"/>
  <c r="AL163" i="12"/>
  <c r="AK163" i="12"/>
  <c r="AL177" i="12"/>
  <c r="AL176" i="12"/>
  <c r="AL175" i="12"/>
  <c r="AV164" i="12"/>
  <c r="AL171" i="12" s="1"/>
  <c r="AU164" i="12"/>
  <c r="AT164" i="12"/>
  <c r="AS164" i="12"/>
  <c r="AR164" i="12"/>
  <c r="AQ164" i="12"/>
  <c r="AP164" i="12"/>
  <c r="AO164" i="12"/>
  <c r="AN164" i="12"/>
  <c r="AM164" i="12"/>
  <c r="X177" i="12"/>
  <c r="X176" i="12"/>
  <c r="X175" i="12"/>
  <c r="Y164" i="12"/>
  <c r="X163" i="12"/>
  <c r="W163" i="12"/>
  <c r="AH164" i="12"/>
  <c r="X171" i="12" s="1"/>
  <c r="AG164" i="12"/>
  <c r="AF164" i="12"/>
  <c r="AE164" i="12"/>
  <c r="AD164" i="12"/>
  <c r="AC164" i="12"/>
  <c r="AB164" i="12"/>
  <c r="AA164" i="12"/>
  <c r="Z164" i="12"/>
  <c r="I180" i="12"/>
  <c r="I177" i="12"/>
  <c r="I176" i="12"/>
  <c r="I163" i="12"/>
  <c r="H163" i="12"/>
  <c r="J164" i="12"/>
  <c r="K164" i="12"/>
  <c r="L164" i="12"/>
  <c r="M164" i="12"/>
  <c r="N164" i="12"/>
  <c r="O164" i="12"/>
  <c r="P164" i="12"/>
  <c r="Q164" i="12"/>
  <c r="R164" i="12"/>
  <c r="S164" i="12"/>
  <c r="HI152" i="12"/>
  <c r="HD152" i="12"/>
  <c r="HI151" i="12"/>
  <c r="HD151" i="12"/>
  <c r="HI150" i="12"/>
  <c r="HD150" i="12"/>
  <c r="HI149" i="12"/>
  <c r="HD149" i="12"/>
  <c r="HI148" i="12"/>
  <c r="HD148" i="12"/>
  <c r="HI147" i="12"/>
  <c r="HD147" i="12"/>
  <c r="HI146" i="12"/>
  <c r="HD146" i="12"/>
  <c r="HI145" i="12"/>
  <c r="HD145" i="12"/>
  <c r="HI144" i="12"/>
  <c r="HD144" i="12"/>
  <c r="HI143" i="12"/>
  <c r="HD143" i="12"/>
  <c r="HI142" i="12"/>
  <c r="HD142" i="12"/>
  <c r="HI141" i="12"/>
  <c r="HD141" i="12"/>
  <c r="HI140" i="12"/>
  <c r="HD140" i="12"/>
  <c r="HI139" i="12"/>
  <c r="HD139" i="12"/>
  <c r="HI138" i="12"/>
  <c r="HD138" i="12"/>
  <c r="HI137" i="12"/>
  <c r="HD137" i="12"/>
  <c r="HI136" i="12"/>
  <c r="HD136" i="12"/>
  <c r="HI135" i="12"/>
  <c r="HD135" i="12"/>
  <c r="HI134" i="12"/>
  <c r="HD134" i="12"/>
  <c r="HI133" i="12"/>
  <c r="HD133" i="12"/>
  <c r="HI132" i="12"/>
  <c r="HD132" i="12"/>
  <c r="HI131" i="12"/>
  <c r="HD131" i="12"/>
  <c r="HI130" i="12"/>
  <c r="HD130" i="12"/>
  <c r="HI129" i="12"/>
  <c r="HD129" i="12"/>
  <c r="HI128" i="12"/>
  <c r="HD128" i="12"/>
  <c r="HI127" i="12"/>
  <c r="HD127" i="12"/>
  <c r="HI126" i="12"/>
  <c r="HD126" i="12"/>
  <c r="HI125" i="12"/>
  <c r="HD125" i="12"/>
  <c r="HI124" i="12"/>
  <c r="HG124" i="12"/>
  <c r="HH124" i="12" s="1"/>
  <c r="HD124" i="12"/>
  <c r="HB124" i="12"/>
  <c r="GW124" i="12"/>
  <c r="HI123" i="12"/>
  <c r="HI154" i="12" s="1"/>
  <c r="HH123" i="12"/>
  <c r="HD123" i="12"/>
  <c r="HD154" i="12" s="1"/>
  <c r="HC123" i="12"/>
  <c r="GY154" i="12"/>
  <c r="GX123" i="12"/>
  <c r="GU152" i="12"/>
  <c r="GP152" i="12"/>
  <c r="GK152" i="12"/>
  <c r="GU151" i="12"/>
  <c r="GP151" i="12"/>
  <c r="GK151" i="12"/>
  <c r="GU150" i="12"/>
  <c r="GP150" i="12"/>
  <c r="GK150" i="12"/>
  <c r="GU149" i="12"/>
  <c r="GP149" i="12"/>
  <c r="GK149" i="12"/>
  <c r="GU148" i="12"/>
  <c r="GP148" i="12"/>
  <c r="GK148" i="12"/>
  <c r="GU147" i="12"/>
  <c r="GP147" i="12"/>
  <c r="GK147" i="12"/>
  <c r="GU146" i="12"/>
  <c r="GP146" i="12"/>
  <c r="GK146" i="12"/>
  <c r="GU145" i="12"/>
  <c r="GP145" i="12"/>
  <c r="GK145" i="12"/>
  <c r="GU144" i="12"/>
  <c r="GP144" i="12"/>
  <c r="GK144" i="12"/>
  <c r="GU143" i="12"/>
  <c r="GP143" i="12"/>
  <c r="GK143" i="12"/>
  <c r="GU142" i="12"/>
  <c r="GP142" i="12"/>
  <c r="GK142" i="12"/>
  <c r="GU141" i="12"/>
  <c r="GP141" i="12"/>
  <c r="GK141" i="12"/>
  <c r="GU140" i="12"/>
  <c r="GP140" i="12"/>
  <c r="GK140" i="12"/>
  <c r="GU139" i="12"/>
  <c r="GP139" i="12"/>
  <c r="GK139" i="12"/>
  <c r="GU138" i="12"/>
  <c r="GP138" i="12"/>
  <c r="GK138" i="12"/>
  <c r="GU137" i="12"/>
  <c r="GP137" i="12"/>
  <c r="GK137" i="12"/>
  <c r="GU136" i="12"/>
  <c r="GP136" i="12"/>
  <c r="GK136" i="12"/>
  <c r="GU135" i="12"/>
  <c r="GP135" i="12"/>
  <c r="GK135" i="12"/>
  <c r="GU134" i="12"/>
  <c r="GP134" i="12"/>
  <c r="GK134" i="12"/>
  <c r="GU133" i="12"/>
  <c r="GP133" i="12"/>
  <c r="GK133" i="12"/>
  <c r="GU132" i="12"/>
  <c r="GP132" i="12"/>
  <c r="GK132" i="12"/>
  <c r="GU131" i="12"/>
  <c r="GP131" i="12"/>
  <c r="GK131" i="12"/>
  <c r="GU130" i="12"/>
  <c r="GP130" i="12"/>
  <c r="GK130" i="12"/>
  <c r="GU129" i="12"/>
  <c r="GP129" i="12"/>
  <c r="GK129" i="12"/>
  <c r="GU128" i="12"/>
  <c r="GP128" i="12"/>
  <c r="GK128" i="12"/>
  <c r="GU127" i="12"/>
  <c r="GP127" i="12"/>
  <c r="GK127" i="12"/>
  <c r="GU126" i="12"/>
  <c r="GP126" i="12"/>
  <c r="GK126" i="12"/>
  <c r="GU125" i="12"/>
  <c r="GP125" i="12"/>
  <c r="GN125" i="12"/>
  <c r="GN126" i="12" s="1"/>
  <c r="GK125" i="12"/>
  <c r="GU124" i="12"/>
  <c r="GS124" i="12"/>
  <c r="GP124" i="12"/>
  <c r="GN124" i="12"/>
  <c r="GO124" i="12" s="1"/>
  <c r="GK124" i="12"/>
  <c r="GI124" i="12"/>
  <c r="GU123" i="12"/>
  <c r="GU154" i="12" s="1"/>
  <c r="GT123" i="12"/>
  <c r="GP123" i="12"/>
  <c r="GP154" i="12" s="1"/>
  <c r="GO123" i="12"/>
  <c r="GK123" i="12"/>
  <c r="GK154" i="12" s="1"/>
  <c r="GJ123" i="12"/>
  <c r="GG152" i="12"/>
  <c r="GB152" i="12"/>
  <c r="FW152" i="12"/>
  <c r="GG151" i="12"/>
  <c r="GB151" i="12"/>
  <c r="FW151" i="12"/>
  <c r="GG150" i="12"/>
  <c r="GB150" i="12"/>
  <c r="FW150" i="12"/>
  <c r="GG149" i="12"/>
  <c r="GB149" i="12"/>
  <c r="FW149" i="12"/>
  <c r="GG148" i="12"/>
  <c r="GB148" i="12"/>
  <c r="FW148" i="12"/>
  <c r="GG147" i="12"/>
  <c r="GB147" i="12"/>
  <c r="FW147" i="12"/>
  <c r="GG146" i="12"/>
  <c r="GB146" i="12"/>
  <c r="FW146" i="12"/>
  <c r="GG145" i="12"/>
  <c r="GB145" i="12"/>
  <c r="FW145" i="12"/>
  <c r="GG144" i="12"/>
  <c r="GB144" i="12"/>
  <c r="FW144" i="12"/>
  <c r="GG143" i="12"/>
  <c r="GB143" i="12"/>
  <c r="FW143" i="12"/>
  <c r="GG142" i="12"/>
  <c r="GB142" i="12"/>
  <c r="FW142" i="12"/>
  <c r="GG141" i="12"/>
  <c r="GB141" i="12"/>
  <c r="FW141" i="12"/>
  <c r="GG140" i="12"/>
  <c r="GB140" i="12"/>
  <c r="FW140" i="12"/>
  <c r="GG139" i="12"/>
  <c r="GB139" i="12"/>
  <c r="FW139" i="12"/>
  <c r="GG138" i="12"/>
  <c r="GB138" i="12"/>
  <c r="FW138" i="12"/>
  <c r="GG137" i="12"/>
  <c r="GB137" i="12"/>
  <c r="FW137" i="12"/>
  <c r="GG136" i="12"/>
  <c r="GB136" i="12"/>
  <c r="FW136" i="12"/>
  <c r="GG135" i="12"/>
  <c r="GB135" i="12"/>
  <c r="FW135" i="12"/>
  <c r="GG134" i="12"/>
  <c r="GB134" i="12"/>
  <c r="FW134" i="12"/>
  <c r="GG133" i="12"/>
  <c r="GB133" i="12"/>
  <c r="FW133" i="12"/>
  <c r="GG132" i="12"/>
  <c r="GB132" i="12"/>
  <c r="FW132" i="12"/>
  <c r="GG131" i="12"/>
  <c r="GB131" i="12"/>
  <c r="FW131" i="12"/>
  <c r="GG130" i="12"/>
  <c r="GB130" i="12"/>
  <c r="FW130" i="12"/>
  <c r="GG129" i="12"/>
  <c r="GB129" i="12"/>
  <c r="FW129" i="12"/>
  <c r="GG128" i="12"/>
  <c r="GB128" i="12"/>
  <c r="FW128" i="12"/>
  <c r="GG127" i="12"/>
  <c r="GB127" i="12"/>
  <c r="FW127" i="12"/>
  <c r="GG126" i="12"/>
  <c r="GB126" i="12"/>
  <c r="FW126" i="12"/>
  <c r="GG125" i="12"/>
  <c r="GB125" i="12"/>
  <c r="GB154" i="12" s="1"/>
  <c r="FZ125" i="12"/>
  <c r="FZ126" i="12" s="1"/>
  <c r="FW125" i="12"/>
  <c r="GG124" i="12"/>
  <c r="GE124" i="12"/>
  <c r="GB124" i="12"/>
  <c r="FZ124" i="12"/>
  <c r="GA124" i="12" s="1"/>
  <c r="FW124" i="12"/>
  <c r="FU124" i="12"/>
  <c r="GG123" i="12"/>
  <c r="GG154" i="12" s="1"/>
  <c r="GF123" i="12"/>
  <c r="GB123" i="12"/>
  <c r="GA123" i="12"/>
  <c r="FW123" i="12"/>
  <c r="FW154" i="12" s="1"/>
  <c r="FV123" i="12"/>
  <c r="FS152" i="12"/>
  <c r="FN152" i="12"/>
  <c r="FI152" i="12"/>
  <c r="FS151" i="12"/>
  <c r="FN151" i="12"/>
  <c r="FI151" i="12"/>
  <c r="FS150" i="12"/>
  <c r="FN150" i="12"/>
  <c r="FI150" i="12"/>
  <c r="FS149" i="12"/>
  <c r="FN149" i="12"/>
  <c r="FI149" i="12"/>
  <c r="FS148" i="12"/>
  <c r="FN148" i="12"/>
  <c r="FI148" i="12"/>
  <c r="FS147" i="12"/>
  <c r="FN147" i="12"/>
  <c r="FI147" i="12"/>
  <c r="FS146" i="12"/>
  <c r="FN146" i="12"/>
  <c r="FI146" i="12"/>
  <c r="FS145" i="12"/>
  <c r="FN145" i="12"/>
  <c r="FI145" i="12"/>
  <c r="FS144" i="12"/>
  <c r="FN144" i="12"/>
  <c r="FI144" i="12"/>
  <c r="FS143" i="12"/>
  <c r="FN143" i="12"/>
  <c r="FI143" i="12"/>
  <c r="FS142" i="12"/>
  <c r="FN142" i="12"/>
  <c r="FI142" i="12"/>
  <c r="FS141" i="12"/>
  <c r="FN141" i="12"/>
  <c r="FI141" i="12"/>
  <c r="FS140" i="12"/>
  <c r="FN140" i="12"/>
  <c r="FI140" i="12"/>
  <c r="FS139" i="12"/>
  <c r="FN139" i="12"/>
  <c r="FI139" i="12"/>
  <c r="FS138" i="12"/>
  <c r="FN138" i="12"/>
  <c r="FI138" i="12"/>
  <c r="FS137" i="12"/>
  <c r="FN137" i="12"/>
  <c r="FI137" i="12"/>
  <c r="FS136" i="12"/>
  <c r="FN136" i="12"/>
  <c r="FI136" i="12"/>
  <c r="FS135" i="12"/>
  <c r="FN135" i="12"/>
  <c r="FI135" i="12"/>
  <c r="FS134" i="12"/>
  <c r="FN134" i="12"/>
  <c r="FI134" i="12"/>
  <c r="FS133" i="12"/>
  <c r="FN133" i="12"/>
  <c r="FI133" i="12"/>
  <c r="FS132" i="12"/>
  <c r="FN132" i="12"/>
  <c r="FI132" i="12"/>
  <c r="FS131" i="12"/>
  <c r="FN131" i="12"/>
  <c r="FI131" i="12"/>
  <c r="FS130" i="12"/>
  <c r="FN130" i="12"/>
  <c r="FI130" i="12"/>
  <c r="FS129" i="12"/>
  <c r="FN129" i="12"/>
  <c r="FI129" i="12"/>
  <c r="FS128" i="12"/>
  <c r="FN128" i="12"/>
  <c r="FI128" i="12"/>
  <c r="FS127" i="12"/>
  <c r="FN127" i="12"/>
  <c r="FI127" i="12"/>
  <c r="FS126" i="12"/>
  <c r="FN126" i="12"/>
  <c r="FI126" i="12"/>
  <c r="FS125" i="12"/>
  <c r="FN125" i="12"/>
  <c r="FN154" i="12" s="1"/>
  <c r="FI125" i="12"/>
  <c r="FS124" i="12"/>
  <c r="FQ124" i="12"/>
  <c r="FN124" i="12"/>
  <c r="FL124" i="12"/>
  <c r="FL125" i="12" s="1"/>
  <c r="FI124" i="12"/>
  <c r="FG124" i="12"/>
  <c r="FS123" i="12"/>
  <c r="FS154" i="12" s="1"/>
  <c r="FR123" i="12"/>
  <c r="FN123" i="12"/>
  <c r="FM123" i="12"/>
  <c r="FI123" i="12"/>
  <c r="FI154" i="12" s="1"/>
  <c r="FH123" i="12"/>
  <c r="FE152" i="12"/>
  <c r="EZ152" i="12"/>
  <c r="FE151" i="12"/>
  <c r="EZ151" i="12"/>
  <c r="FE150" i="12"/>
  <c r="EZ150" i="12"/>
  <c r="FE149" i="12"/>
  <c r="EZ149" i="12"/>
  <c r="FE148" i="12"/>
  <c r="EZ148" i="12"/>
  <c r="FE147" i="12"/>
  <c r="EZ147" i="12"/>
  <c r="FE146" i="12"/>
  <c r="EZ146" i="12"/>
  <c r="FE145" i="12"/>
  <c r="EZ145" i="12"/>
  <c r="FE144" i="12"/>
  <c r="EZ144" i="12"/>
  <c r="FE143" i="12"/>
  <c r="EZ143" i="12"/>
  <c r="FE142" i="12"/>
  <c r="EZ142" i="12"/>
  <c r="FE141" i="12"/>
  <c r="EZ141" i="12"/>
  <c r="FE140" i="12"/>
  <c r="EZ140" i="12"/>
  <c r="FE139" i="12"/>
  <c r="EZ139" i="12"/>
  <c r="FE138" i="12"/>
  <c r="EZ138" i="12"/>
  <c r="FE137" i="12"/>
  <c r="EZ137" i="12"/>
  <c r="FE136" i="12"/>
  <c r="EZ136" i="12"/>
  <c r="FE135" i="12"/>
  <c r="EZ135" i="12"/>
  <c r="FE134" i="12"/>
  <c r="EZ134" i="12"/>
  <c r="FE133" i="12"/>
  <c r="EZ133" i="12"/>
  <c r="FE132" i="12"/>
  <c r="EZ132" i="12"/>
  <c r="FE131" i="12"/>
  <c r="EZ131" i="12"/>
  <c r="FE130" i="12"/>
  <c r="EZ130" i="12"/>
  <c r="FE129" i="12"/>
  <c r="EZ129" i="12"/>
  <c r="FE128" i="12"/>
  <c r="EZ128" i="12"/>
  <c r="FE127" i="12"/>
  <c r="EZ127" i="12"/>
  <c r="FE126" i="12"/>
  <c r="EZ126" i="12"/>
  <c r="FE125" i="12"/>
  <c r="EZ125" i="12"/>
  <c r="EX125" i="12"/>
  <c r="EX126" i="12" s="1"/>
  <c r="FE124" i="12"/>
  <c r="FC124" i="12"/>
  <c r="FD124" i="12" s="1"/>
  <c r="EZ124" i="12"/>
  <c r="EX124" i="12"/>
  <c r="EY124" i="12" s="1"/>
  <c r="ES124" i="12"/>
  <c r="FE123" i="12"/>
  <c r="FE154" i="12" s="1"/>
  <c r="FD123" i="12"/>
  <c r="EZ123" i="12"/>
  <c r="EZ154" i="12" s="1"/>
  <c r="EY123" i="12"/>
  <c r="ET123" i="12"/>
  <c r="EQ152" i="12"/>
  <c r="EL152" i="12"/>
  <c r="EQ151" i="12"/>
  <c r="EL151" i="12"/>
  <c r="EQ150" i="12"/>
  <c r="EL150" i="12"/>
  <c r="EQ149" i="12"/>
  <c r="EL149" i="12"/>
  <c r="EQ148" i="12"/>
  <c r="EL148" i="12"/>
  <c r="EQ147" i="12"/>
  <c r="EL147" i="12"/>
  <c r="EQ146" i="12"/>
  <c r="EL146" i="12"/>
  <c r="EQ145" i="12"/>
  <c r="EL145" i="12"/>
  <c r="EQ144" i="12"/>
  <c r="EL144" i="12"/>
  <c r="EQ143" i="12"/>
  <c r="EL143" i="12"/>
  <c r="EQ142" i="12"/>
  <c r="EL142" i="12"/>
  <c r="EQ141" i="12"/>
  <c r="EL141" i="12"/>
  <c r="EQ140" i="12"/>
  <c r="EL140" i="12"/>
  <c r="EQ139" i="12"/>
  <c r="EL139" i="12"/>
  <c r="EQ138" i="12"/>
  <c r="EL138" i="12"/>
  <c r="EQ137" i="12"/>
  <c r="EL137" i="12"/>
  <c r="EQ136" i="12"/>
  <c r="EL136" i="12"/>
  <c r="EQ135" i="12"/>
  <c r="EL135" i="12"/>
  <c r="EQ134" i="12"/>
  <c r="EL134" i="12"/>
  <c r="EQ133" i="12"/>
  <c r="EL133" i="12"/>
  <c r="EQ132" i="12"/>
  <c r="EL132" i="12"/>
  <c r="EQ131" i="12"/>
  <c r="EL131" i="12"/>
  <c r="EQ130" i="12"/>
  <c r="EL130" i="12"/>
  <c r="EQ129" i="12"/>
  <c r="EL129" i="12"/>
  <c r="EQ128" i="12"/>
  <c r="EL128" i="12"/>
  <c r="EQ127" i="12"/>
  <c r="EL127" i="12"/>
  <c r="EQ126" i="12"/>
  <c r="EL126" i="12"/>
  <c r="EQ125" i="12"/>
  <c r="EL125" i="12"/>
  <c r="EL154" i="12" s="1"/>
  <c r="EE125" i="12"/>
  <c r="EE126" i="12" s="1"/>
  <c r="EQ124" i="12"/>
  <c r="EO124" i="12"/>
  <c r="EL124" i="12"/>
  <c r="EJ124" i="12"/>
  <c r="EE124" i="12"/>
  <c r="EF124" i="12" s="1"/>
  <c r="EQ123" i="12"/>
  <c r="EQ154" i="12" s="1"/>
  <c r="EP123" i="12"/>
  <c r="EL123" i="12"/>
  <c r="EK123" i="12"/>
  <c r="EG154" i="12"/>
  <c r="EF123" i="12"/>
  <c r="EC152" i="12"/>
  <c r="DX152" i="12"/>
  <c r="EC151" i="12"/>
  <c r="DX151" i="12"/>
  <c r="EC150" i="12"/>
  <c r="DX150" i="12"/>
  <c r="EC149" i="12"/>
  <c r="DX149" i="12"/>
  <c r="EC148" i="12"/>
  <c r="DX148" i="12"/>
  <c r="EC147" i="12"/>
  <c r="DX147" i="12"/>
  <c r="EC146" i="12"/>
  <c r="DX146" i="12"/>
  <c r="EC145" i="12"/>
  <c r="DX145" i="12"/>
  <c r="EC144" i="12"/>
  <c r="DX144" i="12"/>
  <c r="EC143" i="12"/>
  <c r="DX143" i="12"/>
  <c r="EC142" i="12"/>
  <c r="DX142" i="12"/>
  <c r="EC141" i="12"/>
  <c r="DX141" i="12"/>
  <c r="EC140" i="12"/>
  <c r="DX140" i="12"/>
  <c r="EC139" i="12"/>
  <c r="DX139" i="12"/>
  <c r="EC138" i="12"/>
  <c r="DX138" i="12"/>
  <c r="EC137" i="12"/>
  <c r="DX137" i="12"/>
  <c r="EC136" i="12"/>
  <c r="DX136" i="12"/>
  <c r="EC135" i="12"/>
  <c r="DX135" i="12"/>
  <c r="EC134" i="12"/>
  <c r="DX134" i="12"/>
  <c r="EC133" i="12"/>
  <c r="DX133" i="12"/>
  <c r="EC132" i="12"/>
  <c r="DX132" i="12"/>
  <c r="EC131" i="12"/>
  <c r="DX131" i="12"/>
  <c r="EC130" i="12"/>
  <c r="DX130" i="12"/>
  <c r="EC129" i="12"/>
  <c r="DX129" i="12"/>
  <c r="EC128" i="12"/>
  <c r="DX128" i="12"/>
  <c r="EC127" i="12"/>
  <c r="DX127" i="12"/>
  <c r="EC126" i="12"/>
  <c r="DX126" i="12"/>
  <c r="EC125" i="12"/>
  <c r="DX125" i="12"/>
  <c r="DX154" i="12" s="1"/>
  <c r="EC124" i="12"/>
  <c r="EA124" i="12"/>
  <c r="DX124" i="12"/>
  <c r="DV124" i="12"/>
  <c r="DQ124" i="12"/>
  <c r="EC123" i="12"/>
  <c r="EC154" i="12" s="1"/>
  <c r="EB123" i="12"/>
  <c r="DX123" i="12"/>
  <c r="DW123" i="12"/>
  <c r="DS154" i="12"/>
  <c r="DR123" i="12"/>
  <c r="DO152" i="12"/>
  <c r="DJ152" i="12"/>
  <c r="DE152" i="12"/>
  <c r="DO151" i="12"/>
  <c r="DJ151" i="12"/>
  <c r="DE151" i="12"/>
  <c r="DO150" i="12"/>
  <c r="DJ150" i="12"/>
  <c r="DE150" i="12"/>
  <c r="DO149" i="12"/>
  <c r="DJ149" i="12"/>
  <c r="DE149" i="12"/>
  <c r="DO148" i="12"/>
  <c r="DJ148" i="12"/>
  <c r="DE148" i="12"/>
  <c r="DO147" i="12"/>
  <c r="DJ147" i="12"/>
  <c r="DE147" i="12"/>
  <c r="DO146" i="12"/>
  <c r="DJ146" i="12"/>
  <c r="DE146" i="12"/>
  <c r="DO145" i="12"/>
  <c r="DJ145" i="12"/>
  <c r="DE145" i="12"/>
  <c r="DO144" i="12"/>
  <c r="DJ144" i="12"/>
  <c r="DE144" i="12"/>
  <c r="DO143" i="12"/>
  <c r="DJ143" i="12"/>
  <c r="DE143" i="12"/>
  <c r="DO142" i="12"/>
  <c r="DJ142" i="12"/>
  <c r="DE142" i="12"/>
  <c r="DO141" i="12"/>
  <c r="DJ141" i="12"/>
  <c r="DE141" i="12"/>
  <c r="DO140" i="12"/>
  <c r="DJ140" i="12"/>
  <c r="DE140" i="12"/>
  <c r="DO139" i="12"/>
  <c r="DJ139" i="12"/>
  <c r="DE139" i="12"/>
  <c r="DO138" i="12"/>
  <c r="DJ138" i="12"/>
  <c r="DE138" i="12"/>
  <c r="DO137" i="12"/>
  <c r="DJ137" i="12"/>
  <c r="DE137" i="12"/>
  <c r="DO136" i="12"/>
  <c r="DJ136" i="12"/>
  <c r="DE136" i="12"/>
  <c r="DO135" i="12"/>
  <c r="DJ135" i="12"/>
  <c r="DE135" i="12"/>
  <c r="DO134" i="12"/>
  <c r="DJ134" i="12"/>
  <c r="DE134" i="12"/>
  <c r="DO133" i="12"/>
  <c r="DJ133" i="12"/>
  <c r="DE133" i="12"/>
  <c r="DO132" i="12"/>
  <c r="DJ132" i="12"/>
  <c r="DE132" i="12"/>
  <c r="DO131" i="12"/>
  <c r="DJ131" i="12"/>
  <c r="DE131" i="12"/>
  <c r="DO130" i="12"/>
  <c r="DJ130" i="12"/>
  <c r="DE130" i="12"/>
  <c r="DO129" i="12"/>
  <c r="DJ129" i="12"/>
  <c r="DE129" i="12"/>
  <c r="DO128" i="12"/>
  <c r="DJ128" i="12"/>
  <c r="DE128" i="12"/>
  <c r="DO127" i="12"/>
  <c r="DJ127" i="12"/>
  <c r="DE127" i="12"/>
  <c r="DO126" i="12"/>
  <c r="DJ126" i="12"/>
  <c r="DE126" i="12"/>
  <c r="DO125" i="12"/>
  <c r="DJ125" i="12"/>
  <c r="DJ154" i="12" s="1"/>
  <c r="DH125" i="12"/>
  <c r="DH126" i="12" s="1"/>
  <c r="DE125" i="12"/>
  <c r="DO124" i="12"/>
  <c r="DM124" i="12"/>
  <c r="DJ124" i="12"/>
  <c r="DH124" i="12"/>
  <c r="DI124" i="12" s="1"/>
  <c r="DE124" i="12"/>
  <c r="DC124" i="12"/>
  <c r="DO123" i="12"/>
  <c r="DO154" i="12" s="1"/>
  <c r="DN123" i="12"/>
  <c r="DJ123" i="12"/>
  <c r="DI123" i="12"/>
  <c r="DE154" i="12"/>
  <c r="DD123" i="12"/>
  <c r="DA152" i="12"/>
  <c r="CV152" i="12"/>
  <c r="DA151" i="12"/>
  <c r="CV151" i="12"/>
  <c r="DA150" i="12"/>
  <c r="CV150" i="12"/>
  <c r="DA149" i="12"/>
  <c r="CV149" i="12"/>
  <c r="DA148" i="12"/>
  <c r="CV148" i="12"/>
  <c r="DA147" i="12"/>
  <c r="CV147" i="12"/>
  <c r="DA146" i="12"/>
  <c r="CV146" i="12"/>
  <c r="DA145" i="12"/>
  <c r="CV145" i="12"/>
  <c r="DA144" i="12"/>
  <c r="CV144" i="12"/>
  <c r="DA143" i="12"/>
  <c r="CV143" i="12"/>
  <c r="DA142" i="12"/>
  <c r="CV142" i="12"/>
  <c r="DA141" i="12"/>
  <c r="CV141" i="12"/>
  <c r="DA140" i="12"/>
  <c r="CV140" i="12"/>
  <c r="DA139" i="12"/>
  <c r="CV139" i="12"/>
  <c r="DA138" i="12"/>
  <c r="CV138" i="12"/>
  <c r="DA137" i="12"/>
  <c r="CV137" i="12"/>
  <c r="DA136" i="12"/>
  <c r="CV136" i="12"/>
  <c r="DA135" i="12"/>
  <c r="CV135" i="12"/>
  <c r="DA134" i="12"/>
  <c r="CV134" i="12"/>
  <c r="DA133" i="12"/>
  <c r="CV133" i="12"/>
  <c r="DA132" i="12"/>
  <c r="CV132" i="12"/>
  <c r="DA131" i="12"/>
  <c r="CV131" i="12"/>
  <c r="DA130" i="12"/>
  <c r="CV130" i="12"/>
  <c r="DA129" i="12"/>
  <c r="CV129" i="12"/>
  <c r="DA128" i="12"/>
  <c r="CV128" i="12"/>
  <c r="DA127" i="12"/>
  <c r="CV127" i="12"/>
  <c r="DA126" i="12"/>
  <c r="CV126" i="12"/>
  <c r="DA125" i="12"/>
  <c r="CV125" i="12"/>
  <c r="CV154" i="12" s="1"/>
  <c r="CT125" i="12"/>
  <c r="CT126" i="12" s="1"/>
  <c r="DA124" i="12"/>
  <c r="CY124" i="12"/>
  <c r="CV124" i="12"/>
  <c r="CT124" i="12"/>
  <c r="CU124" i="12" s="1"/>
  <c r="CO124" i="12"/>
  <c r="DA123" i="12"/>
  <c r="DA154" i="12" s="1"/>
  <c r="CZ123" i="12"/>
  <c r="CV123" i="12"/>
  <c r="CU123" i="12"/>
  <c r="CQ154" i="12"/>
  <c r="CO188" i="12" s="1"/>
  <c r="CP123" i="12"/>
  <c r="CM152" i="12"/>
  <c r="CH152" i="12"/>
  <c r="CM151" i="12"/>
  <c r="CH151" i="12"/>
  <c r="CM150" i="12"/>
  <c r="CH150" i="12"/>
  <c r="CM149" i="12"/>
  <c r="CH149" i="12"/>
  <c r="CM148" i="12"/>
  <c r="CH148" i="12"/>
  <c r="CM147" i="12"/>
  <c r="CH147" i="12"/>
  <c r="CM146" i="12"/>
  <c r="CH146" i="12"/>
  <c r="CM145" i="12"/>
  <c r="CH145" i="12"/>
  <c r="CM144" i="12"/>
  <c r="CH144" i="12"/>
  <c r="CM143" i="12"/>
  <c r="CH143" i="12"/>
  <c r="CM142" i="12"/>
  <c r="CH142" i="12"/>
  <c r="CM141" i="12"/>
  <c r="CH141" i="12"/>
  <c r="CM140" i="12"/>
  <c r="CH140" i="12"/>
  <c r="CM139" i="12"/>
  <c r="CH139" i="12"/>
  <c r="CM138" i="12"/>
  <c r="CH138" i="12"/>
  <c r="CM137" i="12"/>
  <c r="CH137" i="12"/>
  <c r="CM136" i="12"/>
  <c r="CH136" i="12"/>
  <c r="CM135" i="12"/>
  <c r="CH135" i="12"/>
  <c r="CM134" i="12"/>
  <c r="CH134" i="12"/>
  <c r="CM133" i="12"/>
  <c r="CH133" i="12"/>
  <c r="CM132" i="12"/>
  <c r="CH132" i="12"/>
  <c r="CM131" i="12"/>
  <c r="CH131" i="12"/>
  <c r="CM130" i="12"/>
  <c r="CH130" i="12"/>
  <c r="CM129" i="12"/>
  <c r="CH129" i="12"/>
  <c r="CM128" i="12"/>
  <c r="CH128" i="12"/>
  <c r="CM127" i="12"/>
  <c r="CH127" i="12"/>
  <c r="CM126" i="12"/>
  <c r="CH126" i="12"/>
  <c r="CM125" i="12"/>
  <c r="CH125" i="12"/>
  <c r="CH154" i="12" s="1"/>
  <c r="CF125" i="12"/>
  <c r="CF126" i="12" s="1"/>
  <c r="CM124" i="12"/>
  <c r="CK124" i="12"/>
  <c r="CH124" i="12"/>
  <c r="CF124" i="12"/>
  <c r="CG124" i="12" s="1"/>
  <c r="CA124" i="12"/>
  <c r="CM123" i="12"/>
  <c r="CM154" i="12" s="1"/>
  <c r="CL123" i="12"/>
  <c r="CH123" i="12"/>
  <c r="CG123" i="12"/>
  <c r="CC154" i="12"/>
  <c r="CB123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23" i="12"/>
  <c r="X123" i="12"/>
  <c r="AC123" i="12"/>
  <c r="AD123" i="12"/>
  <c r="AH123" i="12"/>
  <c r="U124" i="12"/>
  <c r="W124" i="12"/>
  <c r="X124" i="12" s="1"/>
  <c r="AB124" i="12"/>
  <c r="AC124" i="12"/>
  <c r="AD124" i="12"/>
  <c r="AG124" i="12"/>
  <c r="AH124" i="12"/>
  <c r="U125" i="12"/>
  <c r="AB125" i="12"/>
  <c r="AC125" i="12" s="1"/>
  <c r="AD125" i="12"/>
  <c r="AG125" i="12"/>
  <c r="AH125" i="12"/>
  <c r="U126" i="12"/>
  <c r="AD126" i="12"/>
  <c r="AG126" i="12"/>
  <c r="AH126" i="12" s="1"/>
  <c r="U127" i="12"/>
  <c r="AD127" i="12"/>
  <c r="U128" i="12"/>
  <c r="AD128" i="12"/>
  <c r="U129" i="12"/>
  <c r="AD129" i="12"/>
  <c r="U130" i="12"/>
  <c r="AD130" i="12"/>
  <c r="U131" i="12"/>
  <c r="AD131" i="12"/>
  <c r="U132" i="12"/>
  <c r="AD132" i="12"/>
  <c r="U133" i="12"/>
  <c r="AD133" i="12"/>
  <c r="U134" i="12"/>
  <c r="AD134" i="12"/>
  <c r="U135" i="12"/>
  <c r="AD135" i="12"/>
  <c r="U136" i="12"/>
  <c r="AD136" i="12"/>
  <c r="U137" i="12"/>
  <c r="AD137" i="12"/>
  <c r="U138" i="12"/>
  <c r="AD138" i="12"/>
  <c r="U139" i="12"/>
  <c r="AD139" i="12"/>
  <c r="U140" i="12"/>
  <c r="AD140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R105" i="12"/>
  <c r="S105" i="12"/>
  <c r="R106" i="12"/>
  <c r="S106" i="12"/>
  <c r="R107" i="12"/>
  <c r="S107" i="12"/>
  <c r="R108" i="12"/>
  <c r="S108" i="12"/>
  <c r="R109" i="12"/>
  <c r="S109" i="12"/>
  <c r="R110" i="12"/>
  <c r="S110" i="12"/>
  <c r="R111" i="12"/>
  <c r="S111" i="12"/>
  <c r="R112" i="12"/>
  <c r="S112" i="12"/>
  <c r="R113" i="12"/>
  <c r="S113" i="12"/>
  <c r="R114" i="12"/>
  <c r="S114" i="12"/>
  <c r="R115" i="12"/>
  <c r="S115" i="12"/>
  <c r="R116" i="12"/>
  <c r="S116" i="12"/>
  <c r="BY152" i="12"/>
  <c r="BT152" i="12"/>
  <c r="BY151" i="12"/>
  <c r="BT151" i="12"/>
  <c r="BY150" i="12"/>
  <c r="BT150" i="12"/>
  <c r="BY149" i="12"/>
  <c r="BT149" i="12"/>
  <c r="BY148" i="12"/>
  <c r="BT148" i="12"/>
  <c r="BY147" i="12"/>
  <c r="BT147" i="12"/>
  <c r="BY146" i="12"/>
  <c r="BT146" i="12"/>
  <c r="BY145" i="12"/>
  <c r="BT145" i="12"/>
  <c r="BY144" i="12"/>
  <c r="BT144" i="12"/>
  <c r="BY143" i="12"/>
  <c r="BT143" i="12"/>
  <c r="BY142" i="12"/>
  <c r="BT142" i="12"/>
  <c r="BY141" i="12"/>
  <c r="BT141" i="12"/>
  <c r="BT140" i="12"/>
  <c r="BY139" i="12"/>
  <c r="BT139" i="12"/>
  <c r="BT138" i="12"/>
  <c r="BT137" i="12"/>
  <c r="BT136" i="12"/>
  <c r="BT135" i="12"/>
  <c r="BT134" i="12"/>
  <c r="BT133" i="12"/>
  <c r="BT132" i="12"/>
  <c r="BT131" i="12"/>
  <c r="BT130" i="12"/>
  <c r="BT129" i="12"/>
  <c r="BT128" i="12"/>
  <c r="BT127" i="12"/>
  <c r="BT126" i="12"/>
  <c r="BT125" i="12"/>
  <c r="BW124" i="12"/>
  <c r="BX124" i="12" s="1"/>
  <c r="BT124" i="12"/>
  <c r="BR124" i="12"/>
  <c r="BM124" i="12"/>
  <c r="BN124" i="12" s="1"/>
  <c r="BX123" i="12"/>
  <c r="BT123" i="12"/>
  <c r="BT154" i="12" s="1"/>
  <c r="BS123" i="12"/>
  <c r="BO154" i="12"/>
  <c r="BN123" i="12"/>
  <c r="BK152" i="12"/>
  <c r="BF152" i="12"/>
  <c r="BK151" i="12"/>
  <c r="BF151" i="12"/>
  <c r="BK150" i="12"/>
  <c r="BF150" i="12"/>
  <c r="BK149" i="12"/>
  <c r="BF149" i="12"/>
  <c r="BK148" i="12"/>
  <c r="BF148" i="12"/>
  <c r="BK147" i="12"/>
  <c r="BF147" i="12"/>
  <c r="BK146" i="12"/>
  <c r="BF146" i="12"/>
  <c r="BK145" i="12"/>
  <c r="BF145" i="12"/>
  <c r="BK144" i="12"/>
  <c r="BF144" i="12"/>
  <c r="BK143" i="12"/>
  <c r="BF143" i="12"/>
  <c r="BK142" i="12"/>
  <c r="BF142" i="12"/>
  <c r="BK141" i="12"/>
  <c r="BF141" i="12"/>
  <c r="BF140" i="12"/>
  <c r="BK139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I124" i="12"/>
  <c r="BF124" i="12"/>
  <c r="BD124" i="12"/>
  <c r="AY124" i="12"/>
  <c r="BJ123" i="12"/>
  <c r="BF123" i="12"/>
  <c r="BE123" i="12"/>
  <c r="AZ123" i="12"/>
  <c r="AW152" i="12"/>
  <c r="AR152" i="12"/>
  <c r="AW151" i="12"/>
  <c r="AR151" i="12"/>
  <c r="AW150" i="12"/>
  <c r="AR150" i="12"/>
  <c r="AW149" i="12"/>
  <c r="AR149" i="12"/>
  <c r="AW148" i="12"/>
  <c r="AR148" i="12"/>
  <c r="AW147" i="12"/>
  <c r="AR147" i="12"/>
  <c r="AW146" i="12"/>
  <c r="AR146" i="12"/>
  <c r="AW145" i="12"/>
  <c r="AR145" i="12"/>
  <c r="AW144" i="12"/>
  <c r="AR144" i="12"/>
  <c r="AW143" i="12"/>
  <c r="AR143" i="12"/>
  <c r="AW142" i="12"/>
  <c r="AR142" i="12"/>
  <c r="AW141" i="12"/>
  <c r="AR141" i="12"/>
  <c r="AR140" i="12"/>
  <c r="AW139" i="12"/>
  <c r="AR139" i="12"/>
  <c r="AR138" i="12"/>
  <c r="AR137" i="12"/>
  <c r="AR136" i="12"/>
  <c r="AR135" i="12"/>
  <c r="AR134" i="12"/>
  <c r="AR133" i="12"/>
  <c r="AR132" i="12"/>
  <c r="AR131" i="12"/>
  <c r="AR130" i="12"/>
  <c r="AR129" i="12"/>
  <c r="AR128" i="12"/>
  <c r="AR127" i="12"/>
  <c r="AR126" i="12"/>
  <c r="AR125" i="12"/>
  <c r="AU124" i="12"/>
  <c r="AR124" i="12"/>
  <c r="AP124" i="12"/>
  <c r="AL124" i="12"/>
  <c r="AK124" i="12"/>
  <c r="AV123" i="12"/>
  <c r="AR123" i="12"/>
  <c r="AQ123" i="12"/>
  <c r="AL123" i="12"/>
  <c r="AI152" i="12"/>
  <c r="AI151" i="12"/>
  <c r="AI150" i="12"/>
  <c r="AI149" i="12"/>
  <c r="AI148" i="12"/>
  <c r="AI147" i="12"/>
  <c r="AI146" i="12"/>
  <c r="AI145" i="12"/>
  <c r="AI144" i="12"/>
  <c r="AI143" i="12"/>
  <c r="AI142" i="12"/>
  <c r="AI141" i="12"/>
  <c r="AI139" i="12"/>
  <c r="N154" i="12"/>
  <c r="O125" i="12"/>
  <c r="O126" i="12"/>
  <c r="O127" i="12"/>
  <c r="O128" i="12"/>
  <c r="O129" i="12"/>
  <c r="O130" i="12"/>
  <c r="O131" i="12"/>
  <c r="O132" i="12"/>
  <c r="O133" i="12"/>
  <c r="O134" i="12"/>
  <c r="O135" i="12"/>
  <c r="O136" i="12"/>
  <c r="O137" i="12"/>
  <c r="O138" i="12"/>
  <c r="O139" i="12"/>
  <c r="O140" i="12"/>
  <c r="O141" i="12"/>
  <c r="O142" i="12"/>
  <c r="O143" i="12"/>
  <c r="O144" i="12"/>
  <c r="O145" i="12"/>
  <c r="O146" i="12"/>
  <c r="O147" i="12"/>
  <c r="O148" i="12"/>
  <c r="O149" i="12"/>
  <c r="O150" i="12"/>
  <c r="O151" i="12"/>
  <c r="O152" i="12"/>
  <c r="O124" i="12"/>
  <c r="P124" i="12"/>
  <c r="P154" i="12" s="1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23" i="12"/>
  <c r="O123" i="12"/>
  <c r="O154" i="12" s="1"/>
  <c r="EY144" i="32" l="1"/>
  <c r="CT144" i="32"/>
  <c r="CV144" i="32" s="1"/>
  <c r="AT90" i="32"/>
  <c r="AT79" i="32"/>
  <c r="AT146" i="32"/>
  <c r="AV144" i="32"/>
  <c r="AT145" i="32"/>
  <c r="AU144" i="32"/>
  <c r="BT146" i="32"/>
  <c r="BV144" i="32"/>
  <c r="BT145" i="32"/>
  <c r="BU144" i="32"/>
  <c r="AH144" i="32"/>
  <c r="AF145" i="32"/>
  <c r="AG144" i="32"/>
  <c r="T144" i="32"/>
  <c r="R145" i="32"/>
  <c r="S144" i="32"/>
  <c r="AI12" i="32"/>
  <c r="DJ145" i="32"/>
  <c r="DH146" i="32"/>
  <c r="DI145" i="32"/>
  <c r="R72" i="32"/>
  <c r="R76" i="32" s="1"/>
  <c r="BG93" i="32"/>
  <c r="CH146" i="32"/>
  <c r="CG148" i="32"/>
  <c r="CI146" i="32"/>
  <c r="GN147" i="32"/>
  <c r="GP145" i="32"/>
  <c r="GO145" i="32"/>
  <c r="AF69" i="32"/>
  <c r="AF72" i="32" s="1"/>
  <c r="AF76" i="32" s="1"/>
  <c r="AF63" i="32"/>
  <c r="AF66" i="32" s="1"/>
  <c r="BG145" i="32"/>
  <c r="BH144" i="32"/>
  <c r="BG146" i="32"/>
  <c r="BI144" i="32"/>
  <c r="BG90" i="32"/>
  <c r="BG96" i="32" s="1"/>
  <c r="BG98" i="32" s="1"/>
  <c r="R24" i="32"/>
  <c r="U24" i="32" s="1"/>
  <c r="U10" i="32"/>
  <c r="E145" i="32"/>
  <c r="C146" i="32"/>
  <c r="D145" i="32"/>
  <c r="AI26" i="32"/>
  <c r="EL144" i="32"/>
  <c r="EJ145" i="32"/>
  <c r="EK144" i="32"/>
  <c r="EZ145" i="32"/>
  <c r="EX146" i="32"/>
  <c r="EY145" i="32"/>
  <c r="DV146" i="32"/>
  <c r="DW145" i="32"/>
  <c r="DX145" i="32"/>
  <c r="FZ146" i="32"/>
  <c r="GA145" i="32"/>
  <c r="GB145" i="32"/>
  <c r="Y38" i="32"/>
  <c r="Y40" i="32" s="1"/>
  <c r="R23" i="32" s="1"/>
  <c r="U23" i="32" s="1"/>
  <c r="U26" i="32" s="1"/>
  <c r="R9" i="32"/>
  <c r="U9" i="32" s="1"/>
  <c r="U12" i="32"/>
  <c r="CG147" i="32"/>
  <c r="CI145" i="32"/>
  <c r="CH145" i="32"/>
  <c r="GO146" i="32"/>
  <c r="GN148" i="32"/>
  <c r="GP146" i="32"/>
  <c r="FN145" i="32"/>
  <c r="FL146" i="32"/>
  <c r="FM145" i="32"/>
  <c r="E72" i="32"/>
  <c r="E76" i="32" s="1"/>
  <c r="CG79" i="32"/>
  <c r="CG90" i="32"/>
  <c r="BT72" i="32"/>
  <c r="BT76" i="32" s="1"/>
  <c r="CT149" i="13"/>
  <c r="CV148" i="13"/>
  <c r="CU148" i="13"/>
  <c r="DJ146" i="13"/>
  <c r="DI146" i="13"/>
  <c r="DH147" i="13"/>
  <c r="DX146" i="13"/>
  <c r="DW146" i="13"/>
  <c r="DV147" i="13"/>
  <c r="EL146" i="13"/>
  <c r="EK146" i="13"/>
  <c r="EJ147" i="13"/>
  <c r="EZ146" i="13"/>
  <c r="EY146" i="13"/>
  <c r="EX147" i="13"/>
  <c r="FN146" i="13"/>
  <c r="FM146" i="13"/>
  <c r="FL147" i="13"/>
  <c r="GO144" i="13"/>
  <c r="S144" i="13"/>
  <c r="R145" i="13"/>
  <c r="EP240" i="6"/>
  <c r="EO240" i="6"/>
  <c r="EO212" i="6"/>
  <c r="EP213" i="6"/>
  <c r="EN219" i="6"/>
  <c r="EP212" i="6"/>
  <c r="EN214" i="6"/>
  <c r="EN218" i="6"/>
  <c r="EN226" i="6"/>
  <c r="EN241" i="6"/>
  <c r="ED240" i="6"/>
  <c r="EE240" i="6"/>
  <c r="EC221" i="6"/>
  <c r="EE220" i="6"/>
  <c r="ED220" i="6"/>
  <c r="EE212" i="6"/>
  <c r="EC218" i="6"/>
  <c r="ED219" i="6"/>
  <c r="EC226" i="6"/>
  <c r="EC213" i="6"/>
  <c r="EE219" i="6"/>
  <c r="EC233" i="6"/>
  <c r="DS240" i="6"/>
  <c r="DT240" i="6"/>
  <c r="DS220" i="6"/>
  <c r="DR221" i="6"/>
  <c r="DT220" i="6"/>
  <c r="DT212" i="6"/>
  <c r="DR214" i="6"/>
  <c r="DR218" i="6"/>
  <c r="DS219" i="6"/>
  <c r="DR226" i="6"/>
  <c r="DT219" i="6"/>
  <c r="DR233" i="6"/>
  <c r="DR241" i="6"/>
  <c r="DH240" i="6"/>
  <c r="DI240" i="6"/>
  <c r="DH220" i="6"/>
  <c r="DG221" i="6"/>
  <c r="DI220" i="6"/>
  <c r="DI212" i="6"/>
  <c r="DG218" i="6"/>
  <c r="DH219" i="6"/>
  <c r="DG226" i="6"/>
  <c r="DG213" i="6"/>
  <c r="DI219" i="6"/>
  <c r="DG233" i="6"/>
  <c r="CW240" i="6"/>
  <c r="CX240" i="6"/>
  <c r="CW220" i="6"/>
  <c r="CV221" i="6"/>
  <c r="CX220" i="6"/>
  <c r="CX212" i="6"/>
  <c r="CV218" i="6"/>
  <c r="CW219" i="6"/>
  <c r="CV226" i="6"/>
  <c r="CV213" i="6"/>
  <c r="CX219" i="6"/>
  <c r="CV233" i="6"/>
  <c r="CM240" i="6"/>
  <c r="CL240" i="6"/>
  <c r="CM220" i="6"/>
  <c r="CK221" i="6"/>
  <c r="CL220" i="6"/>
  <c r="CL228" i="6"/>
  <c r="CK229" i="6"/>
  <c r="CM228" i="6"/>
  <c r="CK213" i="6"/>
  <c r="CL218" i="6"/>
  <c r="CM219" i="6"/>
  <c r="CK225" i="6"/>
  <c r="CL226" i="6"/>
  <c r="CM227" i="6"/>
  <c r="CK233" i="6"/>
  <c r="CL219" i="6"/>
  <c r="CL227" i="6"/>
  <c r="CB220" i="6"/>
  <c r="CA220" i="6"/>
  <c r="BZ221" i="6"/>
  <c r="CB240" i="6"/>
  <c r="CA240" i="6"/>
  <c r="CB228" i="6"/>
  <c r="CA228" i="6"/>
  <c r="BZ229" i="6"/>
  <c r="CA219" i="6"/>
  <c r="CA227" i="6"/>
  <c r="BZ213" i="6"/>
  <c r="CA218" i="6"/>
  <c r="CB219" i="6"/>
  <c r="BZ225" i="6"/>
  <c r="CA226" i="6"/>
  <c r="CB227" i="6"/>
  <c r="BZ233" i="6"/>
  <c r="BP240" i="6"/>
  <c r="BQ240" i="6"/>
  <c r="BO221" i="6"/>
  <c r="BQ220" i="6"/>
  <c r="BP220" i="6"/>
  <c r="BQ212" i="6"/>
  <c r="BO214" i="6"/>
  <c r="BO218" i="6"/>
  <c r="BP219" i="6"/>
  <c r="BO226" i="6"/>
  <c r="BQ219" i="6"/>
  <c r="BO233" i="6"/>
  <c r="BO241" i="6"/>
  <c r="BE240" i="6"/>
  <c r="BF240" i="6"/>
  <c r="BD221" i="6"/>
  <c r="BE220" i="6"/>
  <c r="BF220" i="6"/>
  <c r="BF212" i="6"/>
  <c r="BD218" i="6"/>
  <c r="BE219" i="6"/>
  <c r="BD226" i="6"/>
  <c r="BD213" i="6"/>
  <c r="BF219" i="6"/>
  <c r="BD233" i="6"/>
  <c r="AT240" i="6"/>
  <c r="AU240" i="6"/>
  <c r="AS221" i="6"/>
  <c r="AT220" i="6"/>
  <c r="AU220" i="6"/>
  <c r="AU212" i="6"/>
  <c r="AS214" i="6"/>
  <c r="AS218" i="6"/>
  <c r="AT219" i="6"/>
  <c r="AS226" i="6"/>
  <c r="AU219" i="6"/>
  <c r="AS233" i="6"/>
  <c r="AS241" i="6"/>
  <c r="AJ240" i="6"/>
  <c r="AI240" i="6"/>
  <c r="AI212" i="6"/>
  <c r="AH219" i="6"/>
  <c r="AJ212" i="6"/>
  <c r="AH218" i="6"/>
  <c r="AH226" i="6"/>
  <c r="AH213" i="6"/>
  <c r="X240" i="6"/>
  <c r="Y240" i="6"/>
  <c r="W221" i="6"/>
  <c r="Y220" i="6"/>
  <c r="X220" i="6"/>
  <c r="Y212" i="6"/>
  <c r="X219" i="6"/>
  <c r="W226" i="6"/>
  <c r="W213" i="6"/>
  <c r="Y219" i="6"/>
  <c r="W233" i="6"/>
  <c r="K221" i="6"/>
  <c r="K226" i="6"/>
  <c r="K213" i="6"/>
  <c r="K233" i="6"/>
  <c r="GO145" i="13"/>
  <c r="GN147" i="13"/>
  <c r="GP147" i="13" s="1"/>
  <c r="GN146" i="13"/>
  <c r="GP146" i="13" s="1"/>
  <c r="BU145" i="13"/>
  <c r="BT147" i="13"/>
  <c r="BT146" i="13"/>
  <c r="BH145" i="13"/>
  <c r="BG147" i="13"/>
  <c r="BH144" i="13"/>
  <c r="BG146" i="13"/>
  <c r="AU145" i="13"/>
  <c r="AG145" i="13"/>
  <c r="AF146" i="13"/>
  <c r="R146" i="13"/>
  <c r="GY166" i="12"/>
  <c r="GX170" i="12" s="1"/>
  <c r="GX181" i="12" s="1"/>
  <c r="HC166" i="12"/>
  <c r="GX169" i="12" s="1"/>
  <c r="GX180" i="12" s="1"/>
  <c r="HG166" i="12"/>
  <c r="GX163" i="12"/>
  <c r="GZ166" i="12"/>
  <c r="HD166" i="12"/>
  <c r="HH166" i="12"/>
  <c r="HA166" i="12"/>
  <c r="GK166" i="12"/>
  <c r="GJ170" i="12" s="1"/>
  <c r="GJ181" i="12" s="1"/>
  <c r="GO166" i="12"/>
  <c r="GJ169" i="12" s="1"/>
  <c r="GJ180" i="12" s="1"/>
  <c r="GS166" i="12"/>
  <c r="GJ163" i="12"/>
  <c r="GL166" i="12"/>
  <c r="GP166" i="12"/>
  <c r="GT166" i="12"/>
  <c r="GM166" i="12"/>
  <c r="FX166" i="12"/>
  <c r="GB166" i="12"/>
  <c r="GF167" i="12"/>
  <c r="FV171" i="12" s="1"/>
  <c r="FV182" i="12" s="1"/>
  <c r="GC166" i="12"/>
  <c r="FX167" i="12"/>
  <c r="GB167" i="12"/>
  <c r="FW166" i="12"/>
  <c r="FV170" i="12" s="1"/>
  <c r="FV181" i="12" s="1"/>
  <c r="GA166" i="12"/>
  <c r="GE166" i="12"/>
  <c r="FY167" i="12"/>
  <c r="GC167" i="12"/>
  <c r="GF166" i="12"/>
  <c r="FZ167" i="12"/>
  <c r="GD167" i="12"/>
  <c r="FY166" i="12"/>
  <c r="FW167" i="12"/>
  <c r="GA167" i="12"/>
  <c r="FI166" i="12"/>
  <c r="FH170" i="12" s="1"/>
  <c r="FH181" i="12" s="1"/>
  <c r="FQ166" i="12"/>
  <c r="FH163" i="12"/>
  <c r="FJ166" i="12"/>
  <c r="FN166" i="12"/>
  <c r="FR166" i="12"/>
  <c r="FM166" i="12"/>
  <c r="FH169" i="12" s="1"/>
  <c r="FH180" i="12" s="1"/>
  <c r="FK166" i="12"/>
  <c r="EU166" i="12"/>
  <c r="ET170" i="12" s="1"/>
  <c r="ET181" i="12" s="1"/>
  <c r="EY166" i="12"/>
  <c r="ET169" i="12" s="1"/>
  <c r="ET180" i="12" s="1"/>
  <c r="FC166" i="12"/>
  <c r="ET163" i="12"/>
  <c r="EV166" i="12"/>
  <c r="EZ166" i="12"/>
  <c r="FD166" i="12"/>
  <c r="EW166" i="12"/>
  <c r="EH167" i="12"/>
  <c r="EL167" i="12"/>
  <c r="EP167" i="12"/>
  <c r="EF171" i="12" s="1"/>
  <c r="EF182" i="12"/>
  <c r="EG166" i="12"/>
  <c r="EF170" i="12" s="1"/>
  <c r="EF181" i="12" s="1"/>
  <c r="EK166" i="12"/>
  <c r="EF169" i="12" s="1"/>
  <c r="EF180" i="12" s="1"/>
  <c r="EO166" i="12"/>
  <c r="EI167" i="12"/>
  <c r="EM167" i="12"/>
  <c r="EH166" i="12"/>
  <c r="EL166" i="12"/>
  <c r="EP166" i="12"/>
  <c r="EJ167" i="12"/>
  <c r="EN167" i="12"/>
  <c r="EI166" i="12"/>
  <c r="EG167" i="12"/>
  <c r="EK167" i="12"/>
  <c r="EB167" i="12"/>
  <c r="DR171" i="12" s="1"/>
  <c r="DR182" i="12" s="1"/>
  <c r="DY166" i="12"/>
  <c r="DS166" i="12"/>
  <c r="DR170" i="12" s="1"/>
  <c r="DR181" i="12" s="1"/>
  <c r="DW166" i="12"/>
  <c r="DR169" i="12" s="1"/>
  <c r="DR180" i="12" s="1"/>
  <c r="EA166" i="12"/>
  <c r="DU167" i="12"/>
  <c r="DY167" i="12"/>
  <c r="DT166" i="12"/>
  <c r="DX166" i="12"/>
  <c r="EB166" i="12"/>
  <c r="DV167" i="12"/>
  <c r="DZ167" i="12"/>
  <c r="DU166" i="12"/>
  <c r="DS167" i="12"/>
  <c r="DW167" i="12"/>
  <c r="DD182" i="12"/>
  <c r="DE166" i="12"/>
  <c r="DD170" i="12" s="1"/>
  <c r="DD181" i="12" s="1"/>
  <c r="DI166" i="12"/>
  <c r="DD169" i="12" s="1"/>
  <c r="DD180" i="12" s="1"/>
  <c r="DM166" i="12"/>
  <c r="DF166" i="12"/>
  <c r="DJ166" i="12"/>
  <c r="DN166" i="12"/>
  <c r="DH167" i="12"/>
  <c r="DL167" i="12"/>
  <c r="DG166" i="12"/>
  <c r="DE167" i="12"/>
  <c r="DI167" i="12"/>
  <c r="CP182" i="12"/>
  <c r="CV167" i="12"/>
  <c r="CQ166" i="12"/>
  <c r="CP170" i="12" s="1"/>
  <c r="CP181" i="12" s="1"/>
  <c r="CU166" i="12"/>
  <c r="CP169" i="12" s="1"/>
  <c r="CP180" i="12" s="1"/>
  <c r="CY166" i="12"/>
  <c r="CS167" i="12"/>
  <c r="CW167" i="12"/>
  <c r="CZ167" i="12"/>
  <c r="CP171" i="12" s="1"/>
  <c r="CR166" i="12"/>
  <c r="CT167" i="12"/>
  <c r="CX167" i="12"/>
  <c r="CS166" i="12"/>
  <c r="CQ167" i="12"/>
  <c r="CU167" i="12"/>
  <c r="CB182" i="12"/>
  <c r="CC166" i="12"/>
  <c r="CB170" i="12" s="1"/>
  <c r="CB181" i="12" s="1"/>
  <c r="CG166" i="12"/>
  <c r="CB169" i="12" s="1"/>
  <c r="CB180" i="12" s="1"/>
  <c r="CK166" i="12"/>
  <c r="CE167" i="12"/>
  <c r="CI167" i="12"/>
  <c r="CD166" i="12"/>
  <c r="CH166" i="12"/>
  <c r="CL166" i="12"/>
  <c r="CF167" i="12"/>
  <c r="CJ167" i="12"/>
  <c r="CC167" i="12"/>
  <c r="CG167" i="12"/>
  <c r="BP182" i="12"/>
  <c r="AZ181" i="12"/>
  <c r="AL170" i="12"/>
  <c r="AL181" i="12" s="1"/>
  <c r="AN181" i="12" s="1"/>
  <c r="AL169" i="12"/>
  <c r="AL180" i="12" s="1"/>
  <c r="Z181" i="12"/>
  <c r="X180" i="12"/>
  <c r="K182" i="12"/>
  <c r="K181" i="12"/>
  <c r="BP181" i="12"/>
  <c r="AZ169" i="12"/>
  <c r="AZ180" i="12" s="1"/>
  <c r="AZ182" i="12"/>
  <c r="BB182" i="12" s="1"/>
  <c r="AL182" i="12"/>
  <c r="AN182" i="12" s="1"/>
  <c r="X182" i="12"/>
  <c r="Z182" i="12" s="1"/>
  <c r="HG125" i="12"/>
  <c r="HG126" i="12" s="1"/>
  <c r="HH126" i="12" s="1"/>
  <c r="HG127" i="12"/>
  <c r="HC124" i="12"/>
  <c r="HB125" i="12"/>
  <c r="HH125" i="12"/>
  <c r="GX124" i="12"/>
  <c r="GW125" i="12"/>
  <c r="GN127" i="12"/>
  <c r="GO126" i="12"/>
  <c r="GT124" i="12"/>
  <c r="GS125" i="12"/>
  <c r="GJ124" i="12"/>
  <c r="GI125" i="12"/>
  <c r="GO125" i="12"/>
  <c r="FZ127" i="12"/>
  <c r="GA126" i="12"/>
  <c r="GF124" i="12"/>
  <c r="GE125" i="12"/>
  <c r="FV124" i="12"/>
  <c r="FU125" i="12"/>
  <c r="GA125" i="12"/>
  <c r="FL126" i="12"/>
  <c r="FM125" i="12"/>
  <c r="FR124" i="12"/>
  <c r="FQ125" i="12"/>
  <c r="FM124" i="12"/>
  <c r="FH124" i="12"/>
  <c r="FG125" i="12"/>
  <c r="EX127" i="12"/>
  <c r="EY126" i="12"/>
  <c r="FC125" i="12"/>
  <c r="ET124" i="12"/>
  <c r="ES125" i="12"/>
  <c r="EY125" i="12"/>
  <c r="EF125" i="12"/>
  <c r="EE127" i="12"/>
  <c r="EF126" i="12"/>
  <c r="EP124" i="12"/>
  <c r="EO125" i="12"/>
  <c r="EK124" i="12"/>
  <c r="EJ125" i="12"/>
  <c r="EB124" i="12"/>
  <c r="EA125" i="12"/>
  <c r="DW124" i="12"/>
  <c r="DV125" i="12"/>
  <c r="DR124" i="12"/>
  <c r="DQ125" i="12"/>
  <c r="DH127" i="12"/>
  <c r="DI126" i="12"/>
  <c r="DN124" i="12"/>
  <c r="DM125" i="12"/>
  <c r="DD124" i="12"/>
  <c r="DC125" i="12"/>
  <c r="DI125" i="12"/>
  <c r="CT127" i="12"/>
  <c r="CU126" i="12"/>
  <c r="CZ124" i="12"/>
  <c r="CY125" i="12"/>
  <c r="CP124" i="12"/>
  <c r="CO125" i="12"/>
  <c r="CU125" i="12"/>
  <c r="CG126" i="12"/>
  <c r="CF127" i="12"/>
  <c r="CL124" i="12"/>
  <c r="CK125" i="12"/>
  <c r="CB124" i="12"/>
  <c r="CA125" i="12"/>
  <c r="CG125" i="12"/>
  <c r="AG127" i="12"/>
  <c r="AB126" i="12"/>
  <c r="W125" i="12"/>
  <c r="BW125" i="12"/>
  <c r="BS124" i="12"/>
  <c r="BR125" i="12"/>
  <c r="BM125" i="12"/>
  <c r="AR154" i="12"/>
  <c r="BF154" i="12"/>
  <c r="BJ124" i="12"/>
  <c r="BI125" i="12"/>
  <c r="BE124" i="12"/>
  <c r="BD125" i="12"/>
  <c r="AZ124" i="12"/>
  <c r="AY125" i="12"/>
  <c r="AV124" i="12"/>
  <c r="AU125" i="12"/>
  <c r="AQ124" i="12"/>
  <c r="AP125" i="12"/>
  <c r="AK125" i="12"/>
  <c r="CU144" i="32" l="1"/>
  <c r="CT145" i="32"/>
  <c r="FN146" i="32"/>
  <c r="FL147" i="32"/>
  <c r="FM146" i="32"/>
  <c r="AT147" i="32"/>
  <c r="AV145" i="32"/>
  <c r="AU145" i="32"/>
  <c r="BT79" i="32"/>
  <c r="BT90" i="32"/>
  <c r="GB146" i="32"/>
  <c r="FZ147" i="32"/>
  <c r="GA146" i="32"/>
  <c r="DX146" i="32"/>
  <c r="DV147" i="32"/>
  <c r="DW146" i="32"/>
  <c r="GN149" i="32"/>
  <c r="GP147" i="32"/>
  <c r="GO147" i="32"/>
  <c r="R79" i="32"/>
  <c r="R90" i="32"/>
  <c r="AH145" i="32"/>
  <c r="AF146" i="32"/>
  <c r="AG145" i="32"/>
  <c r="BU145" i="32"/>
  <c r="BT147" i="32"/>
  <c r="BV145" i="32"/>
  <c r="AF79" i="32"/>
  <c r="AF90" i="32"/>
  <c r="CV145" i="32"/>
  <c r="CT146" i="32"/>
  <c r="CU145" i="32"/>
  <c r="E79" i="32"/>
  <c r="E90" i="32"/>
  <c r="EZ146" i="32"/>
  <c r="EX147" i="32"/>
  <c r="EY146" i="32"/>
  <c r="CG150" i="32"/>
  <c r="CI148" i="32"/>
  <c r="CH148" i="32"/>
  <c r="BT148" i="32"/>
  <c r="BV146" i="32"/>
  <c r="BU146" i="32"/>
  <c r="CG80" i="32"/>
  <c r="CG94" i="32" s="1"/>
  <c r="CG93" i="32"/>
  <c r="CG96" i="32" s="1"/>
  <c r="CG98" i="32" s="1"/>
  <c r="BG148" i="32"/>
  <c r="BI146" i="32"/>
  <c r="BH146" i="32"/>
  <c r="R146" i="32"/>
  <c r="S145" i="32"/>
  <c r="T145" i="32"/>
  <c r="AT80" i="32"/>
  <c r="AT94" i="32" s="1"/>
  <c r="AT93" i="32"/>
  <c r="AT96" i="32" s="1"/>
  <c r="AT98" i="32" s="1"/>
  <c r="GN150" i="32"/>
  <c r="GP148" i="32"/>
  <c r="GO148" i="32"/>
  <c r="CG149" i="32"/>
  <c r="CI147" i="32"/>
  <c r="CH147" i="32"/>
  <c r="EL145" i="32"/>
  <c r="EJ146" i="32"/>
  <c r="EK145" i="32"/>
  <c r="E146" i="32"/>
  <c r="C147" i="32"/>
  <c r="D146" i="32"/>
  <c r="BG147" i="32"/>
  <c r="BI145" i="32"/>
  <c r="BH145" i="32"/>
  <c r="DJ146" i="32"/>
  <c r="DH147" i="32"/>
  <c r="DI146" i="32"/>
  <c r="AT148" i="32"/>
  <c r="AV146" i="32"/>
  <c r="AU146" i="32"/>
  <c r="CU149" i="13"/>
  <c r="CT150" i="13"/>
  <c r="CV149" i="13"/>
  <c r="DH148" i="13"/>
  <c r="DJ147" i="13"/>
  <c r="DI147" i="13"/>
  <c r="DV148" i="13"/>
  <c r="DW147" i="13"/>
  <c r="DX147" i="13"/>
  <c r="EJ148" i="13"/>
  <c r="EK147" i="13"/>
  <c r="EL147" i="13"/>
  <c r="EX148" i="13"/>
  <c r="EZ147" i="13"/>
  <c r="EY147" i="13"/>
  <c r="FL148" i="13"/>
  <c r="FN147" i="13"/>
  <c r="FM147" i="13"/>
  <c r="T146" i="13"/>
  <c r="S146" i="13"/>
  <c r="T145" i="13"/>
  <c r="S145" i="13"/>
  <c r="EP218" i="6"/>
  <c r="EN225" i="6"/>
  <c r="EO218" i="6"/>
  <c r="EO241" i="6"/>
  <c r="EP241" i="6"/>
  <c r="EP214" i="6"/>
  <c r="EO214" i="6"/>
  <c r="EN215" i="6"/>
  <c r="EP226" i="6"/>
  <c r="EO226" i="6"/>
  <c r="EN227" i="6"/>
  <c r="EN220" i="6"/>
  <c r="EN233" i="6"/>
  <c r="EP219" i="6"/>
  <c r="EO219" i="6"/>
  <c r="ED221" i="6"/>
  <c r="EE221" i="6"/>
  <c r="EC222" i="6"/>
  <c r="EE218" i="6"/>
  <c r="EC225" i="6"/>
  <c r="ED218" i="6"/>
  <c r="ED233" i="6"/>
  <c r="EC234" i="6"/>
  <c r="EE233" i="6"/>
  <c r="EE226" i="6"/>
  <c r="ED226" i="6"/>
  <c r="EC227" i="6"/>
  <c r="ED213" i="6"/>
  <c r="EC241" i="6"/>
  <c r="EC214" i="6"/>
  <c r="EE213" i="6"/>
  <c r="DT214" i="6"/>
  <c r="DS214" i="6"/>
  <c r="DR215" i="6"/>
  <c r="DS241" i="6"/>
  <c r="DT241" i="6"/>
  <c r="DT226" i="6"/>
  <c r="DS226" i="6"/>
  <c r="DR227" i="6"/>
  <c r="DS233" i="6"/>
  <c r="DT233" i="6"/>
  <c r="DR234" i="6"/>
  <c r="DT218" i="6"/>
  <c r="DR225" i="6"/>
  <c r="DS218" i="6"/>
  <c r="DS221" i="6"/>
  <c r="DR222" i="6"/>
  <c r="DT221" i="6"/>
  <c r="DH213" i="6"/>
  <c r="DI213" i="6"/>
  <c r="DG241" i="6"/>
  <c r="DG214" i="6"/>
  <c r="DI218" i="6"/>
  <c r="DG225" i="6"/>
  <c r="DH218" i="6"/>
  <c r="DH233" i="6"/>
  <c r="DI233" i="6"/>
  <c r="DG234" i="6"/>
  <c r="DI226" i="6"/>
  <c r="DH226" i="6"/>
  <c r="DG227" i="6"/>
  <c r="DH221" i="6"/>
  <c r="DG222" i="6"/>
  <c r="DI221" i="6"/>
  <c r="CW213" i="6"/>
  <c r="CX213" i="6"/>
  <c r="CV241" i="6"/>
  <c r="CV214" i="6"/>
  <c r="CW233" i="6"/>
  <c r="CX233" i="6"/>
  <c r="CV234" i="6"/>
  <c r="CX226" i="6"/>
  <c r="CW226" i="6"/>
  <c r="CV227" i="6"/>
  <c r="CX218" i="6"/>
  <c r="CV225" i="6"/>
  <c r="CW218" i="6"/>
  <c r="CW221" i="6"/>
  <c r="CX221" i="6"/>
  <c r="CV222" i="6"/>
  <c r="CK232" i="6"/>
  <c r="CL225" i="6"/>
  <c r="CM225" i="6"/>
  <c r="CL213" i="6"/>
  <c r="CK214" i="6"/>
  <c r="CK241" i="6"/>
  <c r="CM213" i="6"/>
  <c r="CL233" i="6"/>
  <c r="CK234" i="6"/>
  <c r="CM233" i="6"/>
  <c r="CL229" i="6"/>
  <c r="CK230" i="6"/>
  <c r="CM229" i="6"/>
  <c r="CL221" i="6"/>
  <c r="CK222" i="6"/>
  <c r="CM221" i="6"/>
  <c r="BZ232" i="6"/>
  <c r="CA225" i="6"/>
  <c r="CB225" i="6"/>
  <c r="CA233" i="6"/>
  <c r="BZ234" i="6"/>
  <c r="CB233" i="6"/>
  <c r="CA221" i="6"/>
  <c r="BZ222" i="6"/>
  <c r="CB221" i="6"/>
  <c r="CA229" i="6"/>
  <c r="BZ230" i="6"/>
  <c r="CB229" i="6"/>
  <c r="CA213" i="6"/>
  <c r="BZ241" i="6"/>
  <c r="BZ214" i="6"/>
  <c r="CB213" i="6"/>
  <c r="BQ214" i="6"/>
  <c r="BO215" i="6"/>
  <c r="BP214" i="6"/>
  <c r="BP221" i="6"/>
  <c r="BQ221" i="6"/>
  <c r="BO222" i="6"/>
  <c r="BP241" i="6"/>
  <c r="BQ241" i="6"/>
  <c r="BQ226" i="6"/>
  <c r="BP226" i="6"/>
  <c r="BO227" i="6"/>
  <c r="BP233" i="6"/>
  <c r="BQ233" i="6"/>
  <c r="BO234" i="6"/>
  <c r="BQ218" i="6"/>
  <c r="BO225" i="6"/>
  <c r="BP218" i="6"/>
  <c r="BE213" i="6"/>
  <c r="BD241" i="6"/>
  <c r="BF213" i="6"/>
  <c r="BD214" i="6"/>
  <c r="BE221" i="6"/>
  <c r="BF221" i="6"/>
  <c r="BD222" i="6"/>
  <c r="BE233" i="6"/>
  <c r="BD234" i="6"/>
  <c r="BF233" i="6"/>
  <c r="BF226" i="6"/>
  <c r="BE226" i="6"/>
  <c r="BD227" i="6"/>
  <c r="BF218" i="6"/>
  <c r="BD225" i="6"/>
  <c r="BE218" i="6"/>
  <c r="AU214" i="6"/>
  <c r="AT214" i="6"/>
  <c r="AS215" i="6"/>
  <c r="AT221" i="6"/>
  <c r="AS222" i="6"/>
  <c r="AU221" i="6"/>
  <c r="AT241" i="6"/>
  <c r="AU241" i="6"/>
  <c r="AU226" i="6"/>
  <c r="AT226" i="6"/>
  <c r="AS227" i="6"/>
  <c r="AT233" i="6"/>
  <c r="AU233" i="6"/>
  <c r="AS234" i="6"/>
  <c r="AU218" i="6"/>
  <c r="AS225" i="6"/>
  <c r="AT218" i="6"/>
  <c r="AH220" i="6"/>
  <c r="AH233" i="6"/>
  <c r="AJ219" i="6"/>
  <c r="AI219" i="6"/>
  <c r="AJ226" i="6"/>
  <c r="AI226" i="6"/>
  <c r="AH227" i="6"/>
  <c r="AJ218" i="6"/>
  <c r="AH225" i="6"/>
  <c r="AI218" i="6"/>
  <c r="AI213" i="6"/>
  <c r="AH241" i="6"/>
  <c r="AH214" i="6"/>
  <c r="AJ213" i="6"/>
  <c r="X221" i="6"/>
  <c r="Y221" i="6"/>
  <c r="W222" i="6"/>
  <c r="Y218" i="6"/>
  <c r="W225" i="6"/>
  <c r="X218" i="6"/>
  <c r="X233" i="6"/>
  <c r="Y233" i="6"/>
  <c r="W234" i="6"/>
  <c r="Y226" i="6"/>
  <c r="W227" i="6"/>
  <c r="X226" i="6"/>
  <c r="X213" i="6"/>
  <c r="W241" i="6"/>
  <c r="W214" i="6"/>
  <c r="Y213" i="6"/>
  <c r="K234" i="6"/>
  <c r="K241" i="6"/>
  <c r="K214" i="6"/>
  <c r="K227" i="6"/>
  <c r="K222" i="6"/>
  <c r="GN148" i="13"/>
  <c r="GP148" i="13" s="1"/>
  <c r="GO146" i="13"/>
  <c r="GN149" i="13"/>
  <c r="GP149" i="13" s="1"/>
  <c r="GO147" i="13"/>
  <c r="BT149" i="13"/>
  <c r="BU147" i="13"/>
  <c r="BT148" i="13"/>
  <c r="BU146" i="13"/>
  <c r="BG148" i="13"/>
  <c r="BH146" i="13"/>
  <c r="BG149" i="13"/>
  <c r="BH147" i="13"/>
  <c r="AU146" i="13"/>
  <c r="AF147" i="13"/>
  <c r="AG146" i="13"/>
  <c r="R147" i="13"/>
  <c r="GZ181" i="12"/>
  <c r="HG167" i="12"/>
  <c r="HC167" i="12"/>
  <c r="GY167" i="12"/>
  <c r="HF167" i="12"/>
  <c r="HB167" i="12"/>
  <c r="HE167" i="12"/>
  <c r="HA167" i="12"/>
  <c r="HH167" i="12"/>
  <c r="GX171" i="12" s="1"/>
  <c r="GX182" i="12" s="1"/>
  <c r="GZ182" i="12" s="1"/>
  <c r="HD167" i="12"/>
  <c r="GZ167" i="12"/>
  <c r="GL181" i="12"/>
  <c r="GS167" i="12"/>
  <c r="GO167" i="12"/>
  <c r="GK167" i="12"/>
  <c r="GT167" i="12"/>
  <c r="GJ171" i="12" s="1"/>
  <c r="GJ182" i="12" s="1"/>
  <c r="GL182" i="12" s="1"/>
  <c r="GR167" i="12"/>
  <c r="GN167" i="12"/>
  <c r="GQ167" i="12"/>
  <c r="GM167" i="12"/>
  <c r="GP167" i="12"/>
  <c r="GL167" i="12"/>
  <c r="FX182" i="12"/>
  <c r="FX181" i="12"/>
  <c r="FJ181" i="12"/>
  <c r="FQ167" i="12"/>
  <c r="FM167" i="12"/>
  <c r="FI167" i="12"/>
  <c r="FR167" i="12"/>
  <c r="FH171" i="12" s="1"/>
  <c r="FH182" i="12" s="1"/>
  <c r="FJ182" i="12" s="1"/>
  <c r="FP167" i="12"/>
  <c r="FL167" i="12"/>
  <c r="FO167" i="12"/>
  <c r="FK167" i="12"/>
  <c r="FN167" i="12"/>
  <c r="FJ167" i="12"/>
  <c r="EV181" i="12"/>
  <c r="FC167" i="12"/>
  <c r="EY167" i="12"/>
  <c r="EU167" i="12"/>
  <c r="FD167" i="12"/>
  <c r="ET171" i="12" s="1"/>
  <c r="ET182" i="12" s="1"/>
  <c r="EV182" i="12" s="1"/>
  <c r="FB167" i="12"/>
  <c r="EX167" i="12"/>
  <c r="FA167" i="12"/>
  <c r="EW167" i="12"/>
  <c r="EZ167" i="12"/>
  <c r="EV167" i="12"/>
  <c r="EH181" i="12"/>
  <c r="EH182" i="12"/>
  <c r="DT181" i="12"/>
  <c r="DT182" i="12"/>
  <c r="DF181" i="12"/>
  <c r="DF182" i="12"/>
  <c r="CR181" i="12"/>
  <c r="CR182" i="12"/>
  <c r="CD182" i="12"/>
  <c r="CD181" i="12"/>
  <c r="BB181" i="12"/>
  <c r="HG128" i="12"/>
  <c r="HH127" i="12"/>
  <c r="HB126" i="12"/>
  <c r="HC125" i="12"/>
  <c r="GW126" i="12"/>
  <c r="GX125" i="12"/>
  <c r="GI126" i="12"/>
  <c r="GJ125" i="12"/>
  <c r="GN128" i="12"/>
  <c r="GO127" i="12"/>
  <c r="GS126" i="12"/>
  <c r="GT125" i="12"/>
  <c r="GE126" i="12"/>
  <c r="GF125" i="12"/>
  <c r="FV125" i="12"/>
  <c r="FU126" i="12"/>
  <c r="FZ128" i="12"/>
  <c r="GA127" i="12"/>
  <c r="FL127" i="12"/>
  <c r="FM126" i="12"/>
  <c r="FG126" i="12"/>
  <c r="FH125" i="12"/>
  <c r="FQ126" i="12"/>
  <c r="FR125" i="12"/>
  <c r="EX128" i="12"/>
  <c r="EY127" i="12"/>
  <c r="FC126" i="12"/>
  <c r="FD125" i="12"/>
  <c r="ES126" i="12"/>
  <c r="ET125" i="12"/>
  <c r="EJ126" i="12"/>
  <c r="EK125" i="12"/>
  <c r="EO126" i="12"/>
  <c r="EP125" i="12"/>
  <c r="EE128" i="12"/>
  <c r="EF127" i="12"/>
  <c r="DQ126" i="12"/>
  <c r="DR125" i="12"/>
  <c r="EA126" i="12"/>
  <c r="EB125" i="12"/>
  <c r="DV126" i="12"/>
  <c r="DW125" i="12"/>
  <c r="DC126" i="12"/>
  <c r="DD125" i="12"/>
  <c r="DH128" i="12"/>
  <c r="DI127" i="12"/>
  <c r="DM126" i="12"/>
  <c r="DN125" i="12"/>
  <c r="CO126" i="12"/>
  <c r="CP125" i="12"/>
  <c r="CT128" i="12"/>
  <c r="CU127" i="12"/>
  <c r="CY126" i="12"/>
  <c r="CZ125" i="12"/>
  <c r="CK126" i="12"/>
  <c r="CL125" i="12"/>
  <c r="CF128" i="12"/>
  <c r="CG127" i="12"/>
  <c r="CA126" i="12"/>
  <c r="CB125" i="12"/>
  <c r="X125" i="12"/>
  <c r="W126" i="12"/>
  <c r="AC126" i="12"/>
  <c r="AB127" i="12"/>
  <c r="AH127" i="12"/>
  <c r="AG128" i="12"/>
  <c r="BW126" i="12"/>
  <c r="BX125" i="12"/>
  <c r="BM126" i="12"/>
  <c r="BN125" i="12"/>
  <c r="BR126" i="12"/>
  <c r="BS125" i="12"/>
  <c r="AY126" i="12"/>
  <c r="AZ125" i="12"/>
  <c r="BI126" i="12"/>
  <c r="BJ125" i="12"/>
  <c r="BD126" i="12"/>
  <c r="BE125" i="12"/>
  <c r="AU126" i="12"/>
  <c r="AV125" i="12"/>
  <c r="AP126" i="12"/>
  <c r="AQ125" i="12"/>
  <c r="AK126" i="12"/>
  <c r="AL125" i="12"/>
  <c r="E80" i="32" l="1"/>
  <c r="E94" i="32" s="1"/>
  <c r="E93" i="32"/>
  <c r="AT150" i="32"/>
  <c r="AV148" i="32"/>
  <c r="AU148" i="32"/>
  <c r="E147" i="32"/>
  <c r="C148" i="32"/>
  <c r="D147" i="32"/>
  <c r="EX148" i="32"/>
  <c r="EY147" i="32"/>
  <c r="EZ147" i="32"/>
  <c r="GN151" i="32"/>
  <c r="GP149" i="32"/>
  <c r="GO149" i="32"/>
  <c r="AU147" i="32"/>
  <c r="AT149" i="32"/>
  <c r="AV147" i="32"/>
  <c r="FN147" i="32"/>
  <c r="FL148" i="32"/>
  <c r="FM147" i="32"/>
  <c r="EJ147" i="32"/>
  <c r="EK146" i="32"/>
  <c r="EL146" i="32"/>
  <c r="CH150" i="32"/>
  <c r="CG152" i="32"/>
  <c r="CI150" i="32"/>
  <c r="CV146" i="32"/>
  <c r="CT147" i="32"/>
  <c r="CU146" i="32"/>
  <c r="AF80" i="32"/>
  <c r="AF94" i="32" s="1"/>
  <c r="AF93" i="32"/>
  <c r="AF96" i="32" s="1"/>
  <c r="AF98" i="32" s="1"/>
  <c r="AF147" i="32"/>
  <c r="AG146" i="32"/>
  <c r="AH146" i="32"/>
  <c r="R80" i="32"/>
  <c r="R94" i="32" s="1"/>
  <c r="R93" i="32"/>
  <c r="R96" i="32" s="1"/>
  <c r="R98" i="32" s="1"/>
  <c r="DX147" i="32"/>
  <c r="DV148" i="32"/>
  <c r="DW147" i="32"/>
  <c r="GB147" i="32"/>
  <c r="FZ148" i="32"/>
  <c r="GA147" i="32"/>
  <c r="BT80" i="32"/>
  <c r="BT94" i="32" s="1"/>
  <c r="BT93" i="32"/>
  <c r="BT96" i="32" s="1"/>
  <c r="BT98" i="32" s="1"/>
  <c r="CG151" i="32"/>
  <c r="CI149" i="32"/>
  <c r="CH149" i="32"/>
  <c r="T146" i="32"/>
  <c r="R147" i="32"/>
  <c r="S146" i="32"/>
  <c r="DJ147" i="32"/>
  <c r="DH148" i="32"/>
  <c r="DI147" i="32"/>
  <c r="BG149" i="32"/>
  <c r="BI147" i="32"/>
  <c r="BH147" i="32"/>
  <c r="GO150" i="32"/>
  <c r="GN152" i="32"/>
  <c r="GP150" i="32"/>
  <c r="BH148" i="32"/>
  <c r="BG150" i="32"/>
  <c r="BI148" i="32"/>
  <c r="BT150" i="32"/>
  <c r="BV148" i="32"/>
  <c r="BU148" i="32"/>
  <c r="E96" i="32"/>
  <c r="E98" i="32" s="1"/>
  <c r="BT149" i="32"/>
  <c r="BV147" i="32"/>
  <c r="BU147" i="32"/>
  <c r="CV150" i="13"/>
  <c r="CU150" i="13"/>
  <c r="CT151" i="13"/>
  <c r="DH149" i="13"/>
  <c r="DI148" i="13"/>
  <c r="DJ148" i="13"/>
  <c r="DW148" i="13"/>
  <c r="DV149" i="13"/>
  <c r="DX148" i="13"/>
  <c r="EJ149" i="13"/>
  <c r="EL148" i="13"/>
  <c r="EK148" i="13"/>
  <c r="EX149" i="13"/>
  <c r="EZ148" i="13"/>
  <c r="EY148" i="13"/>
  <c r="FL149" i="13"/>
  <c r="FM148" i="13"/>
  <c r="FN148" i="13"/>
  <c r="T147" i="13"/>
  <c r="S147" i="13"/>
  <c r="EN216" i="6"/>
  <c r="EP215" i="6"/>
  <c r="EO215" i="6"/>
  <c r="EO233" i="6"/>
  <c r="EN234" i="6"/>
  <c r="EP233" i="6"/>
  <c r="EN228" i="6"/>
  <c r="EP227" i="6"/>
  <c r="EO227" i="6"/>
  <c r="EN221" i="6"/>
  <c r="EP220" i="6"/>
  <c r="EO220" i="6"/>
  <c r="EN232" i="6"/>
  <c r="EO225" i="6"/>
  <c r="EP225" i="6"/>
  <c r="EE222" i="6"/>
  <c r="ED222" i="6"/>
  <c r="EC223" i="6"/>
  <c r="EC232" i="6"/>
  <c r="ED225" i="6"/>
  <c r="EE225" i="6"/>
  <c r="ED241" i="6"/>
  <c r="EE241" i="6"/>
  <c r="EC228" i="6"/>
  <c r="EE227" i="6"/>
  <c r="ED227" i="6"/>
  <c r="EE234" i="6"/>
  <c r="ED234" i="6"/>
  <c r="EC235" i="6"/>
  <c r="EE214" i="6"/>
  <c r="EC215" i="6"/>
  <c r="ED214" i="6"/>
  <c r="DR216" i="6"/>
  <c r="DT215" i="6"/>
  <c r="DS215" i="6"/>
  <c r="DT234" i="6"/>
  <c r="DS234" i="6"/>
  <c r="DR235" i="6"/>
  <c r="DR232" i="6"/>
  <c r="DS225" i="6"/>
  <c r="DT225" i="6"/>
  <c r="DR228" i="6"/>
  <c r="DT227" i="6"/>
  <c r="DS227" i="6"/>
  <c r="DT222" i="6"/>
  <c r="DS222" i="6"/>
  <c r="DR223" i="6"/>
  <c r="DI222" i="6"/>
  <c r="DH222" i="6"/>
  <c r="DG223" i="6"/>
  <c r="DI214" i="6"/>
  <c r="DH214" i="6"/>
  <c r="DG215" i="6"/>
  <c r="DI234" i="6"/>
  <c r="DH234" i="6"/>
  <c r="DG235" i="6"/>
  <c r="DH241" i="6"/>
  <c r="DI241" i="6"/>
  <c r="DG228" i="6"/>
  <c r="DI227" i="6"/>
  <c r="DH227" i="6"/>
  <c r="DG232" i="6"/>
  <c r="DH225" i="6"/>
  <c r="DI225" i="6"/>
  <c r="CV228" i="6"/>
  <c r="CX227" i="6"/>
  <c r="CW227" i="6"/>
  <c r="CX222" i="6"/>
  <c r="CW222" i="6"/>
  <c r="CV223" i="6"/>
  <c r="CV232" i="6"/>
  <c r="CW225" i="6"/>
  <c r="CX225" i="6"/>
  <c r="CX214" i="6"/>
  <c r="CW214" i="6"/>
  <c r="CV215" i="6"/>
  <c r="CX234" i="6"/>
  <c r="CW234" i="6"/>
  <c r="CV235" i="6"/>
  <c r="CW241" i="6"/>
  <c r="CX241" i="6"/>
  <c r="CM234" i="6"/>
  <c r="CL234" i="6"/>
  <c r="CK235" i="6"/>
  <c r="CL241" i="6"/>
  <c r="CM241" i="6"/>
  <c r="CM222" i="6"/>
  <c r="CL222" i="6"/>
  <c r="CK223" i="6"/>
  <c r="CM230" i="6"/>
  <c r="CK231" i="6"/>
  <c r="CL230" i="6"/>
  <c r="CM214" i="6"/>
  <c r="CK215" i="6"/>
  <c r="CL214" i="6"/>
  <c r="CK239" i="6"/>
  <c r="CM232" i="6"/>
  <c r="CL232" i="6"/>
  <c r="CB214" i="6"/>
  <c r="BZ215" i="6"/>
  <c r="CA214" i="6"/>
  <c r="CB230" i="6"/>
  <c r="BZ231" i="6"/>
  <c r="CA230" i="6"/>
  <c r="CA241" i="6"/>
  <c r="CB241" i="6"/>
  <c r="CB222" i="6"/>
  <c r="BZ223" i="6"/>
  <c r="CA222" i="6"/>
  <c r="CB234" i="6"/>
  <c r="CA234" i="6"/>
  <c r="BZ235" i="6"/>
  <c r="CB232" i="6"/>
  <c r="BZ239" i="6"/>
  <c r="CA232" i="6"/>
  <c r="BQ222" i="6"/>
  <c r="BP222" i="6"/>
  <c r="BO223" i="6"/>
  <c r="BO232" i="6"/>
  <c r="BP225" i="6"/>
  <c r="BQ225" i="6"/>
  <c r="BO216" i="6"/>
  <c r="BQ215" i="6"/>
  <c r="BP215" i="6"/>
  <c r="BQ234" i="6"/>
  <c r="BP234" i="6"/>
  <c r="BO235" i="6"/>
  <c r="BO228" i="6"/>
  <c r="BQ227" i="6"/>
  <c r="BP227" i="6"/>
  <c r="BF214" i="6"/>
  <c r="BD215" i="6"/>
  <c r="BE214" i="6"/>
  <c r="BD228" i="6"/>
  <c r="BF227" i="6"/>
  <c r="BE227" i="6"/>
  <c r="BF234" i="6"/>
  <c r="BE234" i="6"/>
  <c r="BD235" i="6"/>
  <c r="BE241" i="6"/>
  <c r="BF241" i="6"/>
  <c r="BD232" i="6"/>
  <c r="BE225" i="6"/>
  <c r="BF225" i="6"/>
  <c r="BF222" i="6"/>
  <c r="BE222" i="6"/>
  <c r="BD223" i="6"/>
  <c r="AS232" i="6"/>
  <c r="AT225" i="6"/>
  <c r="AU225" i="6"/>
  <c r="AU222" i="6"/>
  <c r="AS223" i="6"/>
  <c r="AT222" i="6"/>
  <c r="AU234" i="6"/>
  <c r="AT234" i="6"/>
  <c r="AS235" i="6"/>
  <c r="AS228" i="6"/>
  <c r="AU227" i="6"/>
  <c r="AT227" i="6"/>
  <c r="AS216" i="6"/>
  <c r="AU215" i="6"/>
  <c r="AT215" i="6"/>
  <c r="AH228" i="6"/>
  <c r="AJ227" i="6"/>
  <c r="AI227" i="6"/>
  <c r="AJ214" i="6"/>
  <c r="AI214" i="6"/>
  <c r="AH215" i="6"/>
  <c r="AH232" i="6"/>
  <c r="AI225" i="6"/>
  <c r="AJ225" i="6"/>
  <c r="AI233" i="6"/>
  <c r="AH234" i="6"/>
  <c r="AJ233" i="6"/>
  <c r="AI241" i="6"/>
  <c r="AJ241" i="6"/>
  <c r="AH221" i="6"/>
  <c r="AJ220" i="6"/>
  <c r="AI220" i="6"/>
  <c r="X241" i="6"/>
  <c r="Y241" i="6"/>
  <c r="Y222" i="6"/>
  <c r="X222" i="6"/>
  <c r="W223" i="6"/>
  <c r="Y234" i="6"/>
  <c r="X234" i="6"/>
  <c r="W235" i="6"/>
  <c r="W232" i="6"/>
  <c r="X225" i="6"/>
  <c r="Y225" i="6"/>
  <c r="Y214" i="6"/>
  <c r="W215" i="6"/>
  <c r="X214" i="6"/>
  <c r="W228" i="6"/>
  <c r="Y227" i="6"/>
  <c r="X227" i="6"/>
  <c r="K223" i="6"/>
  <c r="K228" i="6"/>
  <c r="K215" i="6"/>
  <c r="K235" i="6"/>
  <c r="GO149" i="13"/>
  <c r="GN151" i="13"/>
  <c r="GP151" i="13" s="1"/>
  <c r="GO148" i="13"/>
  <c r="GN150" i="13"/>
  <c r="GP150" i="13" s="1"/>
  <c r="BU149" i="13"/>
  <c r="BT151" i="13"/>
  <c r="BU148" i="13"/>
  <c r="BT150" i="13"/>
  <c r="BH149" i="13"/>
  <c r="BG151" i="13"/>
  <c r="BG150" i="13"/>
  <c r="BH148" i="13"/>
  <c r="AU147" i="13"/>
  <c r="AF148" i="13"/>
  <c r="AG147" i="13"/>
  <c r="R148" i="13"/>
  <c r="HB127" i="12"/>
  <c r="HC126" i="12"/>
  <c r="HH128" i="12"/>
  <c r="HG129" i="12"/>
  <c r="GW127" i="12"/>
  <c r="GX126" i="12"/>
  <c r="GN129" i="12"/>
  <c r="GO128" i="12"/>
  <c r="GS127" i="12"/>
  <c r="GT126" i="12"/>
  <c r="GI127" i="12"/>
  <c r="GJ126" i="12"/>
  <c r="FZ129" i="12"/>
  <c r="GA128" i="12"/>
  <c r="FU127" i="12"/>
  <c r="FV126" i="12"/>
  <c r="GE127" i="12"/>
  <c r="GF126" i="12"/>
  <c r="FQ127" i="12"/>
  <c r="FR126" i="12"/>
  <c r="FL128" i="12"/>
  <c r="FM127" i="12"/>
  <c r="FG127" i="12"/>
  <c r="FH126" i="12"/>
  <c r="FC127" i="12"/>
  <c r="FD126" i="12"/>
  <c r="ES127" i="12"/>
  <c r="ET126" i="12"/>
  <c r="EX129" i="12"/>
  <c r="EY128" i="12"/>
  <c r="EO127" i="12"/>
  <c r="EP126" i="12"/>
  <c r="EE129" i="12"/>
  <c r="EF128" i="12"/>
  <c r="EJ127" i="12"/>
  <c r="EK126" i="12"/>
  <c r="EA127" i="12"/>
  <c r="EB126" i="12"/>
  <c r="DV127" i="12"/>
  <c r="DW126" i="12"/>
  <c r="DQ127" i="12"/>
  <c r="DR126" i="12"/>
  <c r="DM127" i="12"/>
  <c r="DN126" i="12"/>
  <c r="DC127" i="12"/>
  <c r="DD126" i="12"/>
  <c r="DH129" i="12"/>
  <c r="DI128" i="12"/>
  <c r="CT129" i="12"/>
  <c r="CU128" i="12"/>
  <c r="CY127" i="12"/>
  <c r="CZ126" i="12"/>
  <c r="CO127" i="12"/>
  <c r="CP126" i="12"/>
  <c r="CA127" i="12"/>
  <c r="CB126" i="12"/>
  <c r="CK127" i="12"/>
  <c r="CL126" i="12"/>
  <c r="CF129" i="12"/>
  <c r="CG128" i="12"/>
  <c r="AC127" i="12"/>
  <c r="AB128" i="12"/>
  <c r="X126" i="12"/>
  <c r="W127" i="12"/>
  <c r="AH128" i="12"/>
  <c r="AG129" i="12"/>
  <c r="BM127" i="12"/>
  <c r="BN126" i="12"/>
  <c r="BR127" i="12"/>
  <c r="BS126" i="12"/>
  <c r="BW127" i="12"/>
  <c r="BX126" i="12"/>
  <c r="BI127" i="12"/>
  <c r="BJ126" i="12"/>
  <c r="BD127" i="12"/>
  <c r="BE126" i="12"/>
  <c r="AY127" i="12"/>
  <c r="AZ126" i="12"/>
  <c r="AP127" i="12"/>
  <c r="AQ126" i="12"/>
  <c r="AK127" i="12"/>
  <c r="AL126" i="12"/>
  <c r="AU127" i="12"/>
  <c r="AV126" i="12"/>
  <c r="GN154" i="32" l="1"/>
  <c r="GP152" i="32"/>
  <c r="GO152" i="32"/>
  <c r="BG151" i="32"/>
  <c r="BI149" i="32"/>
  <c r="BH149" i="32"/>
  <c r="GB148" i="32"/>
  <c r="FZ149" i="32"/>
  <c r="GA148" i="32"/>
  <c r="EL147" i="32"/>
  <c r="EJ148" i="32"/>
  <c r="EK147" i="32"/>
  <c r="EZ148" i="32"/>
  <c r="EX149" i="32"/>
  <c r="EY148" i="32"/>
  <c r="BG152" i="32"/>
  <c r="BI150" i="32"/>
  <c r="BH150" i="32"/>
  <c r="AH147" i="32"/>
  <c r="AF148" i="32"/>
  <c r="AG147" i="32"/>
  <c r="CT148" i="32"/>
  <c r="CU147" i="32"/>
  <c r="CV147" i="32"/>
  <c r="AT151" i="32"/>
  <c r="AV149" i="32"/>
  <c r="AU149" i="32"/>
  <c r="BU149" i="32"/>
  <c r="BT151" i="32"/>
  <c r="BV149" i="32"/>
  <c r="FL149" i="32"/>
  <c r="FM148" i="32"/>
  <c r="FN148" i="32"/>
  <c r="BT152" i="32"/>
  <c r="BV150" i="32"/>
  <c r="BU150" i="32"/>
  <c r="DH149" i="32"/>
  <c r="DI148" i="32"/>
  <c r="DJ148" i="32"/>
  <c r="T147" i="32"/>
  <c r="R148" i="32"/>
  <c r="S147" i="32"/>
  <c r="CG153" i="32"/>
  <c r="CI151" i="32"/>
  <c r="CH151" i="32"/>
  <c r="DX148" i="32"/>
  <c r="DV149" i="32"/>
  <c r="DW148" i="32"/>
  <c r="CG154" i="32"/>
  <c r="CI152" i="32"/>
  <c r="CH152" i="32"/>
  <c r="GN153" i="32"/>
  <c r="GP151" i="32"/>
  <c r="GO151" i="32"/>
  <c r="C149" i="32"/>
  <c r="D148" i="32"/>
  <c r="E148" i="32"/>
  <c r="AT152" i="32"/>
  <c r="AV150" i="32"/>
  <c r="AU150" i="32"/>
  <c r="CT152" i="13"/>
  <c r="CV151" i="13"/>
  <c r="CU151" i="13"/>
  <c r="DI149" i="13"/>
  <c r="DJ149" i="13"/>
  <c r="DH150" i="13"/>
  <c r="DW149" i="13"/>
  <c r="DV150" i="13"/>
  <c r="DX149" i="13"/>
  <c r="EK149" i="13"/>
  <c r="EJ150" i="13"/>
  <c r="EL149" i="13"/>
  <c r="EY149" i="13"/>
  <c r="EX150" i="13"/>
  <c r="EZ149" i="13"/>
  <c r="FM149" i="13"/>
  <c r="FN149" i="13"/>
  <c r="FL150" i="13"/>
  <c r="T148" i="13"/>
  <c r="S148" i="13"/>
  <c r="EN229" i="6"/>
  <c r="EP228" i="6"/>
  <c r="EO228" i="6"/>
  <c r="EO221" i="6"/>
  <c r="EN222" i="6"/>
  <c r="EP221" i="6"/>
  <c r="EP232" i="6"/>
  <c r="EN239" i="6"/>
  <c r="EO232" i="6"/>
  <c r="EP234" i="6"/>
  <c r="EO234" i="6"/>
  <c r="EN235" i="6"/>
  <c r="EN217" i="6"/>
  <c r="EP216" i="6"/>
  <c r="EO216" i="6"/>
  <c r="EC236" i="6"/>
  <c r="EE235" i="6"/>
  <c r="ED235" i="6"/>
  <c r="EC224" i="6"/>
  <c r="EE223" i="6"/>
  <c r="ED223" i="6"/>
  <c r="EC229" i="6"/>
  <c r="EE228" i="6"/>
  <c r="ED228" i="6"/>
  <c r="EC216" i="6"/>
  <c r="EE215" i="6"/>
  <c r="ED215" i="6"/>
  <c r="EC239" i="6"/>
  <c r="ED232" i="6"/>
  <c r="EE232" i="6"/>
  <c r="DS228" i="6"/>
  <c r="DR229" i="6"/>
  <c r="DT228" i="6"/>
  <c r="DS232" i="6"/>
  <c r="DR239" i="6"/>
  <c r="DT232" i="6"/>
  <c r="DR236" i="6"/>
  <c r="DT235" i="6"/>
  <c r="DS235" i="6"/>
  <c r="DR224" i="6"/>
  <c r="DT223" i="6"/>
  <c r="DS223" i="6"/>
  <c r="DS216" i="6"/>
  <c r="DR217" i="6"/>
  <c r="DT216" i="6"/>
  <c r="DG239" i="6"/>
  <c r="DH232" i="6"/>
  <c r="DI232" i="6"/>
  <c r="DG224" i="6"/>
  <c r="DI223" i="6"/>
  <c r="DH223" i="6"/>
  <c r="DG236" i="6"/>
  <c r="DI235" i="6"/>
  <c r="DH235" i="6"/>
  <c r="DG216" i="6"/>
  <c r="DI215" i="6"/>
  <c r="DH215" i="6"/>
  <c r="DH228" i="6"/>
  <c r="DG229" i="6"/>
  <c r="DI228" i="6"/>
  <c r="CV224" i="6"/>
  <c r="CX223" i="6"/>
  <c r="CW223" i="6"/>
  <c r="CV216" i="6"/>
  <c r="CX215" i="6"/>
  <c r="CW215" i="6"/>
  <c r="CW228" i="6"/>
  <c r="CV229" i="6"/>
  <c r="CX228" i="6"/>
  <c r="CV236" i="6"/>
  <c r="CX235" i="6"/>
  <c r="CW235" i="6"/>
  <c r="CV239" i="6"/>
  <c r="CX232" i="6"/>
  <c r="CW232" i="6"/>
  <c r="CM231" i="6"/>
  <c r="CL231" i="6"/>
  <c r="CK236" i="6"/>
  <c r="CM235" i="6"/>
  <c r="CL235" i="6"/>
  <c r="CK216" i="6"/>
  <c r="CL215" i="6"/>
  <c r="CM215" i="6"/>
  <c r="CL239" i="6"/>
  <c r="CM239" i="6"/>
  <c r="CK224" i="6"/>
  <c r="CL223" i="6"/>
  <c r="CM223" i="6"/>
  <c r="CA231" i="6"/>
  <c r="CB231" i="6"/>
  <c r="BZ216" i="6"/>
  <c r="CB215" i="6"/>
  <c r="CA215" i="6"/>
  <c r="CB239" i="6"/>
  <c r="CA239" i="6"/>
  <c r="BZ224" i="6"/>
  <c r="CA223" i="6"/>
  <c r="CB223" i="6"/>
  <c r="BZ236" i="6"/>
  <c r="CB235" i="6"/>
  <c r="CA235" i="6"/>
  <c r="BO217" i="6"/>
  <c r="BQ216" i="6"/>
  <c r="BP216" i="6"/>
  <c r="BO224" i="6"/>
  <c r="BQ223" i="6"/>
  <c r="BP223" i="6"/>
  <c r="BO229" i="6"/>
  <c r="BP228" i="6"/>
  <c r="BQ228" i="6"/>
  <c r="BO236" i="6"/>
  <c r="BQ235" i="6"/>
  <c r="BP235" i="6"/>
  <c r="BO239" i="6"/>
  <c r="BP232" i="6"/>
  <c r="BQ232" i="6"/>
  <c r="BD216" i="6"/>
  <c r="BF215" i="6"/>
  <c r="BE215" i="6"/>
  <c r="BD224" i="6"/>
  <c r="BF223" i="6"/>
  <c r="BE223" i="6"/>
  <c r="BD236" i="6"/>
  <c r="BF235" i="6"/>
  <c r="BE235" i="6"/>
  <c r="BD239" i="6"/>
  <c r="BE232" i="6"/>
  <c r="BF232" i="6"/>
  <c r="BE228" i="6"/>
  <c r="BD229" i="6"/>
  <c r="BF228" i="6"/>
  <c r="AS229" i="6"/>
  <c r="AT228" i="6"/>
  <c r="AU228" i="6"/>
  <c r="AS217" i="6"/>
  <c r="AT216" i="6"/>
  <c r="AU216" i="6"/>
  <c r="AS236" i="6"/>
  <c r="AU235" i="6"/>
  <c r="AT235" i="6"/>
  <c r="AS224" i="6"/>
  <c r="AU223" i="6"/>
  <c r="AT223" i="6"/>
  <c r="AS239" i="6"/>
  <c r="AU232" i="6"/>
  <c r="AT232" i="6"/>
  <c r="AI221" i="6"/>
  <c r="AH222" i="6"/>
  <c r="AJ221" i="6"/>
  <c r="AJ234" i="6"/>
  <c r="AI234" i="6"/>
  <c r="AH235" i="6"/>
  <c r="AJ232" i="6"/>
  <c r="AH239" i="6"/>
  <c r="AI232" i="6"/>
  <c r="AH216" i="6"/>
  <c r="AJ215" i="6"/>
  <c r="AI215" i="6"/>
  <c r="AH229" i="6"/>
  <c r="AJ228" i="6"/>
  <c r="AI228" i="6"/>
  <c r="W216" i="6"/>
  <c r="Y215" i="6"/>
  <c r="X215" i="6"/>
  <c r="X232" i="6"/>
  <c r="W239" i="6"/>
  <c r="Y232" i="6"/>
  <c r="W236" i="6"/>
  <c r="Y235" i="6"/>
  <c r="X235" i="6"/>
  <c r="W224" i="6"/>
  <c r="Y223" i="6"/>
  <c r="X223" i="6"/>
  <c r="W229" i="6"/>
  <c r="X228" i="6"/>
  <c r="Y228" i="6"/>
  <c r="K224" i="6"/>
  <c r="K216" i="6"/>
  <c r="K236" i="6"/>
  <c r="K229" i="6"/>
  <c r="GN153" i="13"/>
  <c r="GP153" i="13" s="1"/>
  <c r="GO151" i="13"/>
  <c r="GN152" i="13"/>
  <c r="GP152" i="13" s="1"/>
  <c r="GO150" i="13"/>
  <c r="BT152" i="13"/>
  <c r="BU150" i="13"/>
  <c r="BT153" i="13"/>
  <c r="BU151" i="13"/>
  <c r="BG152" i="13"/>
  <c r="BH150" i="13"/>
  <c r="BG153" i="13"/>
  <c r="BH151" i="13"/>
  <c r="AU148" i="13"/>
  <c r="AG148" i="13"/>
  <c r="AF149" i="13"/>
  <c r="R149" i="13"/>
  <c r="GW128" i="12"/>
  <c r="GX127" i="12"/>
  <c r="HC127" i="12"/>
  <c r="HB128" i="12"/>
  <c r="HG130" i="12"/>
  <c r="HH129" i="12"/>
  <c r="GN130" i="12"/>
  <c r="GO129" i="12"/>
  <c r="GI128" i="12"/>
  <c r="GJ127" i="12"/>
  <c r="GS128" i="12"/>
  <c r="GT127" i="12"/>
  <c r="FU128" i="12"/>
  <c r="FV127" i="12"/>
  <c r="GE128" i="12"/>
  <c r="GF127" i="12"/>
  <c r="FZ130" i="12"/>
  <c r="GA129" i="12"/>
  <c r="FL129" i="12"/>
  <c r="FM128" i="12"/>
  <c r="FQ128" i="12"/>
  <c r="FR127" i="12"/>
  <c r="FG128" i="12"/>
  <c r="FH127" i="12"/>
  <c r="EX130" i="12"/>
  <c r="EY129" i="12"/>
  <c r="ES128" i="12"/>
  <c r="ET127" i="12"/>
  <c r="FC128" i="12"/>
  <c r="FD127" i="12"/>
  <c r="EE130" i="12"/>
  <c r="EF129" i="12"/>
  <c r="EO128" i="12"/>
  <c r="EP127" i="12"/>
  <c r="EJ128" i="12"/>
  <c r="EK127" i="12"/>
  <c r="DV128" i="12"/>
  <c r="DW127" i="12"/>
  <c r="DQ128" i="12"/>
  <c r="DR127" i="12"/>
  <c r="EA128" i="12"/>
  <c r="EB127" i="12"/>
  <c r="DH130" i="12"/>
  <c r="DI129" i="12"/>
  <c r="DN127" i="12"/>
  <c r="DM128" i="12"/>
  <c r="DC128" i="12"/>
  <c r="DD127" i="12"/>
  <c r="CO128" i="12"/>
  <c r="CP127" i="12"/>
  <c r="CT130" i="12"/>
  <c r="CU129" i="12"/>
  <c r="CY128" i="12"/>
  <c r="CZ127" i="12"/>
  <c r="CF130" i="12"/>
  <c r="CG129" i="12"/>
  <c r="CK128" i="12"/>
  <c r="CL127" i="12"/>
  <c r="CA128" i="12"/>
  <c r="CB127" i="12"/>
  <c r="AH129" i="12"/>
  <c r="AG130" i="12"/>
  <c r="AC128" i="12"/>
  <c r="AB129" i="12"/>
  <c r="X127" i="12"/>
  <c r="W128" i="12"/>
  <c r="BR128" i="12"/>
  <c r="BS127" i="12"/>
  <c r="BW128" i="12"/>
  <c r="BX127" i="12"/>
  <c r="BM128" i="12"/>
  <c r="BN127" i="12"/>
  <c r="AY128" i="12"/>
  <c r="AZ127" i="12"/>
  <c r="BD128" i="12"/>
  <c r="BE127" i="12"/>
  <c r="BI128" i="12"/>
  <c r="BJ127" i="12"/>
  <c r="AU128" i="12"/>
  <c r="AV127" i="12"/>
  <c r="AK128" i="12"/>
  <c r="AL127" i="12"/>
  <c r="AP128" i="12"/>
  <c r="AQ127" i="12"/>
  <c r="E149" i="32" l="1"/>
  <c r="C150" i="32"/>
  <c r="D149" i="32"/>
  <c r="GN155" i="32"/>
  <c r="GP153" i="32"/>
  <c r="GO153" i="32"/>
  <c r="CH154" i="32"/>
  <c r="CG156" i="32"/>
  <c r="CI154" i="32"/>
  <c r="DV150" i="32"/>
  <c r="DW149" i="32"/>
  <c r="DX149" i="32"/>
  <c r="EZ149" i="32"/>
  <c r="EX150" i="32"/>
  <c r="EY149" i="32"/>
  <c r="FZ150" i="32"/>
  <c r="GA149" i="32"/>
  <c r="GB149" i="32"/>
  <c r="GO154" i="32"/>
  <c r="GN156" i="32"/>
  <c r="GP154" i="32"/>
  <c r="AT154" i="32"/>
  <c r="AV152" i="32"/>
  <c r="AU152" i="32"/>
  <c r="CG155" i="32"/>
  <c r="CI153" i="32"/>
  <c r="CH153" i="32"/>
  <c r="FN149" i="32"/>
  <c r="FL150" i="32"/>
  <c r="FM149" i="32"/>
  <c r="BG153" i="32"/>
  <c r="BI151" i="32"/>
  <c r="BH151" i="32"/>
  <c r="BT154" i="32"/>
  <c r="BV152" i="32"/>
  <c r="BU152" i="32"/>
  <c r="BT153" i="32"/>
  <c r="BV151" i="32"/>
  <c r="BU151" i="32"/>
  <c r="AH148" i="32"/>
  <c r="AF149" i="32"/>
  <c r="AG148" i="32"/>
  <c r="BG154" i="32"/>
  <c r="BH152" i="32"/>
  <c r="BI152" i="32"/>
  <c r="T148" i="32"/>
  <c r="R149" i="32"/>
  <c r="S148" i="32"/>
  <c r="DJ149" i="32"/>
  <c r="DH150" i="32"/>
  <c r="DI149" i="32"/>
  <c r="AU151" i="32"/>
  <c r="AT153" i="32"/>
  <c r="AV151" i="32"/>
  <c r="CV148" i="32"/>
  <c r="CT149" i="32"/>
  <c r="CU148" i="32"/>
  <c r="EL148" i="32"/>
  <c r="EJ149" i="32"/>
  <c r="EK148" i="32"/>
  <c r="CT153" i="13"/>
  <c r="CV152" i="13"/>
  <c r="CU152" i="13"/>
  <c r="DJ150" i="13"/>
  <c r="DI150" i="13"/>
  <c r="DH151" i="13"/>
  <c r="DX150" i="13"/>
  <c r="DW150" i="13"/>
  <c r="DV151" i="13"/>
  <c r="EL150" i="13"/>
  <c r="EK150" i="13"/>
  <c r="EJ151" i="13"/>
  <c r="EZ150" i="13"/>
  <c r="EY150" i="13"/>
  <c r="EX151" i="13"/>
  <c r="FN150" i="13"/>
  <c r="FM150" i="13"/>
  <c r="FL151" i="13"/>
  <c r="T149" i="13"/>
  <c r="S149" i="13"/>
  <c r="EO217" i="6"/>
  <c r="EP217" i="6"/>
  <c r="EN236" i="6"/>
  <c r="EP235" i="6"/>
  <c r="EO235" i="6"/>
  <c r="EP239" i="6"/>
  <c r="EO239" i="6"/>
  <c r="EP222" i="6"/>
  <c r="EO222" i="6"/>
  <c r="EN223" i="6"/>
  <c r="EO229" i="6"/>
  <c r="EN230" i="6"/>
  <c r="EP229" i="6"/>
  <c r="EE239" i="6"/>
  <c r="ED239" i="6"/>
  <c r="ED236" i="6"/>
  <c r="EC237" i="6"/>
  <c r="EE236" i="6"/>
  <c r="EC217" i="6"/>
  <c r="EE216" i="6"/>
  <c r="ED216" i="6"/>
  <c r="EE224" i="6"/>
  <c r="ED224" i="6"/>
  <c r="ED229" i="6"/>
  <c r="EE229" i="6"/>
  <c r="EC230" i="6"/>
  <c r="DS217" i="6"/>
  <c r="DT217" i="6"/>
  <c r="DS224" i="6"/>
  <c r="DT224" i="6"/>
  <c r="DS236" i="6"/>
  <c r="DR237" i="6"/>
  <c r="DT236" i="6"/>
  <c r="DS229" i="6"/>
  <c r="DR230" i="6"/>
  <c r="DT229" i="6"/>
  <c r="DT239" i="6"/>
  <c r="DS239" i="6"/>
  <c r="DH236" i="6"/>
  <c r="DG237" i="6"/>
  <c r="DI236" i="6"/>
  <c r="DH229" i="6"/>
  <c r="DI229" i="6"/>
  <c r="DG230" i="6"/>
  <c r="DH216" i="6"/>
  <c r="DG217" i="6"/>
  <c r="DI216" i="6"/>
  <c r="DH224" i="6"/>
  <c r="DI224" i="6"/>
  <c r="DI239" i="6"/>
  <c r="DH239" i="6"/>
  <c r="CV237" i="6"/>
  <c r="CX236" i="6"/>
  <c r="CW236" i="6"/>
  <c r="CX239" i="6"/>
  <c r="CW239" i="6"/>
  <c r="CW224" i="6"/>
  <c r="CX224" i="6"/>
  <c r="CW229" i="6"/>
  <c r="CV230" i="6"/>
  <c r="CX229" i="6"/>
  <c r="CW216" i="6"/>
  <c r="CV217" i="6"/>
  <c r="CX216" i="6"/>
  <c r="CM216" i="6"/>
  <c r="CK217" i="6"/>
  <c r="CL216" i="6"/>
  <c r="CM224" i="6"/>
  <c r="CL224" i="6"/>
  <c r="CM236" i="6"/>
  <c r="CL236" i="6"/>
  <c r="CK237" i="6"/>
  <c r="CB236" i="6"/>
  <c r="BZ237" i="6"/>
  <c r="CA236" i="6"/>
  <c r="CA216" i="6"/>
  <c r="BZ217" i="6"/>
  <c r="CB216" i="6"/>
  <c r="CA224" i="6"/>
  <c r="CB224" i="6"/>
  <c r="BP236" i="6"/>
  <c r="BO237" i="6"/>
  <c r="BQ236" i="6"/>
  <c r="BP229" i="6"/>
  <c r="BQ229" i="6"/>
  <c r="BO230" i="6"/>
  <c r="BQ239" i="6"/>
  <c r="BP239" i="6"/>
  <c r="BP217" i="6"/>
  <c r="BQ217" i="6"/>
  <c r="BP224" i="6"/>
  <c r="BQ224" i="6"/>
  <c r="BE224" i="6"/>
  <c r="BF224" i="6"/>
  <c r="BD217" i="6"/>
  <c r="BE216" i="6"/>
  <c r="BF216" i="6"/>
  <c r="BE236" i="6"/>
  <c r="BD237" i="6"/>
  <c r="BF236" i="6"/>
  <c r="BE229" i="6"/>
  <c r="BD230" i="6"/>
  <c r="BF229" i="6"/>
  <c r="BF239" i="6"/>
  <c r="BE239" i="6"/>
  <c r="AT236" i="6"/>
  <c r="AS237" i="6"/>
  <c r="AU236" i="6"/>
  <c r="AT224" i="6"/>
  <c r="AU224" i="6"/>
  <c r="AU239" i="6"/>
  <c r="AT239" i="6"/>
  <c r="AT229" i="6"/>
  <c r="AS230" i="6"/>
  <c r="AU229" i="6"/>
  <c r="AT217" i="6"/>
  <c r="AU217" i="6"/>
  <c r="AH236" i="6"/>
  <c r="AJ235" i="6"/>
  <c r="AI235" i="6"/>
  <c r="AJ222" i="6"/>
  <c r="AI222" i="6"/>
  <c r="AH223" i="6"/>
  <c r="AI229" i="6"/>
  <c r="AH230" i="6"/>
  <c r="AJ229" i="6"/>
  <c r="AH217" i="6"/>
  <c r="AJ216" i="6"/>
  <c r="AI216" i="6"/>
  <c r="AJ239" i="6"/>
  <c r="AI239" i="6"/>
  <c r="X229" i="6"/>
  <c r="W230" i="6"/>
  <c r="Y229" i="6"/>
  <c r="Y239" i="6"/>
  <c r="X239" i="6"/>
  <c r="X216" i="6"/>
  <c r="W217" i="6"/>
  <c r="Y216" i="6"/>
  <c r="Y224" i="6"/>
  <c r="X224" i="6"/>
  <c r="W237" i="6"/>
  <c r="X236" i="6"/>
  <c r="Y236" i="6"/>
  <c r="K230" i="6"/>
  <c r="K237" i="6"/>
  <c r="K217" i="6"/>
  <c r="GO153" i="13"/>
  <c r="GN155" i="13"/>
  <c r="GP155" i="13" s="1"/>
  <c r="GN154" i="13"/>
  <c r="GP154" i="13" s="1"/>
  <c r="GO152" i="13"/>
  <c r="BU152" i="13"/>
  <c r="BT154" i="13"/>
  <c r="BU153" i="13"/>
  <c r="BT155" i="13"/>
  <c r="BH153" i="13"/>
  <c r="BG155" i="13"/>
  <c r="BG154" i="13"/>
  <c r="BH152" i="13"/>
  <c r="AU149" i="13"/>
  <c r="AG149" i="13"/>
  <c r="AF150" i="13"/>
  <c r="R150" i="13"/>
  <c r="HG131" i="12"/>
  <c r="HH130" i="12"/>
  <c r="GW129" i="12"/>
  <c r="GX128" i="12"/>
  <c r="HB129" i="12"/>
  <c r="HC128" i="12"/>
  <c r="GI129" i="12"/>
  <c r="GJ128" i="12"/>
  <c r="GN131" i="12"/>
  <c r="GO130" i="12"/>
  <c r="GS129" i="12"/>
  <c r="GT128" i="12"/>
  <c r="FZ131" i="12"/>
  <c r="GA130" i="12"/>
  <c r="GE129" i="12"/>
  <c r="GF128" i="12"/>
  <c r="FU129" i="12"/>
  <c r="FV128" i="12"/>
  <c r="FQ129" i="12"/>
  <c r="FR128" i="12"/>
  <c r="FG129" i="12"/>
  <c r="FH128" i="12"/>
  <c r="FL130" i="12"/>
  <c r="FM129" i="12"/>
  <c r="FC129" i="12"/>
  <c r="FD128" i="12"/>
  <c r="ES129" i="12"/>
  <c r="ET128" i="12"/>
  <c r="EX131" i="12"/>
  <c r="EY130" i="12"/>
  <c r="EJ129" i="12"/>
  <c r="EK128" i="12"/>
  <c r="EE131" i="12"/>
  <c r="EF130" i="12"/>
  <c r="EO129" i="12"/>
  <c r="EP128" i="12"/>
  <c r="DV129" i="12"/>
  <c r="DW128" i="12"/>
  <c r="EA129" i="12"/>
  <c r="EB128" i="12"/>
  <c r="DQ129" i="12"/>
  <c r="DR128" i="12"/>
  <c r="DC129" i="12"/>
  <c r="DD128" i="12"/>
  <c r="DM129" i="12"/>
  <c r="DN128" i="12"/>
  <c r="DH131" i="12"/>
  <c r="DI130" i="12"/>
  <c r="CO129" i="12"/>
  <c r="CP128" i="12"/>
  <c r="CY129" i="12"/>
  <c r="CZ128" i="12"/>
  <c r="CT131" i="12"/>
  <c r="CU130" i="12"/>
  <c r="CA129" i="12"/>
  <c r="CB128" i="12"/>
  <c r="CF131" i="12"/>
  <c r="CG130" i="12"/>
  <c r="CK129" i="12"/>
  <c r="CL128" i="12"/>
  <c r="X128" i="12"/>
  <c r="W129" i="12"/>
  <c r="AH130" i="12"/>
  <c r="AG131" i="12"/>
  <c r="AC129" i="12"/>
  <c r="AB130" i="12"/>
  <c r="BW129" i="12"/>
  <c r="BX128" i="12"/>
  <c r="BM129" i="12"/>
  <c r="BN128" i="12"/>
  <c r="BR129" i="12"/>
  <c r="BS128" i="12"/>
  <c r="AY129" i="12"/>
  <c r="AZ128" i="12"/>
  <c r="BD129" i="12"/>
  <c r="BE128" i="12"/>
  <c r="BI129" i="12"/>
  <c r="BJ128" i="12"/>
  <c r="AU129" i="12"/>
  <c r="AV128" i="12"/>
  <c r="AK129" i="12"/>
  <c r="AL128" i="12"/>
  <c r="AP129" i="12"/>
  <c r="AQ128" i="12"/>
  <c r="DJ150" i="32" l="1"/>
  <c r="DH151" i="32"/>
  <c r="DI150" i="32"/>
  <c r="EZ150" i="32"/>
  <c r="EX151" i="32"/>
  <c r="EY150" i="32"/>
  <c r="AT155" i="32"/>
  <c r="AV153" i="32"/>
  <c r="AU153" i="32"/>
  <c r="BG156" i="32"/>
  <c r="BH154" i="32"/>
  <c r="BI154" i="32"/>
  <c r="GN158" i="32"/>
  <c r="GP156" i="32"/>
  <c r="GO156" i="32"/>
  <c r="GB150" i="32"/>
  <c r="FZ151" i="32"/>
  <c r="GA150" i="32"/>
  <c r="DX150" i="32"/>
  <c r="DV151" i="32"/>
  <c r="DW150" i="32"/>
  <c r="CV149" i="32"/>
  <c r="CT150" i="32"/>
  <c r="CU149" i="32"/>
  <c r="BT156" i="32"/>
  <c r="BV154" i="32"/>
  <c r="BU154" i="32"/>
  <c r="E150" i="32"/>
  <c r="C151" i="32"/>
  <c r="D150" i="32"/>
  <c r="EL149" i="32"/>
  <c r="EJ150" i="32"/>
  <c r="EK149" i="32"/>
  <c r="R150" i="32"/>
  <c r="S149" i="32"/>
  <c r="T149" i="32"/>
  <c r="AH149" i="32"/>
  <c r="AF150" i="32"/>
  <c r="AG149" i="32"/>
  <c r="BT155" i="32"/>
  <c r="BU153" i="32"/>
  <c r="BV153" i="32"/>
  <c r="BG155" i="32"/>
  <c r="BI153" i="32"/>
  <c r="BH153" i="32"/>
  <c r="FN150" i="32"/>
  <c r="FL151" i="32"/>
  <c r="FM150" i="32"/>
  <c r="CG157" i="32"/>
  <c r="CI155" i="32"/>
  <c r="CH155" i="32"/>
  <c r="AT156" i="32"/>
  <c r="AV154" i="32"/>
  <c r="AU154" i="32"/>
  <c r="CG158" i="32"/>
  <c r="CI156" i="32"/>
  <c r="CH156" i="32"/>
  <c r="GP155" i="32"/>
  <c r="GN157" i="32"/>
  <c r="GO155" i="32"/>
  <c r="CU153" i="13"/>
  <c r="CT154" i="13"/>
  <c r="CV153" i="13"/>
  <c r="DH152" i="13"/>
  <c r="DJ151" i="13"/>
  <c r="DI151" i="13"/>
  <c r="DV152" i="13"/>
  <c r="DX151" i="13"/>
  <c r="DW151" i="13"/>
  <c r="EJ152" i="13"/>
  <c r="EK151" i="13"/>
  <c r="EL151" i="13"/>
  <c r="EX152" i="13"/>
  <c r="EZ151" i="13"/>
  <c r="EY151" i="13"/>
  <c r="FL152" i="13"/>
  <c r="FN151" i="13"/>
  <c r="FM151" i="13"/>
  <c r="T150" i="13"/>
  <c r="S150" i="13"/>
  <c r="EN224" i="6"/>
  <c r="EP223" i="6"/>
  <c r="EO223" i="6"/>
  <c r="EP230" i="6"/>
  <c r="EO230" i="6"/>
  <c r="EN231" i="6"/>
  <c r="EN237" i="6"/>
  <c r="EP236" i="6"/>
  <c r="EO236" i="6"/>
  <c r="ED237" i="6"/>
  <c r="EE237" i="6"/>
  <c r="EC238" i="6"/>
  <c r="EE230" i="6"/>
  <c r="ED230" i="6"/>
  <c r="EC231" i="6"/>
  <c r="ED217" i="6"/>
  <c r="EE217" i="6"/>
  <c r="DT230" i="6"/>
  <c r="DS230" i="6"/>
  <c r="DR231" i="6"/>
  <c r="DS237" i="6"/>
  <c r="DR238" i="6"/>
  <c r="DR243" i="6" s="1"/>
  <c r="DT237" i="6"/>
  <c r="DI230" i="6"/>
  <c r="DH230" i="6"/>
  <c r="DG231" i="6"/>
  <c r="DH237" i="6"/>
  <c r="DI237" i="6"/>
  <c r="DG238" i="6"/>
  <c r="DH217" i="6"/>
  <c r="DI217" i="6"/>
  <c r="CW217" i="6"/>
  <c r="CX217" i="6"/>
  <c r="CX230" i="6"/>
  <c r="CW230" i="6"/>
  <c r="CV231" i="6"/>
  <c r="CW237" i="6"/>
  <c r="CV238" i="6"/>
  <c r="CX237" i="6"/>
  <c r="CL217" i="6"/>
  <c r="CM217" i="6"/>
  <c r="CL237" i="6"/>
  <c r="CK238" i="6"/>
  <c r="CM237" i="6"/>
  <c r="CA237" i="6"/>
  <c r="CB237" i="6"/>
  <c r="BZ238" i="6"/>
  <c r="CA217" i="6"/>
  <c r="CB217" i="6"/>
  <c r="BQ230" i="6"/>
  <c r="BP230" i="6"/>
  <c r="BO231" i="6"/>
  <c r="BP237" i="6"/>
  <c r="BO238" i="6"/>
  <c r="BQ237" i="6"/>
  <c r="BE237" i="6"/>
  <c r="BD238" i="6"/>
  <c r="BF237" i="6"/>
  <c r="BE217" i="6"/>
  <c r="BF217" i="6"/>
  <c r="BD243" i="6"/>
  <c r="BF230" i="6"/>
  <c r="BE230" i="6"/>
  <c r="BD231" i="6"/>
  <c r="AU230" i="6"/>
  <c r="AS231" i="6"/>
  <c r="AT230" i="6"/>
  <c r="AT237" i="6"/>
  <c r="AS238" i="6"/>
  <c r="AU237" i="6"/>
  <c r="AJ230" i="6"/>
  <c r="AI230" i="6"/>
  <c r="AH231" i="6"/>
  <c r="AI217" i="6"/>
  <c r="AJ217" i="6"/>
  <c r="AH224" i="6"/>
  <c r="AJ223" i="6"/>
  <c r="AI223" i="6"/>
  <c r="AH237" i="6"/>
  <c r="AJ236" i="6"/>
  <c r="AI236" i="6"/>
  <c r="X217" i="6"/>
  <c r="Y217" i="6"/>
  <c r="X237" i="6"/>
  <c r="Y237" i="6"/>
  <c r="W238" i="6"/>
  <c r="Y230" i="6"/>
  <c r="X230" i="6"/>
  <c r="W231" i="6"/>
  <c r="K231" i="6"/>
  <c r="K238" i="6"/>
  <c r="GN156" i="13"/>
  <c r="GP156" i="13" s="1"/>
  <c r="GO154" i="13"/>
  <c r="GN157" i="13"/>
  <c r="GP157" i="13" s="1"/>
  <c r="GO155" i="13"/>
  <c r="BT156" i="13"/>
  <c r="BU154" i="13"/>
  <c r="BT157" i="13"/>
  <c r="BU155" i="13"/>
  <c r="BG156" i="13"/>
  <c r="BH154" i="13"/>
  <c r="BG157" i="13"/>
  <c r="BH155" i="13"/>
  <c r="AU150" i="13"/>
  <c r="AG150" i="13"/>
  <c r="AF151" i="13"/>
  <c r="R151" i="13"/>
  <c r="HG132" i="12"/>
  <c r="HH131" i="12"/>
  <c r="HB130" i="12"/>
  <c r="HC129" i="12"/>
  <c r="GW130" i="12"/>
  <c r="GX129" i="12"/>
  <c r="GS130" i="12"/>
  <c r="GT129" i="12"/>
  <c r="GN132" i="12"/>
  <c r="GO131" i="12"/>
  <c r="GI130" i="12"/>
  <c r="GJ129" i="12"/>
  <c r="FZ132" i="12"/>
  <c r="GA131" i="12"/>
  <c r="FU130" i="12"/>
  <c r="FV129" i="12"/>
  <c r="GE130" i="12"/>
  <c r="GF129" i="12"/>
  <c r="FH129" i="12"/>
  <c r="FG130" i="12"/>
  <c r="FL131" i="12"/>
  <c r="FM130" i="12"/>
  <c r="FQ130" i="12"/>
  <c r="FR129" i="12"/>
  <c r="EX132" i="12"/>
  <c r="EY131" i="12"/>
  <c r="ES130" i="12"/>
  <c r="ET129" i="12"/>
  <c r="FC130" i="12"/>
  <c r="FD129" i="12"/>
  <c r="EO130" i="12"/>
  <c r="EP129" i="12"/>
  <c r="EE132" i="12"/>
  <c r="EF131" i="12"/>
  <c r="EJ130" i="12"/>
  <c r="EK129" i="12"/>
  <c r="DQ130" i="12"/>
  <c r="DR129" i="12"/>
  <c r="EA130" i="12"/>
  <c r="EB129" i="12"/>
  <c r="DV130" i="12"/>
  <c r="DW129" i="12"/>
  <c r="DC130" i="12"/>
  <c r="DD129" i="12"/>
  <c r="DM130" i="12"/>
  <c r="DN129" i="12"/>
  <c r="DH132" i="12"/>
  <c r="DI131" i="12"/>
  <c r="CO130" i="12"/>
  <c r="CP129" i="12"/>
  <c r="CY130" i="12"/>
  <c r="CZ129" i="12"/>
  <c r="CT132" i="12"/>
  <c r="CU131" i="12"/>
  <c r="CF132" i="12"/>
  <c r="CG131" i="12"/>
  <c r="CK130" i="12"/>
  <c r="CL129" i="12"/>
  <c r="CA130" i="12"/>
  <c r="CB129" i="12"/>
  <c r="AC130" i="12"/>
  <c r="AB131" i="12"/>
  <c r="X129" i="12"/>
  <c r="W130" i="12"/>
  <c r="AH131" i="12"/>
  <c r="AG132" i="12"/>
  <c r="BW130" i="12"/>
  <c r="BX129" i="12"/>
  <c r="BR130" i="12"/>
  <c r="BS129" i="12"/>
  <c r="BM130" i="12"/>
  <c r="BN129" i="12"/>
  <c r="BI130" i="12"/>
  <c r="BJ129" i="12"/>
  <c r="BD130" i="12"/>
  <c r="BE129" i="12"/>
  <c r="AY130" i="12"/>
  <c r="AZ129" i="12"/>
  <c r="AK130" i="12"/>
  <c r="AL129" i="12"/>
  <c r="AU130" i="12"/>
  <c r="AV129" i="12"/>
  <c r="AP130" i="12"/>
  <c r="AQ129" i="12"/>
  <c r="CI157" i="32" l="1"/>
  <c r="CG159" i="32"/>
  <c r="CH157" i="32"/>
  <c r="E151" i="32"/>
  <c r="C152" i="32"/>
  <c r="D151" i="32"/>
  <c r="AT158" i="32"/>
  <c r="AV156" i="32"/>
  <c r="AU156" i="32"/>
  <c r="EJ151" i="32"/>
  <c r="EK150" i="32"/>
  <c r="EL150" i="32"/>
  <c r="BV156" i="32"/>
  <c r="BT158" i="32"/>
  <c r="BU156" i="32"/>
  <c r="BG158" i="32"/>
  <c r="BH156" i="32"/>
  <c r="BI156" i="32"/>
  <c r="AU155" i="32"/>
  <c r="AT157" i="32"/>
  <c r="AV155" i="32"/>
  <c r="GN159" i="32"/>
  <c r="GP157" i="32"/>
  <c r="GO157" i="32"/>
  <c r="CG160" i="32"/>
  <c r="CI158" i="32"/>
  <c r="CH158" i="32"/>
  <c r="FN151" i="32"/>
  <c r="FL152" i="32"/>
  <c r="FM151" i="32"/>
  <c r="BG157" i="32"/>
  <c r="BI155" i="32"/>
  <c r="BH155" i="32"/>
  <c r="AF151" i="32"/>
  <c r="AG150" i="32"/>
  <c r="AH150" i="32"/>
  <c r="T150" i="32"/>
  <c r="R151" i="32"/>
  <c r="S150" i="32"/>
  <c r="GB151" i="32"/>
  <c r="FZ152" i="32"/>
  <c r="GA151" i="32"/>
  <c r="GN160" i="32"/>
  <c r="GP158" i="32"/>
  <c r="GO158" i="32"/>
  <c r="EX152" i="32"/>
  <c r="EY151" i="32"/>
  <c r="EZ151" i="32"/>
  <c r="DJ151" i="32"/>
  <c r="DH152" i="32"/>
  <c r="DI151" i="32"/>
  <c r="CV150" i="32"/>
  <c r="CT151" i="32"/>
  <c r="CU150" i="32"/>
  <c r="BT157" i="32"/>
  <c r="BV155" i="32"/>
  <c r="BU155" i="32"/>
  <c r="DX151" i="32"/>
  <c r="DV152" i="32"/>
  <c r="DW151" i="32"/>
  <c r="CV154" i="13"/>
  <c r="CU154" i="13"/>
  <c r="CT155" i="13"/>
  <c r="DH153" i="13"/>
  <c r="DJ152" i="13"/>
  <c r="DI152" i="13"/>
  <c r="DX152" i="13"/>
  <c r="DW152" i="13"/>
  <c r="DV153" i="13"/>
  <c r="EJ153" i="13"/>
  <c r="EL152" i="13"/>
  <c r="EK152" i="13"/>
  <c r="EX153" i="13"/>
  <c r="EZ152" i="13"/>
  <c r="EY152" i="13"/>
  <c r="FL153" i="13"/>
  <c r="FN152" i="13"/>
  <c r="FM152" i="13"/>
  <c r="T151" i="13"/>
  <c r="S151" i="13"/>
  <c r="EP231" i="6"/>
  <c r="EO231" i="6"/>
  <c r="EP224" i="6"/>
  <c r="EO224" i="6"/>
  <c r="EO237" i="6"/>
  <c r="EN238" i="6"/>
  <c r="EP237" i="6"/>
  <c r="EE238" i="6"/>
  <c r="ED238" i="6"/>
  <c r="EC243" i="6"/>
  <c r="EE231" i="6"/>
  <c r="EE243" i="6" s="1"/>
  <c r="ED231" i="6"/>
  <c r="ED243" i="6" s="1"/>
  <c r="DT231" i="6"/>
  <c r="DT243" i="6" s="1"/>
  <c r="DS231" i="6"/>
  <c r="DT238" i="6"/>
  <c r="DS238" i="6"/>
  <c r="DI238" i="6"/>
  <c r="DH238" i="6"/>
  <c r="DI231" i="6"/>
  <c r="DI243" i="6" s="1"/>
  <c r="DH231" i="6"/>
  <c r="DH243" i="6" s="1"/>
  <c r="DG243" i="6"/>
  <c r="CX243" i="6"/>
  <c r="CX238" i="6"/>
  <c r="CW238" i="6"/>
  <c r="CV243" i="6"/>
  <c r="CX231" i="6"/>
  <c r="CW231" i="6"/>
  <c r="CM238" i="6"/>
  <c r="CM243" i="6" s="1"/>
  <c r="CL238" i="6"/>
  <c r="CL243" i="6" s="1"/>
  <c r="CK243" i="6"/>
  <c r="CB238" i="6"/>
  <c r="CB243" i="6" s="1"/>
  <c r="CA238" i="6"/>
  <c r="CA243" i="6" s="1"/>
  <c r="BZ243" i="6"/>
  <c r="BQ238" i="6"/>
  <c r="BP238" i="6"/>
  <c r="BO243" i="6"/>
  <c r="BQ231" i="6"/>
  <c r="BP231" i="6"/>
  <c r="BF238" i="6"/>
  <c r="BE238" i="6"/>
  <c r="BF231" i="6"/>
  <c r="BF243" i="6" s="1"/>
  <c r="BE231" i="6"/>
  <c r="BE243" i="6" s="1"/>
  <c r="AU231" i="6"/>
  <c r="AU243" i="6" s="1"/>
  <c r="AT231" i="6"/>
  <c r="AT243" i="6" s="1"/>
  <c r="AS243" i="6"/>
  <c r="AU238" i="6"/>
  <c r="AT238" i="6"/>
  <c r="AI237" i="6"/>
  <c r="AH238" i="6"/>
  <c r="AJ237" i="6"/>
  <c r="AJ224" i="6"/>
  <c r="AI224" i="6"/>
  <c r="AJ231" i="6"/>
  <c r="AI231" i="6"/>
  <c r="X243" i="6"/>
  <c r="Y238" i="6"/>
  <c r="X238" i="6"/>
  <c r="W243" i="6"/>
  <c r="Y231" i="6"/>
  <c r="Y243" i="6" s="1"/>
  <c r="X231" i="6"/>
  <c r="M243" i="6"/>
  <c r="K243" i="6"/>
  <c r="GO156" i="13"/>
  <c r="GN158" i="13"/>
  <c r="GP158" i="13" s="1"/>
  <c r="GO157" i="13"/>
  <c r="GN159" i="13"/>
  <c r="GP159" i="13" s="1"/>
  <c r="BU157" i="13"/>
  <c r="BT159" i="13"/>
  <c r="BU156" i="13"/>
  <c r="BT158" i="13"/>
  <c r="BG158" i="13"/>
  <c r="BH156" i="13"/>
  <c r="BH157" i="13"/>
  <c r="BG159" i="13"/>
  <c r="AU151" i="13"/>
  <c r="AF152" i="13"/>
  <c r="AG151" i="13"/>
  <c r="R152" i="13"/>
  <c r="GX130" i="12"/>
  <c r="GW131" i="12"/>
  <c r="HG133" i="12"/>
  <c r="HH132" i="12"/>
  <c r="HB131" i="12"/>
  <c r="HC130" i="12"/>
  <c r="GI131" i="12"/>
  <c r="GJ130" i="12"/>
  <c r="GS131" i="12"/>
  <c r="GT130" i="12"/>
  <c r="GN133" i="12"/>
  <c r="GO132" i="12"/>
  <c r="FU131" i="12"/>
  <c r="FV130" i="12"/>
  <c r="GE131" i="12"/>
  <c r="GF130" i="12"/>
  <c r="FZ133" i="12"/>
  <c r="GA132" i="12"/>
  <c r="FL132" i="12"/>
  <c r="FM131" i="12"/>
  <c r="FQ131" i="12"/>
  <c r="FR130" i="12"/>
  <c r="FG131" i="12"/>
  <c r="FH130" i="12"/>
  <c r="EX133" i="12"/>
  <c r="EY132" i="12"/>
  <c r="ES131" i="12"/>
  <c r="ET130" i="12"/>
  <c r="FC131" i="12"/>
  <c r="FD130" i="12"/>
  <c r="EE133" i="12"/>
  <c r="EF132" i="12"/>
  <c r="EJ131" i="12"/>
  <c r="EK130" i="12"/>
  <c r="EO131" i="12"/>
  <c r="EP130" i="12"/>
  <c r="EA131" i="12"/>
  <c r="EB130" i="12"/>
  <c r="DV131" i="12"/>
  <c r="DW130" i="12"/>
  <c r="DQ131" i="12"/>
  <c r="DR130" i="12"/>
  <c r="DH133" i="12"/>
  <c r="DI132" i="12"/>
  <c r="DM131" i="12"/>
  <c r="DN130" i="12"/>
  <c r="DC131" i="12"/>
  <c r="DD130" i="12"/>
  <c r="CY131" i="12"/>
  <c r="CZ130" i="12"/>
  <c r="CO131" i="12"/>
  <c r="CP130" i="12"/>
  <c r="CT133" i="12"/>
  <c r="CU132" i="12"/>
  <c r="CK131" i="12"/>
  <c r="CL130" i="12"/>
  <c r="CA131" i="12"/>
  <c r="CB130" i="12"/>
  <c r="CF133" i="12"/>
  <c r="CG132" i="12"/>
  <c r="AH132" i="12"/>
  <c r="AG133" i="12"/>
  <c r="AC131" i="12"/>
  <c r="AB132" i="12"/>
  <c r="X130" i="12"/>
  <c r="W131" i="12"/>
  <c r="BM131" i="12"/>
  <c r="BN130" i="12"/>
  <c r="BW131" i="12"/>
  <c r="BX130" i="12"/>
  <c r="BR131" i="12"/>
  <c r="BS130" i="12"/>
  <c r="BD131" i="12"/>
  <c r="BE130" i="12"/>
  <c r="AY131" i="12"/>
  <c r="AZ130" i="12"/>
  <c r="BI131" i="12"/>
  <c r="BJ130" i="12"/>
  <c r="AU131" i="12"/>
  <c r="AV130" i="12"/>
  <c r="AP131" i="12"/>
  <c r="AQ130" i="12"/>
  <c r="AK131" i="12"/>
  <c r="AL130" i="12"/>
  <c r="DX152" i="32" l="1"/>
  <c r="DW152" i="32"/>
  <c r="DV153" i="32"/>
  <c r="FL153" i="32"/>
  <c r="FM152" i="32"/>
  <c r="FN152" i="32"/>
  <c r="CG162" i="32"/>
  <c r="CI160" i="32"/>
  <c r="CH160" i="32"/>
  <c r="EL151" i="32"/>
  <c r="EJ152" i="32"/>
  <c r="EK151" i="32"/>
  <c r="DI152" i="32"/>
  <c r="DH153" i="32"/>
  <c r="DJ152" i="32"/>
  <c r="EX153" i="32"/>
  <c r="EZ152" i="32"/>
  <c r="EY152" i="32"/>
  <c r="BG159" i="32"/>
  <c r="BI157" i="32"/>
  <c r="BH157" i="32"/>
  <c r="AT159" i="32"/>
  <c r="AV157" i="32"/>
  <c r="AU157" i="32"/>
  <c r="BG160" i="32"/>
  <c r="BI158" i="32"/>
  <c r="BH158" i="32"/>
  <c r="CH159" i="32"/>
  <c r="CG161" i="32"/>
  <c r="CI159" i="32"/>
  <c r="BT159" i="32"/>
  <c r="BU157" i="32"/>
  <c r="BV157" i="32"/>
  <c r="CT152" i="32"/>
  <c r="CU151" i="32"/>
  <c r="CV151" i="32"/>
  <c r="T151" i="32"/>
  <c r="R152" i="32"/>
  <c r="S151" i="32"/>
  <c r="AH151" i="32"/>
  <c r="AF152" i="32"/>
  <c r="AG151" i="32"/>
  <c r="C153" i="32"/>
  <c r="D152" i="32"/>
  <c r="E152" i="32"/>
  <c r="GN162" i="32"/>
  <c r="GP160" i="32"/>
  <c r="GO160" i="32"/>
  <c r="GB152" i="32"/>
  <c r="GA152" i="32"/>
  <c r="FZ153" i="32"/>
  <c r="GO159" i="32"/>
  <c r="GN161" i="32"/>
  <c r="GP159" i="32"/>
  <c r="BU158" i="32"/>
  <c r="BT160" i="32"/>
  <c r="BV158" i="32"/>
  <c r="AV158" i="32"/>
  <c r="AU158" i="32"/>
  <c r="AT160" i="32"/>
  <c r="CT156" i="13"/>
  <c r="CV155" i="13"/>
  <c r="CU155" i="13"/>
  <c r="DI153" i="13"/>
  <c r="DJ153" i="13"/>
  <c r="DH154" i="13"/>
  <c r="DW153" i="13"/>
  <c r="DV154" i="13"/>
  <c r="DX153" i="13"/>
  <c r="EK153" i="13"/>
  <c r="EJ154" i="13"/>
  <c r="EL153" i="13"/>
  <c r="EY153" i="13"/>
  <c r="EX154" i="13"/>
  <c r="EZ153" i="13"/>
  <c r="FM153" i="13"/>
  <c r="FN153" i="13"/>
  <c r="FL154" i="13"/>
  <c r="T152" i="13"/>
  <c r="S152" i="13"/>
  <c r="EO243" i="6"/>
  <c r="EP238" i="6"/>
  <c r="EP243" i="6" s="1"/>
  <c r="EO238" i="6"/>
  <c r="EN243" i="6"/>
  <c r="DS243" i="6"/>
  <c r="CW243" i="6"/>
  <c r="BQ243" i="6"/>
  <c r="BP243" i="6"/>
  <c r="AJ238" i="6"/>
  <c r="AJ243" i="6" s="1"/>
  <c r="AI238" i="6"/>
  <c r="AI243" i="6" s="1"/>
  <c r="AH243" i="6"/>
  <c r="L243" i="6"/>
  <c r="GN161" i="13"/>
  <c r="GP161" i="13" s="1"/>
  <c r="GO159" i="13"/>
  <c r="GN160" i="13"/>
  <c r="GP160" i="13" s="1"/>
  <c r="GO158" i="13"/>
  <c r="BT160" i="13"/>
  <c r="BU158" i="13"/>
  <c r="BT161" i="13"/>
  <c r="BU159" i="13"/>
  <c r="BG161" i="13"/>
  <c r="BH159" i="13"/>
  <c r="BG160" i="13"/>
  <c r="BH158" i="13"/>
  <c r="AU152" i="13"/>
  <c r="AF153" i="13"/>
  <c r="AG152" i="13"/>
  <c r="R153" i="13"/>
  <c r="C175" i="13"/>
  <c r="GW132" i="12"/>
  <c r="GX131" i="12"/>
  <c r="HC131" i="12"/>
  <c r="HB132" i="12"/>
  <c r="HG134" i="12"/>
  <c r="HH133" i="12"/>
  <c r="GN134" i="12"/>
  <c r="GO133" i="12"/>
  <c r="GS132" i="12"/>
  <c r="GT131" i="12"/>
  <c r="GI132" i="12"/>
  <c r="GJ131" i="12"/>
  <c r="GE132" i="12"/>
  <c r="GF131" i="12"/>
  <c r="FZ134" i="12"/>
  <c r="GA133" i="12"/>
  <c r="FU132" i="12"/>
  <c r="FV131" i="12"/>
  <c r="FL133" i="12"/>
  <c r="FM132" i="12"/>
  <c r="FG132" i="12"/>
  <c r="FH131" i="12"/>
  <c r="FR131" i="12"/>
  <c r="FQ132" i="12"/>
  <c r="EX134" i="12"/>
  <c r="EY133" i="12"/>
  <c r="ES132" i="12"/>
  <c r="ET131" i="12"/>
  <c r="FC132" i="12"/>
  <c r="FD131" i="12"/>
  <c r="EJ132" i="12"/>
  <c r="EK131" i="12"/>
  <c r="EO132" i="12"/>
  <c r="EP131" i="12"/>
  <c r="EE134" i="12"/>
  <c r="EF133" i="12"/>
  <c r="DV132" i="12"/>
  <c r="DW131" i="12"/>
  <c r="DQ132" i="12"/>
  <c r="DR131" i="12"/>
  <c r="EB131" i="12"/>
  <c r="EA132" i="12"/>
  <c r="DM132" i="12"/>
  <c r="DN131" i="12"/>
  <c r="DC132" i="12"/>
  <c r="DD131" i="12"/>
  <c r="DH134" i="12"/>
  <c r="DI133" i="12"/>
  <c r="CT134" i="12"/>
  <c r="CU133" i="12"/>
  <c r="CO132" i="12"/>
  <c r="CP131" i="12"/>
  <c r="CY132" i="12"/>
  <c r="CZ131" i="12"/>
  <c r="CA132" i="12"/>
  <c r="CB131" i="12"/>
  <c r="CF134" i="12"/>
  <c r="CG133" i="12"/>
  <c r="CK132" i="12"/>
  <c r="CL131" i="12"/>
  <c r="X131" i="12"/>
  <c r="W132" i="12"/>
  <c r="AH133" i="12"/>
  <c r="AG134" i="12"/>
  <c r="AC132" i="12"/>
  <c r="AB133" i="12"/>
  <c r="BM132" i="12"/>
  <c r="BN131" i="12"/>
  <c r="BW132" i="12"/>
  <c r="BX131" i="12"/>
  <c r="BR132" i="12"/>
  <c r="BS131" i="12"/>
  <c r="BD132" i="12"/>
  <c r="BE131" i="12"/>
  <c r="AY132" i="12"/>
  <c r="AZ131" i="12"/>
  <c r="BI132" i="12"/>
  <c r="BJ131" i="12"/>
  <c r="AP132" i="12"/>
  <c r="AQ131" i="12"/>
  <c r="AK132" i="12"/>
  <c r="AL131" i="12"/>
  <c r="AU132" i="12"/>
  <c r="AV131" i="12"/>
  <c r="EX154" i="32" l="1"/>
  <c r="EZ153" i="32"/>
  <c r="EY153" i="32"/>
  <c r="FN153" i="32"/>
  <c r="FL154" i="32"/>
  <c r="FM153" i="32"/>
  <c r="GN163" i="32"/>
  <c r="GO161" i="32"/>
  <c r="GP161" i="32"/>
  <c r="AU160" i="32"/>
  <c r="AT162" i="32"/>
  <c r="AV160" i="32"/>
  <c r="AH152" i="32"/>
  <c r="AF153" i="32"/>
  <c r="AG152" i="32"/>
  <c r="BH159" i="32"/>
  <c r="BG161" i="32"/>
  <c r="BI159" i="32"/>
  <c r="EJ153" i="32"/>
  <c r="EL152" i="32"/>
  <c r="EK152" i="32"/>
  <c r="CG164" i="32"/>
  <c r="CH162" i="32"/>
  <c r="CI162" i="32"/>
  <c r="DV154" i="32"/>
  <c r="DX153" i="32"/>
  <c r="DW153" i="32"/>
  <c r="T152" i="32"/>
  <c r="R153" i="32"/>
  <c r="S152" i="32"/>
  <c r="CT153" i="32"/>
  <c r="CV152" i="32"/>
  <c r="CU152" i="32"/>
  <c r="BT161" i="32"/>
  <c r="BV159" i="32"/>
  <c r="BU159" i="32"/>
  <c r="BU160" i="32"/>
  <c r="BT162" i="32"/>
  <c r="BV160" i="32"/>
  <c r="FZ154" i="32"/>
  <c r="GA153" i="32"/>
  <c r="GB153" i="32"/>
  <c r="C154" i="32"/>
  <c r="E153" i="32"/>
  <c r="D153" i="32"/>
  <c r="CG163" i="32"/>
  <c r="CH161" i="32"/>
  <c r="CI161" i="32"/>
  <c r="AT161" i="32"/>
  <c r="AV159" i="32"/>
  <c r="AU159" i="32"/>
  <c r="DH154" i="32"/>
  <c r="DI153" i="32"/>
  <c r="DJ153" i="32"/>
  <c r="GO162" i="32"/>
  <c r="GN164" i="32"/>
  <c r="GP162" i="32"/>
  <c r="BG162" i="32"/>
  <c r="BI160" i="32"/>
  <c r="BH160" i="32"/>
  <c r="CT157" i="13"/>
  <c r="CV156" i="13"/>
  <c r="CU156" i="13"/>
  <c r="DJ154" i="13"/>
  <c r="DI154" i="13"/>
  <c r="DH155" i="13"/>
  <c r="DX154" i="13"/>
  <c r="DW154" i="13"/>
  <c r="DV155" i="13"/>
  <c r="EL154" i="13"/>
  <c r="EK154" i="13"/>
  <c r="EJ155" i="13"/>
  <c r="EZ154" i="13"/>
  <c r="EY154" i="13"/>
  <c r="EX155" i="13"/>
  <c r="FN154" i="13"/>
  <c r="FM154" i="13"/>
  <c r="FL155" i="13"/>
  <c r="T153" i="13"/>
  <c r="S153" i="13"/>
  <c r="GN162" i="13"/>
  <c r="GP162" i="13" s="1"/>
  <c r="GO160" i="13"/>
  <c r="GO161" i="13"/>
  <c r="GN163" i="13"/>
  <c r="GP163" i="13" s="1"/>
  <c r="BT162" i="13"/>
  <c r="BU160" i="13"/>
  <c r="BU161" i="13"/>
  <c r="BT163" i="13"/>
  <c r="BH161" i="13"/>
  <c r="BG163" i="13"/>
  <c r="BG162" i="13"/>
  <c r="BH160" i="13"/>
  <c r="AU153" i="13"/>
  <c r="AG153" i="13"/>
  <c r="AF154" i="13"/>
  <c r="R154" i="13"/>
  <c r="GW133" i="12"/>
  <c r="GX132" i="12"/>
  <c r="HB133" i="12"/>
  <c r="HC132" i="12"/>
  <c r="HG135" i="12"/>
  <c r="HH134" i="12"/>
  <c r="GS133" i="12"/>
  <c r="GT132" i="12"/>
  <c r="GI133" i="12"/>
  <c r="GJ132" i="12"/>
  <c r="GN135" i="12"/>
  <c r="GO134" i="12"/>
  <c r="FZ135" i="12"/>
  <c r="GA134" i="12"/>
  <c r="FU133" i="12"/>
  <c r="FV132" i="12"/>
  <c r="GE133" i="12"/>
  <c r="GF132" i="12"/>
  <c r="FG133" i="12"/>
  <c r="FH132" i="12"/>
  <c r="FQ133" i="12"/>
  <c r="FR132" i="12"/>
  <c r="FL134" i="12"/>
  <c r="FM133" i="12"/>
  <c r="FC133" i="12"/>
  <c r="FD132" i="12"/>
  <c r="EX135" i="12"/>
  <c r="EY134" i="12"/>
  <c r="ES133" i="12"/>
  <c r="ET132" i="12"/>
  <c r="EO133" i="12"/>
  <c r="EP132" i="12"/>
  <c r="EE135" i="12"/>
  <c r="EF134" i="12"/>
  <c r="EJ133" i="12"/>
  <c r="EK132" i="12"/>
  <c r="DQ133" i="12"/>
  <c r="DR132" i="12"/>
  <c r="EA133" i="12"/>
  <c r="EB132" i="12"/>
  <c r="DV133" i="12"/>
  <c r="DW132" i="12"/>
  <c r="DC133" i="12"/>
  <c r="DD132" i="12"/>
  <c r="DH135" i="12"/>
  <c r="DI134" i="12"/>
  <c r="DM133" i="12"/>
  <c r="DN132" i="12"/>
  <c r="CY133" i="12"/>
  <c r="CZ132" i="12"/>
  <c r="CO133" i="12"/>
  <c r="CP132" i="12"/>
  <c r="CT135" i="12"/>
  <c r="CU134" i="12"/>
  <c r="CF135" i="12"/>
  <c r="CG134" i="12"/>
  <c r="CK133" i="12"/>
  <c r="CL132" i="12"/>
  <c r="CA133" i="12"/>
  <c r="CB132" i="12"/>
  <c r="AH134" i="12"/>
  <c r="AG135" i="12"/>
  <c r="AC133" i="12"/>
  <c r="AB134" i="12"/>
  <c r="X132" i="12"/>
  <c r="W133" i="12"/>
  <c r="BR133" i="12"/>
  <c r="BS132" i="12"/>
  <c r="BW133" i="12"/>
  <c r="BX132" i="12"/>
  <c r="BM133" i="12"/>
  <c r="BN132" i="12"/>
  <c r="BD133" i="12"/>
  <c r="BE132" i="12"/>
  <c r="AY133" i="12"/>
  <c r="AZ132" i="12"/>
  <c r="BI133" i="12"/>
  <c r="BJ132" i="12"/>
  <c r="AK133" i="12"/>
  <c r="AL132" i="12"/>
  <c r="AU133" i="12"/>
  <c r="AV132" i="12"/>
  <c r="AP133" i="12"/>
  <c r="AQ132" i="12"/>
  <c r="BV161" i="32" l="1"/>
  <c r="BT163" i="32"/>
  <c r="BU161" i="32"/>
  <c r="DX154" i="32"/>
  <c r="DV155" i="32"/>
  <c r="DW154" i="32"/>
  <c r="GN166" i="32"/>
  <c r="GP164" i="32"/>
  <c r="GO164" i="32"/>
  <c r="DH155" i="32"/>
  <c r="DI154" i="32"/>
  <c r="DJ154" i="32"/>
  <c r="GB154" i="32"/>
  <c r="FZ155" i="32"/>
  <c r="GA154" i="32"/>
  <c r="CG165" i="32"/>
  <c r="CI163" i="32"/>
  <c r="CH163" i="32"/>
  <c r="BT164" i="32"/>
  <c r="BU162" i="32"/>
  <c r="BV162" i="32"/>
  <c r="AT163" i="32"/>
  <c r="AV161" i="32"/>
  <c r="AU161" i="32"/>
  <c r="BG163" i="32"/>
  <c r="BH161" i="32"/>
  <c r="BI161" i="32"/>
  <c r="C155" i="32"/>
  <c r="D154" i="32"/>
  <c r="E154" i="32"/>
  <c r="CT154" i="32"/>
  <c r="CV153" i="32"/>
  <c r="CU153" i="32"/>
  <c r="EK153" i="32"/>
  <c r="EJ154" i="32"/>
  <c r="EL153" i="32"/>
  <c r="AT164" i="32"/>
  <c r="AU162" i="32"/>
  <c r="AV162" i="32"/>
  <c r="GN165" i="32"/>
  <c r="GP163" i="32"/>
  <c r="GO163" i="32"/>
  <c r="BG164" i="32"/>
  <c r="BI162" i="32"/>
  <c r="BH162" i="32"/>
  <c r="CG166" i="32"/>
  <c r="CI164" i="32"/>
  <c r="CH164" i="32"/>
  <c r="AF154" i="32"/>
  <c r="AH153" i="32"/>
  <c r="AG153" i="32"/>
  <c r="R154" i="32"/>
  <c r="S153" i="32"/>
  <c r="T153" i="32"/>
  <c r="FL155" i="32"/>
  <c r="FM154" i="32"/>
  <c r="FN154" i="32"/>
  <c r="EZ154" i="32"/>
  <c r="EX155" i="32"/>
  <c r="EY154" i="32"/>
  <c r="CU157" i="13"/>
  <c r="CT158" i="13"/>
  <c r="CV157" i="13"/>
  <c r="DH156" i="13"/>
  <c r="DJ155" i="13"/>
  <c r="DI155" i="13"/>
  <c r="DV156" i="13"/>
  <c r="DW155" i="13"/>
  <c r="DX155" i="13"/>
  <c r="EJ156" i="13"/>
  <c r="EL155" i="13"/>
  <c r="EK155" i="13"/>
  <c r="EX156" i="13"/>
  <c r="EZ155" i="13"/>
  <c r="EY155" i="13"/>
  <c r="FL156" i="13"/>
  <c r="FN155" i="13"/>
  <c r="FM155" i="13"/>
  <c r="T154" i="13"/>
  <c r="S154" i="13"/>
  <c r="GN165" i="13"/>
  <c r="GP165" i="13" s="1"/>
  <c r="GO163" i="13"/>
  <c r="GN164" i="13"/>
  <c r="GP164" i="13" s="1"/>
  <c r="GO162" i="13"/>
  <c r="BT164" i="13"/>
  <c r="BU162" i="13"/>
  <c r="BT165" i="13"/>
  <c r="BU163" i="13"/>
  <c r="BG164" i="13"/>
  <c r="BH162" i="13"/>
  <c r="BG165" i="13"/>
  <c r="BH163" i="13"/>
  <c r="AU154" i="13"/>
  <c r="AF155" i="13"/>
  <c r="AG154" i="13"/>
  <c r="R155" i="13"/>
  <c r="HB134" i="12"/>
  <c r="HC133" i="12"/>
  <c r="HG136" i="12"/>
  <c r="HH135" i="12"/>
  <c r="GW134" i="12"/>
  <c r="GX133" i="12"/>
  <c r="GS134" i="12"/>
  <c r="GT133" i="12"/>
  <c r="GI134" i="12"/>
  <c r="GJ133" i="12"/>
  <c r="GN136" i="12"/>
  <c r="GO135" i="12"/>
  <c r="FV133" i="12"/>
  <c r="FU134" i="12"/>
  <c r="GE134" i="12"/>
  <c r="GF133" i="12"/>
  <c r="FZ136" i="12"/>
  <c r="GA135" i="12"/>
  <c r="FL135" i="12"/>
  <c r="FM134" i="12"/>
  <c r="FQ134" i="12"/>
  <c r="FR133" i="12"/>
  <c r="FH133" i="12"/>
  <c r="FG134" i="12"/>
  <c r="ES134" i="12"/>
  <c r="ET133" i="12"/>
  <c r="EX136" i="12"/>
  <c r="EY135" i="12"/>
  <c r="FC134" i="12"/>
  <c r="FD133" i="12"/>
  <c r="EE136" i="12"/>
  <c r="EF135" i="12"/>
  <c r="EJ134" i="12"/>
  <c r="EK133" i="12"/>
  <c r="EO134" i="12"/>
  <c r="EP133" i="12"/>
  <c r="EA134" i="12"/>
  <c r="EB133" i="12"/>
  <c r="DV134" i="12"/>
  <c r="DW133" i="12"/>
  <c r="DQ134" i="12"/>
  <c r="DR133" i="12"/>
  <c r="DH136" i="12"/>
  <c r="DI135" i="12"/>
  <c r="DM134" i="12"/>
  <c r="DN133" i="12"/>
  <c r="DC134" i="12"/>
  <c r="DD133" i="12"/>
  <c r="CT136" i="12"/>
  <c r="CU135" i="12"/>
  <c r="CO134" i="12"/>
  <c r="CP133" i="12"/>
  <c r="CY134" i="12"/>
  <c r="CZ133" i="12"/>
  <c r="CK134" i="12"/>
  <c r="CL133" i="12"/>
  <c r="CA134" i="12"/>
  <c r="CB133" i="12"/>
  <c r="CF136" i="12"/>
  <c r="CG135" i="12"/>
  <c r="X133" i="12"/>
  <c r="W134" i="12"/>
  <c r="AH135" i="12"/>
  <c r="AG136" i="12"/>
  <c r="AC134" i="12"/>
  <c r="AB135" i="12"/>
  <c r="BR134" i="12"/>
  <c r="BS133" i="12"/>
  <c r="BW134" i="12"/>
  <c r="BX133" i="12"/>
  <c r="BM134" i="12"/>
  <c r="BN133" i="12"/>
  <c r="AY134" i="12"/>
  <c r="AZ133" i="12"/>
  <c r="BI134" i="12"/>
  <c r="BJ133" i="12"/>
  <c r="BD134" i="12"/>
  <c r="BE133" i="12"/>
  <c r="AU134" i="12"/>
  <c r="AV133" i="12"/>
  <c r="AP134" i="12"/>
  <c r="AQ133" i="12"/>
  <c r="AK134" i="12"/>
  <c r="AL133" i="12"/>
  <c r="T154" i="32" l="1"/>
  <c r="R155" i="32"/>
  <c r="S154" i="32"/>
  <c r="GN167" i="32"/>
  <c r="GP165" i="32"/>
  <c r="GO165" i="32"/>
  <c r="E155" i="32"/>
  <c r="C156" i="32"/>
  <c r="D155" i="32"/>
  <c r="CG167" i="32"/>
  <c r="CI165" i="32"/>
  <c r="CH165" i="32"/>
  <c r="EX156" i="32"/>
  <c r="EY155" i="32"/>
  <c r="EZ155" i="32"/>
  <c r="FN155" i="32"/>
  <c r="FL156" i="32"/>
  <c r="FM155" i="32"/>
  <c r="BH164" i="32"/>
  <c r="BG166" i="32"/>
  <c r="BI164" i="32"/>
  <c r="EJ155" i="32"/>
  <c r="EK154" i="32"/>
  <c r="EL154" i="32"/>
  <c r="CV154" i="32"/>
  <c r="CT155" i="32"/>
  <c r="CU154" i="32"/>
  <c r="BT166" i="32"/>
  <c r="BU164" i="32"/>
  <c r="BV164" i="32"/>
  <c r="GO166" i="32"/>
  <c r="GP166" i="32"/>
  <c r="GN168" i="32"/>
  <c r="CH166" i="32"/>
  <c r="CG168" i="32"/>
  <c r="CI166" i="32"/>
  <c r="AU163" i="32"/>
  <c r="AV163" i="32"/>
  <c r="AT165" i="32"/>
  <c r="GB155" i="32"/>
  <c r="FZ156" i="32"/>
  <c r="GA155" i="32"/>
  <c r="DJ155" i="32"/>
  <c r="DH156" i="32"/>
  <c r="DI155" i="32"/>
  <c r="BT165" i="32"/>
  <c r="BV163" i="32"/>
  <c r="BU163" i="32"/>
  <c r="AF155" i="32"/>
  <c r="AG154" i="32"/>
  <c r="AH154" i="32"/>
  <c r="AT166" i="32"/>
  <c r="AV164" i="32"/>
  <c r="AU164" i="32"/>
  <c r="BH163" i="32"/>
  <c r="BG165" i="32"/>
  <c r="BI163" i="32"/>
  <c r="DX155" i="32"/>
  <c r="DV156" i="32"/>
  <c r="DW155" i="32"/>
  <c r="CV158" i="13"/>
  <c r="CU158" i="13"/>
  <c r="CT159" i="13"/>
  <c r="DH157" i="13"/>
  <c r="DJ156" i="13"/>
  <c r="DI156" i="13"/>
  <c r="DV157" i="13"/>
  <c r="DX156" i="13"/>
  <c r="DW156" i="13"/>
  <c r="EL156" i="13"/>
  <c r="EJ157" i="13"/>
  <c r="EK156" i="13"/>
  <c r="EX157" i="13"/>
  <c r="EZ156" i="13"/>
  <c r="EY156" i="13"/>
  <c r="FL157" i="13"/>
  <c r="FN156" i="13"/>
  <c r="FM156" i="13"/>
  <c r="T155" i="13"/>
  <c r="S155" i="13"/>
  <c r="GO164" i="13"/>
  <c r="GN166" i="13"/>
  <c r="GP166" i="13" s="1"/>
  <c r="GO165" i="13"/>
  <c r="GN167" i="13"/>
  <c r="GP167" i="13" s="1"/>
  <c r="BU165" i="13"/>
  <c r="BT167" i="13"/>
  <c r="BU164" i="13"/>
  <c r="BT166" i="13"/>
  <c r="BG166" i="13"/>
  <c r="BH164" i="13"/>
  <c r="BH165" i="13"/>
  <c r="BG167" i="13"/>
  <c r="AU155" i="13"/>
  <c r="AF156" i="13"/>
  <c r="AG155" i="13"/>
  <c r="R156" i="13"/>
  <c r="GW135" i="12"/>
  <c r="GX134" i="12"/>
  <c r="HG137" i="12"/>
  <c r="HH136" i="12"/>
  <c r="HB135" i="12"/>
  <c r="HC134" i="12"/>
  <c r="GN137" i="12"/>
  <c r="GO136" i="12"/>
  <c r="GI135" i="12"/>
  <c r="GJ134" i="12"/>
  <c r="GS135" i="12"/>
  <c r="GT134" i="12"/>
  <c r="GE135" i="12"/>
  <c r="GF134" i="12"/>
  <c r="FU135" i="12"/>
  <c r="FV134" i="12"/>
  <c r="FZ137" i="12"/>
  <c r="GA136" i="12"/>
  <c r="FQ135" i="12"/>
  <c r="FR134" i="12"/>
  <c r="FL136" i="12"/>
  <c r="FM135" i="12"/>
  <c r="FG135" i="12"/>
  <c r="FH134" i="12"/>
  <c r="FC135" i="12"/>
  <c r="FD134" i="12"/>
  <c r="EX137" i="12"/>
  <c r="EY136" i="12"/>
  <c r="ES135" i="12"/>
  <c r="ET134" i="12"/>
  <c r="EO135" i="12"/>
  <c r="EP134" i="12"/>
  <c r="EJ135" i="12"/>
  <c r="EK134" i="12"/>
  <c r="EE137" i="12"/>
  <c r="EF136" i="12"/>
  <c r="DV135" i="12"/>
  <c r="DW134" i="12"/>
  <c r="DQ135" i="12"/>
  <c r="DR134" i="12"/>
  <c r="EA135" i="12"/>
  <c r="EB134" i="12"/>
  <c r="DM135" i="12"/>
  <c r="DN134" i="12"/>
  <c r="DC135" i="12"/>
  <c r="DD134" i="12"/>
  <c r="DH137" i="12"/>
  <c r="DI136" i="12"/>
  <c r="CY135" i="12"/>
  <c r="CZ134" i="12"/>
  <c r="CO135" i="12"/>
  <c r="CP134" i="12"/>
  <c r="CT137" i="12"/>
  <c r="CU136" i="12"/>
  <c r="CA135" i="12"/>
  <c r="CB134" i="12"/>
  <c r="CF137" i="12"/>
  <c r="CG136" i="12"/>
  <c r="CK135" i="12"/>
  <c r="CL134" i="12"/>
  <c r="AH136" i="12"/>
  <c r="AG137" i="12"/>
  <c r="AC135" i="12"/>
  <c r="AB136" i="12"/>
  <c r="X134" i="12"/>
  <c r="W135" i="12"/>
  <c r="BR135" i="12"/>
  <c r="BS134" i="12"/>
  <c r="BW135" i="12"/>
  <c r="BX134" i="12"/>
  <c r="BM135" i="12"/>
  <c r="BN134" i="12"/>
  <c r="BD135" i="12"/>
  <c r="BE134" i="12"/>
  <c r="BI135" i="12"/>
  <c r="BJ134" i="12"/>
  <c r="AY135" i="12"/>
  <c r="AZ134" i="12"/>
  <c r="AP135" i="12"/>
  <c r="AQ134" i="12"/>
  <c r="AK135" i="12"/>
  <c r="AL134" i="12"/>
  <c r="AU135" i="12"/>
  <c r="AV134" i="12"/>
  <c r="BG167" i="32" l="1"/>
  <c r="BI165" i="32"/>
  <c r="BH165" i="32"/>
  <c r="AT168" i="32"/>
  <c r="AV166" i="32"/>
  <c r="AU166" i="32"/>
  <c r="DH157" i="32"/>
  <c r="DI156" i="32"/>
  <c r="DJ156" i="32"/>
  <c r="BT168" i="32"/>
  <c r="BV166" i="32"/>
  <c r="BU166" i="32"/>
  <c r="BG168" i="32"/>
  <c r="BI166" i="32"/>
  <c r="BH166" i="32"/>
  <c r="C157" i="32"/>
  <c r="D156" i="32"/>
  <c r="E156" i="32"/>
  <c r="GN169" i="32"/>
  <c r="GP167" i="32"/>
  <c r="GO167" i="32"/>
  <c r="DX156" i="32"/>
  <c r="DV157" i="32"/>
  <c r="DW156" i="32"/>
  <c r="AT167" i="32"/>
  <c r="AV165" i="32"/>
  <c r="AU165" i="32"/>
  <c r="CG170" i="32"/>
  <c r="CI168" i="32"/>
  <c r="CH168" i="32"/>
  <c r="BU165" i="32"/>
  <c r="BT167" i="32"/>
  <c r="BV165" i="32"/>
  <c r="CT156" i="32"/>
  <c r="CU155" i="32"/>
  <c r="CV155" i="32"/>
  <c r="EL155" i="32"/>
  <c r="EJ156" i="32"/>
  <c r="EK155" i="32"/>
  <c r="CG169" i="32"/>
  <c r="CI167" i="32"/>
  <c r="CH167" i="32"/>
  <c r="T155" i="32"/>
  <c r="R156" i="32"/>
  <c r="S155" i="32"/>
  <c r="AH155" i="32"/>
  <c r="AF156" i="32"/>
  <c r="AG155" i="32"/>
  <c r="GB156" i="32"/>
  <c r="FZ157" i="32"/>
  <c r="GA156" i="32"/>
  <c r="GN170" i="32"/>
  <c r="GP168" i="32"/>
  <c r="GO168" i="32"/>
  <c r="FL157" i="32"/>
  <c r="FM156" i="32"/>
  <c r="FN156" i="32"/>
  <c r="EZ156" i="32"/>
  <c r="EX157" i="32"/>
  <c r="EY156" i="32"/>
  <c r="CT160" i="13"/>
  <c r="CV159" i="13"/>
  <c r="CU159" i="13"/>
  <c r="DI157" i="13"/>
  <c r="DJ157" i="13"/>
  <c r="DH158" i="13"/>
  <c r="DW157" i="13"/>
  <c r="DV158" i="13"/>
  <c r="DX157" i="13"/>
  <c r="EK157" i="13"/>
  <c r="EJ158" i="13"/>
  <c r="EL157" i="13"/>
  <c r="EY157" i="13"/>
  <c r="EX158" i="13"/>
  <c r="EZ157" i="13"/>
  <c r="FM157" i="13"/>
  <c r="FN157" i="13"/>
  <c r="FL158" i="13"/>
  <c r="T156" i="13"/>
  <c r="S156" i="13"/>
  <c r="GN169" i="13"/>
  <c r="GP169" i="13" s="1"/>
  <c r="GO167" i="13"/>
  <c r="GN168" i="13"/>
  <c r="GP168" i="13" s="1"/>
  <c r="GO166" i="13"/>
  <c r="BT168" i="13"/>
  <c r="BU166" i="13"/>
  <c r="BT169" i="13"/>
  <c r="BU167" i="13"/>
  <c r="BG169" i="13"/>
  <c r="BH167" i="13"/>
  <c r="BG168" i="13"/>
  <c r="BH166" i="13"/>
  <c r="AU156" i="13"/>
  <c r="AG156" i="13"/>
  <c r="AF157" i="13"/>
  <c r="R157" i="13"/>
  <c r="HG138" i="12"/>
  <c r="HH137" i="12"/>
  <c r="HB136" i="12"/>
  <c r="HC135" i="12"/>
  <c r="GW136" i="12"/>
  <c r="GX135" i="12"/>
  <c r="GI136" i="12"/>
  <c r="GJ135" i="12"/>
  <c r="GS136" i="12"/>
  <c r="GT135" i="12"/>
  <c r="GN138" i="12"/>
  <c r="GO137" i="12"/>
  <c r="FU136" i="12"/>
  <c r="FV135" i="12"/>
  <c r="FZ138" i="12"/>
  <c r="GA137" i="12"/>
  <c r="GE136" i="12"/>
  <c r="GF135" i="12"/>
  <c r="FL137" i="12"/>
  <c r="FM136" i="12"/>
  <c r="FG136" i="12"/>
  <c r="FH135" i="12"/>
  <c r="FQ136" i="12"/>
  <c r="FR135" i="12"/>
  <c r="EX138" i="12"/>
  <c r="EY137" i="12"/>
  <c r="ES136" i="12"/>
  <c r="ET135" i="12"/>
  <c r="FC136" i="12"/>
  <c r="FD135" i="12"/>
  <c r="EJ136" i="12"/>
  <c r="EK135" i="12"/>
  <c r="EE138" i="12"/>
  <c r="EF137" i="12"/>
  <c r="EO136" i="12"/>
  <c r="EP135" i="12"/>
  <c r="DQ136" i="12"/>
  <c r="DR135" i="12"/>
  <c r="EA136" i="12"/>
  <c r="EB135" i="12"/>
  <c r="DV136" i="12"/>
  <c r="DW135" i="12"/>
  <c r="DC136" i="12"/>
  <c r="DD135" i="12"/>
  <c r="DH138" i="12"/>
  <c r="DI137" i="12"/>
  <c r="DM136" i="12"/>
  <c r="DN135" i="12"/>
  <c r="CO136" i="12"/>
  <c r="CP135" i="12"/>
  <c r="CT138" i="12"/>
  <c r="CU137" i="12"/>
  <c r="CZ135" i="12"/>
  <c r="CY136" i="12"/>
  <c r="CF138" i="12"/>
  <c r="CG137" i="12"/>
  <c r="CL135" i="12"/>
  <c r="CK136" i="12"/>
  <c r="CA136" i="12"/>
  <c r="CB135" i="12"/>
  <c r="AC136" i="12"/>
  <c r="AB137" i="12"/>
  <c r="X135" i="12"/>
  <c r="W136" i="12"/>
  <c r="AH137" i="12"/>
  <c r="AG138" i="12"/>
  <c r="BW136" i="12"/>
  <c r="BX135" i="12"/>
  <c r="BM136" i="12"/>
  <c r="BN135" i="12"/>
  <c r="BR136" i="12"/>
  <c r="BS135" i="12"/>
  <c r="BI136" i="12"/>
  <c r="BJ135" i="12"/>
  <c r="AY136" i="12"/>
  <c r="AZ135" i="12"/>
  <c r="BD136" i="12"/>
  <c r="BE135" i="12"/>
  <c r="AK136" i="12"/>
  <c r="AL135" i="12"/>
  <c r="AU136" i="12"/>
  <c r="AV135" i="12"/>
  <c r="AP136" i="12"/>
  <c r="AQ135" i="12"/>
  <c r="GO170" i="32" l="1"/>
  <c r="GP170" i="32"/>
  <c r="GN172" i="32"/>
  <c r="T156" i="32"/>
  <c r="R157" i="32"/>
  <c r="S156" i="32"/>
  <c r="CG171" i="32"/>
  <c r="CI169" i="32"/>
  <c r="CH169" i="32"/>
  <c r="BT169" i="32"/>
  <c r="BV167" i="32"/>
  <c r="BU167" i="32"/>
  <c r="CH170" i="32"/>
  <c r="CG172" i="32"/>
  <c r="CI170" i="32"/>
  <c r="C158" i="32"/>
  <c r="E157" i="32"/>
  <c r="D157" i="32"/>
  <c r="AT170" i="32"/>
  <c r="AV168" i="32"/>
  <c r="AU168" i="32"/>
  <c r="GB157" i="32"/>
  <c r="GA157" i="32"/>
  <c r="FZ158" i="32"/>
  <c r="EX158" i="32"/>
  <c r="EZ157" i="32"/>
  <c r="EY157" i="32"/>
  <c r="FL158" i="32"/>
  <c r="FN157" i="32"/>
  <c r="FM157" i="32"/>
  <c r="AH156" i="32"/>
  <c r="AF157" i="32"/>
  <c r="AG156" i="32"/>
  <c r="DW157" i="32"/>
  <c r="DV158" i="32"/>
  <c r="DX157" i="32"/>
  <c r="GN171" i="32"/>
  <c r="GP169" i="32"/>
  <c r="GO169" i="32"/>
  <c r="DH158" i="32"/>
  <c r="DJ157" i="32"/>
  <c r="DI157" i="32"/>
  <c r="EL156" i="32"/>
  <c r="EJ157" i="32"/>
  <c r="EK156" i="32"/>
  <c r="CV156" i="32"/>
  <c r="CT157" i="32"/>
  <c r="CU156" i="32"/>
  <c r="BT170" i="32"/>
  <c r="BV168" i="32"/>
  <c r="BU168" i="32"/>
  <c r="AT169" i="32"/>
  <c r="AU167" i="32"/>
  <c r="AV167" i="32"/>
  <c r="BG170" i="32"/>
  <c r="BH168" i="32"/>
  <c r="BI168" i="32"/>
  <c r="BI167" i="32"/>
  <c r="BH167" i="32"/>
  <c r="BG169" i="32"/>
  <c r="CT161" i="13"/>
  <c r="CV160" i="13"/>
  <c r="CU160" i="13"/>
  <c r="DJ158" i="13"/>
  <c r="DI158" i="13"/>
  <c r="DH159" i="13"/>
  <c r="DX158" i="13"/>
  <c r="DW158" i="13"/>
  <c r="DV159" i="13"/>
  <c r="EL158" i="13"/>
  <c r="EK158" i="13"/>
  <c r="EJ159" i="13"/>
  <c r="EZ158" i="13"/>
  <c r="EY158" i="13"/>
  <c r="EX159" i="13"/>
  <c r="FN158" i="13"/>
  <c r="FM158" i="13"/>
  <c r="FL159" i="13"/>
  <c r="T157" i="13"/>
  <c r="S157" i="13"/>
  <c r="GO168" i="13"/>
  <c r="GN170" i="13"/>
  <c r="GP170" i="13" s="1"/>
  <c r="GO169" i="13"/>
  <c r="GN171" i="13"/>
  <c r="GP171" i="13" s="1"/>
  <c r="BU169" i="13"/>
  <c r="BT171" i="13"/>
  <c r="BT170" i="13"/>
  <c r="BU168" i="13"/>
  <c r="BG170" i="13"/>
  <c r="BH168" i="13"/>
  <c r="BH169" i="13"/>
  <c r="BG171" i="13"/>
  <c r="AU157" i="13"/>
  <c r="AG157" i="13"/>
  <c r="AF158" i="13"/>
  <c r="R158" i="13"/>
  <c r="HB137" i="12"/>
  <c r="HC136" i="12"/>
  <c r="GW137" i="12"/>
  <c r="GX136" i="12"/>
  <c r="HG139" i="12"/>
  <c r="HH138" i="12"/>
  <c r="GS137" i="12"/>
  <c r="GT136" i="12"/>
  <c r="GN139" i="12"/>
  <c r="GO138" i="12"/>
  <c r="GI137" i="12"/>
  <c r="GJ136" i="12"/>
  <c r="FZ139" i="12"/>
  <c r="GA138" i="12"/>
  <c r="GE137" i="12"/>
  <c r="GF136" i="12"/>
  <c r="FU137" i="12"/>
  <c r="FV136" i="12"/>
  <c r="FG137" i="12"/>
  <c r="FH136" i="12"/>
  <c r="FQ137" i="12"/>
  <c r="FR136" i="12"/>
  <c r="FL138" i="12"/>
  <c r="FM137" i="12"/>
  <c r="ES137" i="12"/>
  <c r="ET136" i="12"/>
  <c r="FC137" i="12"/>
  <c r="FD136" i="12"/>
  <c r="EX139" i="12"/>
  <c r="EY138" i="12"/>
  <c r="EE139" i="12"/>
  <c r="EF138" i="12"/>
  <c r="EO137" i="12"/>
  <c r="EP136" i="12"/>
  <c r="EJ137" i="12"/>
  <c r="EK136" i="12"/>
  <c r="EA137" i="12"/>
  <c r="EB136" i="12"/>
  <c r="DV137" i="12"/>
  <c r="DW136" i="12"/>
  <c r="DQ137" i="12"/>
  <c r="DR136" i="12"/>
  <c r="DH139" i="12"/>
  <c r="DI138" i="12"/>
  <c r="DM137" i="12"/>
  <c r="DN136" i="12"/>
  <c r="DC137" i="12"/>
  <c r="DD136" i="12"/>
  <c r="CT139" i="12"/>
  <c r="CU138" i="12"/>
  <c r="CY137" i="12"/>
  <c r="CZ136" i="12"/>
  <c r="CO137" i="12"/>
  <c r="CP136" i="12"/>
  <c r="CK137" i="12"/>
  <c r="CL136" i="12"/>
  <c r="CA137" i="12"/>
  <c r="CB136" i="12"/>
  <c r="CF139" i="12"/>
  <c r="CG138" i="12"/>
  <c r="X136" i="12"/>
  <c r="W137" i="12"/>
  <c r="AH138" i="12"/>
  <c r="AG139" i="12"/>
  <c r="AC137" i="12"/>
  <c r="AB138" i="12"/>
  <c r="BM137" i="12"/>
  <c r="BN136" i="12"/>
  <c r="BR137" i="12"/>
  <c r="BS136" i="12"/>
  <c r="BW137" i="12"/>
  <c r="BX136" i="12"/>
  <c r="AY137" i="12"/>
  <c r="AZ136" i="12"/>
  <c r="BD137" i="12"/>
  <c r="BE136" i="12"/>
  <c r="BI137" i="12"/>
  <c r="BJ136" i="12"/>
  <c r="AU137" i="12"/>
  <c r="AV136" i="12"/>
  <c r="AP137" i="12"/>
  <c r="AQ136" i="12"/>
  <c r="AK137" i="12"/>
  <c r="AL136" i="12"/>
  <c r="AT171" i="32" l="1"/>
  <c r="AV169" i="32"/>
  <c r="AU169" i="32"/>
  <c r="EJ158" i="32"/>
  <c r="EL157" i="32"/>
  <c r="EK157" i="32"/>
  <c r="DJ158" i="32"/>
  <c r="DI158" i="32"/>
  <c r="DH159" i="32"/>
  <c r="AF158" i="32"/>
  <c r="AH157" i="32"/>
  <c r="AG157" i="32"/>
  <c r="FZ159" i="32"/>
  <c r="GA158" i="32"/>
  <c r="GB158" i="32"/>
  <c r="D158" i="32"/>
  <c r="C159" i="32"/>
  <c r="E158" i="32"/>
  <c r="BG172" i="32"/>
  <c r="BI170" i="32"/>
  <c r="BH170" i="32"/>
  <c r="CV157" i="32"/>
  <c r="CT158" i="32"/>
  <c r="CU157" i="32"/>
  <c r="DV159" i="32"/>
  <c r="DW158" i="32"/>
  <c r="DX158" i="32"/>
  <c r="AT172" i="32"/>
  <c r="AV170" i="32"/>
  <c r="AU170" i="32"/>
  <c r="CG173" i="32"/>
  <c r="CI171" i="32"/>
  <c r="CH171" i="32"/>
  <c r="GP172" i="32"/>
  <c r="GO172" i="32"/>
  <c r="BG171" i="32"/>
  <c r="BI169" i="32"/>
  <c r="BH169" i="32"/>
  <c r="FN158" i="32"/>
  <c r="FL159" i="32"/>
  <c r="FM158" i="32"/>
  <c r="CI172" i="32"/>
  <c r="CH172" i="32"/>
  <c r="BT171" i="32"/>
  <c r="BV169" i="32"/>
  <c r="BU169" i="32"/>
  <c r="BT172" i="32"/>
  <c r="BV170" i="32"/>
  <c r="BU170" i="32"/>
  <c r="GN173" i="32"/>
  <c r="GP171" i="32"/>
  <c r="GO171" i="32"/>
  <c r="EX159" i="32"/>
  <c r="EY158" i="32"/>
  <c r="EZ158" i="32"/>
  <c r="S157" i="32"/>
  <c r="R158" i="32"/>
  <c r="T157" i="32"/>
  <c r="CU161" i="13"/>
  <c r="CT162" i="13"/>
  <c r="CV161" i="13"/>
  <c r="DH160" i="13"/>
  <c r="DJ159" i="13"/>
  <c r="DI159" i="13"/>
  <c r="DV160" i="13"/>
  <c r="DX159" i="13"/>
  <c r="DW159" i="13"/>
  <c r="EJ160" i="13"/>
  <c r="EK159" i="13"/>
  <c r="EL159" i="13"/>
  <c r="EX160" i="13"/>
  <c r="EZ159" i="13"/>
  <c r="EY159" i="13"/>
  <c r="FL160" i="13"/>
  <c r="FN159" i="13"/>
  <c r="FM159" i="13"/>
  <c r="T158" i="13"/>
  <c r="S158" i="13"/>
  <c r="GN173" i="13"/>
  <c r="GP173" i="13" s="1"/>
  <c r="GO171" i="13"/>
  <c r="GN172" i="13"/>
  <c r="GO170" i="13"/>
  <c r="BT172" i="13"/>
  <c r="BU172" i="13" s="1"/>
  <c r="BU170" i="13"/>
  <c r="BT173" i="13"/>
  <c r="BT175" i="13" s="1"/>
  <c r="BU171" i="13"/>
  <c r="BG173" i="13"/>
  <c r="BH171" i="13"/>
  <c r="BG172" i="13"/>
  <c r="BH172" i="13" s="1"/>
  <c r="BH170" i="13"/>
  <c r="AU158" i="13"/>
  <c r="AF159" i="13"/>
  <c r="AG158" i="13"/>
  <c r="R159" i="13"/>
  <c r="GW138" i="12"/>
  <c r="GX137" i="12"/>
  <c r="HG140" i="12"/>
  <c r="HH139" i="12"/>
  <c r="HB138" i="12"/>
  <c r="HC137" i="12"/>
  <c r="GN140" i="12"/>
  <c r="GO139" i="12"/>
  <c r="GI138" i="12"/>
  <c r="GJ137" i="12"/>
  <c r="GS138" i="12"/>
  <c r="GT137" i="12"/>
  <c r="GE138" i="12"/>
  <c r="GF137" i="12"/>
  <c r="FV137" i="12"/>
  <c r="FU138" i="12"/>
  <c r="FZ140" i="12"/>
  <c r="GA139" i="12"/>
  <c r="FQ138" i="12"/>
  <c r="FR137" i="12"/>
  <c r="FL139" i="12"/>
  <c r="FM138" i="12"/>
  <c r="FG138" i="12"/>
  <c r="FH137" i="12"/>
  <c r="FC138" i="12"/>
  <c r="FD137" i="12"/>
  <c r="EX140" i="12"/>
  <c r="EY139" i="12"/>
  <c r="ES138" i="12"/>
  <c r="ET137" i="12"/>
  <c r="EO138" i="12"/>
  <c r="EP137" i="12"/>
  <c r="EJ138" i="12"/>
  <c r="EK137" i="12"/>
  <c r="EE140" i="12"/>
  <c r="EF139" i="12"/>
  <c r="DV138" i="12"/>
  <c r="DW137" i="12"/>
  <c r="DQ138" i="12"/>
  <c r="DR137" i="12"/>
  <c r="EA138" i="12"/>
  <c r="EB137" i="12"/>
  <c r="DM138" i="12"/>
  <c r="DN137" i="12"/>
  <c r="DC138" i="12"/>
  <c r="DD137" i="12"/>
  <c r="DH140" i="12"/>
  <c r="DI139" i="12"/>
  <c r="CY138" i="12"/>
  <c r="CZ137" i="12"/>
  <c r="CO138" i="12"/>
  <c r="CP137" i="12"/>
  <c r="CT140" i="12"/>
  <c r="CU139" i="12"/>
  <c r="CB137" i="12"/>
  <c r="CA138" i="12"/>
  <c r="CF140" i="12"/>
  <c r="CG139" i="12"/>
  <c r="CK138" i="12"/>
  <c r="CL137" i="12"/>
  <c r="AH139" i="12"/>
  <c r="AG140" i="12"/>
  <c r="AH140" i="12" s="1"/>
  <c r="AC138" i="12"/>
  <c r="AB139" i="12"/>
  <c r="X137" i="12"/>
  <c r="W138" i="12"/>
  <c r="T142" i="12"/>
  <c r="T144" i="12"/>
  <c r="T146" i="12"/>
  <c r="T148" i="12"/>
  <c r="T150" i="12"/>
  <c r="T152" i="12"/>
  <c r="T141" i="12"/>
  <c r="T143" i="12"/>
  <c r="T145" i="12"/>
  <c r="T147" i="12"/>
  <c r="T149" i="12"/>
  <c r="T151" i="12"/>
  <c r="BK123" i="12"/>
  <c r="BY123" i="12"/>
  <c r="AI123" i="12"/>
  <c r="AW123" i="12"/>
  <c r="BR138" i="12"/>
  <c r="BS137" i="12"/>
  <c r="BW138" i="12"/>
  <c r="BX137" i="12"/>
  <c r="BM138" i="12"/>
  <c r="BN137" i="12"/>
  <c r="BD138" i="12"/>
  <c r="BE137" i="12"/>
  <c r="BI138" i="12"/>
  <c r="BJ137" i="12"/>
  <c r="AY138" i="12"/>
  <c r="AZ137" i="12"/>
  <c r="AP138" i="12"/>
  <c r="AQ137" i="12"/>
  <c r="AK138" i="12"/>
  <c r="AL137" i="12"/>
  <c r="AU138" i="12"/>
  <c r="AV137" i="12"/>
  <c r="EZ159" i="32" l="1"/>
  <c r="EY159" i="32"/>
  <c r="EX160" i="32"/>
  <c r="DX159" i="32"/>
  <c r="DW159" i="32"/>
  <c r="DV160" i="32"/>
  <c r="GB159" i="32"/>
  <c r="FZ160" i="32"/>
  <c r="GA159" i="32"/>
  <c r="BT173" i="32"/>
  <c r="BV171" i="32"/>
  <c r="BU171" i="32"/>
  <c r="EL158" i="32"/>
  <c r="EK158" i="32"/>
  <c r="EJ159" i="32"/>
  <c r="BV172" i="32"/>
  <c r="BU172" i="32"/>
  <c r="CI173" i="32"/>
  <c r="CI175" i="32" s="1"/>
  <c r="CG183" i="32" s="1"/>
  <c r="CH173" i="32"/>
  <c r="CH175" i="32" s="1"/>
  <c r="CG182" i="32" s="1"/>
  <c r="CI182" i="32" s="1"/>
  <c r="CK182" i="32" s="1"/>
  <c r="CG175" i="32"/>
  <c r="CG181" i="32" s="1"/>
  <c r="CT159" i="32"/>
  <c r="CU158" i="32"/>
  <c r="CV158" i="32"/>
  <c r="BH172" i="32"/>
  <c r="BI172" i="32"/>
  <c r="R159" i="32"/>
  <c r="S158" i="32"/>
  <c r="T158" i="32"/>
  <c r="C160" i="32"/>
  <c r="D159" i="32"/>
  <c r="E159" i="32"/>
  <c r="DH160" i="32"/>
  <c r="DI159" i="32"/>
  <c r="DJ159" i="32"/>
  <c r="AU171" i="32"/>
  <c r="AV171" i="32"/>
  <c r="AT173" i="32"/>
  <c r="FL160" i="32"/>
  <c r="FM159" i="32"/>
  <c r="FN159" i="32"/>
  <c r="BG173" i="32"/>
  <c r="BI171" i="32"/>
  <c r="BH171" i="32"/>
  <c r="AV172" i="32"/>
  <c r="AU172" i="32"/>
  <c r="GP173" i="32"/>
  <c r="GP175" i="32" s="1"/>
  <c r="GO173" i="32"/>
  <c r="GO175" i="32" s="1"/>
  <c r="GP182" i="32" s="1"/>
  <c r="GR182" i="32" s="1"/>
  <c r="GN175" i="32"/>
  <c r="AH158" i="32"/>
  <c r="AF159" i="32"/>
  <c r="AG158" i="32"/>
  <c r="CV162" i="13"/>
  <c r="CU162" i="13"/>
  <c r="CT163" i="13"/>
  <c r="DH161" i="13"/>
  <c r="DJ160" i="13"/>
  <c r="DI160" i="13"/>
  <c r="DX160" i="13"/>
  <c r="DV161" i="13"/>
  <c r="DW160" i="13"/>
  <c r="EL160" i="13"/>
  <c r="EK160" i="13"/>
  <c r="EJ161" i="13"/>
  <c r="EX161" i="13"/>
  <c r="EZ160" i="13"/>
  <c r="EY160" i="13"/>
  <c r="FL161" i="13"/>
  <c r="FN160" i="13"/>
  <c r="FM160" i="13"/>
  <c r="GO172" i="13"/>
  <c r="GP172" i="13"/>
  <c r="GP175" i="13"/>
  <c r="T159" i="13"/>
  <c r="S159" i="13"/>
  <c r="GO173" i="13"/>
  <c r="GN175" i="13"/>
  <c r="BU173" i="13"/>
  <c r="BU175" i="13" s="1"/>
  <c r="BH173" i="13"/>
  <c r="BH175" i="13" s="1"/>
  <c r="BG175" i="13"/>
  <c r="AU159" i="13"/>
  <c r="AF160" i="13"/>
  <c r="AG159" i="13"/>
  <c r="R160" i="13"/>
  <c r="HG141" i="12"/>
  <c r="HH140" i="12"/>
  <c r="HB139" i="12"/>
  <c r="HC138" i="12"/>
  <c r="GW139" i="12"/>
  <c r="GX138" i="12"/>
  <c r="GI139" i="12"/>
  <c r="GJ138" i="12"/>
  <c r="GS139" i="12"/>
  <c r="GT138" i="12"/>
  <c r="GN141" i="12"/>
  <c r="GO140" i="12"/>
  <c r="FU139" i="12"/>
  <c r="FV138" i="12"/>
  <c r="FZ141" i="12"/>
  <c r="GA140" i="12"/>
  <c r="GE139" i="12"/>
  <c r="GF138" i="12"/>
  <c r="FL140" i="12"/>
  <c r="FM139" i="12"/>
  <c r="FG139" i="12"/>
  <c r="FH138" i="12"/>
  <c r="FQ139" i="12"/>
  <c r="FR138" i="12"/>
  <c r="EX141" i="12"/>
  <c r="EY140" i="12"/>
  <c r="ES139" i="12"/>
  <c r="ET138" i="12"/>
  <c r="FC139" i="12"/>
  <c r="FD138" i="12"/>
  <c r="EJ139" i="12"/>
  <c r="EK138" i="12"/>
  <c r="EE141" i="12"/>
  <c r="EF140" i="12"/>
  <c r="EO139" i="12"/>
  <c r="EP138" i="12"/>
  <c r="DQ139" i="12"/>
  <c r="DR138" i="12"/>
  <c r="EA139" i="12"/>
  <c r="EB138" i="12"/>
  <c r="DV139" i="12"/>
  <c r="DW138" i="12"/>
  <c r="DC139" i="12"/>
  <c r="DD138" i="12"/>
  <c r="DH141" i="12"/>
  <c r="DI140" i="12"/>
  <c r="DM139" i="12"/>
  <c r="DN138" i="12"/>
  <c r="CO139" i="12"/>
  <c r="CP138" i="12"/>
  <c r="CT141" i="12"/>
  <c r="CU140" i="12"/>
  <c r="CY139" i="12"/>
  <c r="CZ138" i="12"/>
  <c r="CF141" i="12"/>
  <c r="CG140" i="12"/>
  <c r="CA139" i="12"/>
  <c r="CB138" i="12"/>
  <c r="CK139" i="12"/>
  <c r="CL138" i="12"/>
  <c r="AC139" i="12"/>
  <c r="AB140" i="12"/>
  <c r="AC140" i="12" s="1"/>
  <c r="X138" i="12"/>
  <c r="W139" i="12"/>
  <c r="AI124" i="12"/>
  <c r="BY124" i="12"/>
  <c r="AW124" i="12"/>
  <c r="BK124" i="12"/>
  <c r="BW139" i="12"/>
  <c r="BX138" i="12"/>
  <c r="BM139" i="12"/>
  <c r="BN138" i="12"/>
  <c r="BR139" i="12"/>
  <c r="BS138" i="12"/>
  <c r="BI139" i="12"/>
  <c r="BJ138" i="12"/>
  <c r="AY139" i="12"/>
  <c r="AZ138" i="12"/>
  <c r="BD139" i="12"/>
  <c r="BE138" i="12"/>
  <c r="AK139" i="12"/>
  <c r="AL138" i="12"/>
  <c r="AU139" i="12"/>
  <c r="AV138" i="12"/>
  <c r="AP139" i="12"/>
  <c r="AQ138" i="12"/>
  <c r="AB141" i="12"/>
  <c r="GO175" i="13" l="1"/>
  <c r="DJ160" i="32"/>
  <c r="DH161" i="32"/>
  <c r="DI160" i="32"/>
  <c r="FZ161" i="32"/>
  <c r="GA160" i="32"/>
  <c r="GB160" i="32"/>
  <c r="EJ160" i="32"/>
  <c r="EK159" i="32"/>
  <c r="EL159" i="32"/>
  <c r="EX161" i="32"/>
  <c r="EY160" i="32"/>
  <c r="EZ160" i="32"/>
  <c r="AF160" i="32"/>
  <c r="AG159" i="32"/>
  <c r="AH159" i="32"/>
  <c r="FN160" i="32"/>
  <c r="FM160" i="32"/>
  <c r="FL161" i="32"/>
  <c r="T159" i="32"/>
  <c r="S159" i="32"/>
  <c r="R160" i="32"/>
  <c r="BU173" i="32"/>
  <c r="BU175" i="32" s="1"/>
  <c r="BT182" i="32" s="1"/>
  <c r="BV182" i="32" s="1"/>
  <c r="BX182" i="32" s="1"/>
  <c r="BV173" i="32"/>
  <c r="BV175" i="32" s="1"/>
  <c r="BT183" i="32" s="1"/>
  <c r="BT175" i="32"/>
  <c r="BT181" i="32" s="1"/>
  <c r="DV161" i="32"/>
  <c r="DW160" i="32"/>
  <c r="DX160" i="32"/>
  <c r="BI173" i="32"/>
  <c r="BI175" i="32" s="1"/>
  <c r="BG183" i="32" s="1"/>
  <c r="BH173" i="32"/>
  <c r="BH175" i="32" s="1"/>
  <c r="BG182" i="32" s="1"/>
  <c r="BI182" i="32" s="1"/>
  <c r="BK182" i="32" s="1"/>
  <c r="BG175" i="32"/>
  <c r="BG181" i="32" s="1"/>
  <c r="AV173" i="32"/>
  <c r="AV175" i="32" s="1"/>
  <c r="AT183" i="32" s="1"/>
  <c r="AU173" i="32"/>
  <c r="AU175" i="32" s="1"/>
  <c r="AT182" i="32" s="1"/>
  <c r="AV182" i="32" s="1"/>
  <c r="AX182" i="32" s="1"/>
  <c r="AT175" i="32"/>
  <c r="AT181" i="32" s="1"/>
  <c r="E160" i="32"/>
  <c r="C161" i="32"/>
  <c r="D160" i="32"/>
  <c r="CV159" i="32"/>
  <c r="CT160" i="32"/>
  <c r="CU159" i="32"/>
  <c r="CT164" i="13"/>
  <c r="CV163" i="13"/>
  <c r="CU163" i="13"/>
  <c r="DI161" i="13"/>
  <c r="DJ161" i="13"/>
  <c r="DH162" i="13"/>
  <c r="DW161" i="13"/>
  <c r="DV162" i="13"/>
  <c r="DX161" i="13"/>
  <c r="EK161" i="13"/>
  <c r="EJ162" i="13"/>
  <c r="EL161" i="13"/>
  <c r="EY161" i="13"/>
  <c r="EX162" i="13"/>
  <c r="EZ161" i="13"/>
  <c r="FM161" i="13"/>
  <c r="FN161" i="13"/>
  <c r="FL162" i="13"/>
  <c r="T160" i="13"/>
  <c r="S160" i="13"/>
  <c r="AU160" i="13"/>
  <c r="AG160" i="13"/>
  <c r="AF161" i="13"/>
  <c r="R161" i="13"/>
  <c r="HB140" i="12"/>
  <c r="HC139" i="12"/>
  <c r="GW140" i="12"/>
  <c r="GX139" i="12"/>
  <c r="HG142" i="12"/>
  <c r="HH141" i="12"/>
  <c r="GS140" i="12"/>
  <c r="GT139" i="12"/>
  <c r="GN142" i="12"/>
  <c r="GO141" i="12"/>
  <c r="GI140" i="12"/>
  <c r="GJ139" i="12"/>
  <c r="FZ142" i="12"/>
  <c r="GA141" i="12"/>
  <c r="GE140" i="12"/>
  <c r="GF139" i="12"/>
  <c r="FU140" i="12"/>
  <c r="FV139" i="12"/>
  <c r="FG140" i="12"/>
  <c r="FH139" i="12"/>
  <c r="FQ140" i="12"/>
  <c r="FR139" i="12"/>
  <c r="FL141" i="12"/>
  <c r="FM140" i="12"/>
  <c r="ES140" i="12"/>
  <c r="ET139" i="12"/>
  <c r="FC140" i="12"/>
  <c r="FD139" i="12"/>
  <c r="EX142" i="12"/>
  <c r="EY141" i="12"/>
  <c r="EO140" i="12"/>
  <c r="EP139" i="12"/>
  <c r="EE142" i="12"/>
  <c r="EF141" i="12"/>
  <c r="EK139" i="12"/>
  <c r="EJ140" i="12"/>
  <c r="EA140" i="12"/>
  <c r="EB139" i="12"/>
  <c r="DV140" i="12"/>
  <c r="DW139" i="12"/>
  <c r="DQ140" i="12"/>
  <c r="DR139" i="12"/>
  <c r="DH142" i="12"/>
  <c r="DI141" i="12"/>
  <c r="DM140" i="12"/>
  <c r="DN139" i="12"/>
  <c r="DC140" i="12"/>
  <c r="DD139" i="12"/>
  <c r="CT142" i="12"/>
  <c r="CU141" i="12"/>
  <c r="CZ139" i="12"/>
  <c r="CY140" i="12"/>
  <c r="CO140" i="12"/>
  <c r="CP139" i="12"/>
  <c r="CA140" i="12"/>
  <c r="CB139" i="12"/>
  <c r="CK140" i="12"/>
  <c r="CL139" i="12"/>
  <c r="CF142" i="12"/>
  <c r="CG141" i="12"/>
  <c r="X139" i="12"/>
  <c r="W140" i="12"/>
  <c r="X140" i="12" s="1"/>
  <c r="BK125" i="12"/>
  <c r="BY125" i="12"/>
  <c r="AW125" i="12"/>
  <c r="AI125" i="12"/>
  <c r="BM140" i="12"/>
  <c r="BN139" i="12"/>
  <c r="BR140" i="12"/>
  <c r="BS139" i="12"/>
  <c r="BW140" i="12"/>
  <c r="BX139" i="12"/>
  <c r="AY140" i="12"/>
  <c r="AZ139" i="12"/>
  <c r="BD140" i="12"/>
  <c r="BE139" i="12"/>
  <c r="BI140" i="12"/>
  <c r="BJ139" i="12"/>
  <c r="AU140" i="12"/>
  <c r="AV139" i="12"/>
  <c r="AP140" i="12"/>
  <c r="AQ139" i="12"/>
  <c r="AK140" i="12"/>
  <c r="AL139" i="12"/>
  <c r="AB142" i="12"/>
  <c r="AC141" i="12"/>
  <c r="W141" i="12"/>
  <c r="C162" i="32" l="1"/>
  <c r="D161" i="32"/>
  <c r="E161" i="32"/>
  <c r="GB161" i="32"/>
  <c r="FZ162" i="32"/>
  <c r="GA161" i="32"/>
  <c r="EL160" i="32"/>
  <c r="EK160" i="32"/>
  <c r="EJ161" i="32"/>
  <c r="CT161" i="32"/>
  <c r="CU160" i="32"/>
  <c r="CV160" i="32"/>
  <c r="FM161" i="32"/>
  <c r="FL162" i="32"/>
  <c r="FN161" i="32"/>
  <c r="EZ161" i="32"/>
  <c r="EY161" i="32"/>
  <c r="EX162" i="32"/>
  <c r="DI161" i="32"/>
  <c r="DH162" i="32"/>
  <c r="DJ161" i="32"/>
  <c r="DV162" i="32"/>
  <c r="DX161" i="32"/>
  <c r="DW161" i="32"/>
  <c r="R161" i="32"/>
  <c r="S160" i="32"/>
  <c r="T160" i="32"/>
  <c r="AH160" i="32"/>
  <c r="AG160" i="32"/>
  <c r="AF161" i="32"/>
  <c r="CT165" i="13"/>
  <c r="CV164" i="13"/>
  <c r="CU164" i="13"/>
  <c r="DJ162" i="13"/>
  <c r="DI162" i="13"/>
  <c r="DH163" i="13"/>
  <c r="DX162" i="13"/>
  <c r="DW162" i="13"/>
  <c r="DV163" i="13"/>
  <c r="EL162" i="13"/>
  <c r="EK162" i="13"/>
  <c r="EJ163" i="13"/>
  <c r="EZ162" i="13"/>
  <c r="EY162" i="13"/>
  <c r="EX163" i="13"/>
  <c r="FN162" i="13"/>
  <c r="FL163" i="13"/>
  <c r="FM162" i="13"/>
  <c r="T161" i="13"/>
  <c r="S161" i="13"/>
  <c r="AU161" i="13"/>
  <c r="AG161" i="13"/>
  <c r="AF162" i="13"/>
  <c r="R162" i="13"/>
  <c r="GW141" i="12"/>
  <c r="GX140" i="12"/>
  <c r="HG143" i="12"/>
  <c r="HH142" i="12"/>
  <c r="HB141" i="12"/>
  <c r="HC140" i="12"/>
  <c r="GN143" i="12"/>
  <c r="GO142" i="12"/>
  <c r="GI141" i="12"/>
  <c r="GJ140" i="12"/>
  <c r="GS141" i="12"/>
  <c r="GT140" i="12"/>
  <c r="GE141" i="12"/>
  <c r="GF140" i="12"/>
  <c r="FU141" i="12"/>
  <c r="FV140" i="12"/>
  <c r="GA142" i="12"/>
  <c r="FZ143" i="12"/>
  <c r="FQ141" i="12"/>
  <c r="FR140" i="12"/>
  <c r="FL142" i="12"/>
  <c r="FM141" i="12"/>
  <c r="FG141" i="12"/>
  <c r="FH140" i="12"/>
  <c r="FC141" i="12"/>
  <c r="FD140" i="12"/>
  <c r="EX143" i="12"/>
  <c r="EY142" i="12"/>
  <c r="ES141" i="12"/>
  <c r="ET140" i="12"/>
  <c r="EE143" i="12"/>
  <c r="EF142" i="12"/>
  <c r="EJ141" i="12"/>
  <c r="EK140" i="12"/>
  <c r="EO141" i="12"/>
  <c r="EP140" i="12"/>
  <c r="DV141" i="12"/>
  <c r="DW140" i="12"/>
  <c r="DQ141" i="12"/>
  <c r="DR140" i="12"/>
  <c r="EA141" i="12"/>
  <c r="EB140" i="12"/>
  <c r="DM141" i="12"/>
  <c r="DN140" i="12"/>
  <c r="DC141" i="12"/>
  <c r="DD140" i="12"/>
  <c r="DI142" i="12"/>
  <c r="DH143" i="12"/>
  <c r="CY141" i="12"/>
  <c r="CZ140" i="12"/>
  <c r="CO141" i="12"/>
  <c r="CP140" i="12"/>
  <c r="CT143" i="12"/>
  <c r="CU142" i="12"/>
  <c r="CK141" i="12"/>
  <c r="CL140" i="12"/>
  <c r="CF143" i="12"/>
  <c r="CG142" i="12"/>
  <c r="CA141" i="12"/>
  <c r="CB140" i="12"/>
  <c r="AW126" i="12"/>
  <c r="AI126" i="12"/>
  <c r="BY126" i="12"/>
  <c r="BK126" i="12"/>
  <c r="BR141" i="12"/>
  <c r="BS140" i="12"/>
  <c r="BW141" i="12"/>
  <c r="BX140" i="12"/>
  <c r="BM141" i="12"/>
  <c r="BN140" i="12"/>
  <c r="BD141" i="12"/>
  <c r="BE140" i="12"/>
  <c r="BI141" i="12"/>
  <c r="BJ140" i="12"/>
  <c r="AY141" i="12"/>
  <c r="AZ140" i="12"/>
  <c r="AP141" i="12"/>
  <c r="AQ140" i="12"/>
  <c r="AK141" i="12"/>
  <c r="AL140" i="12"/>
  <c r="AU141" i="12"/>
  <c r="AV140" i="12"/>
  <c r="AC142" i="12"/>
  <c r="AB143" i="12"/>
  <c r="W142" i="12"/>
  <c r="X141" i="12"/>
  <c r="C163" i="32" l="1"/>
  <c r="E162" i="32"/>
  <c r="D162" i="32"/>
  <c r="DJ162" i="32"/>
  <c r="DH163" i="32"/>
  <c r="DI162" i="32"/>
  <c r="T161" i="32"/>
  <c r="R162" i="32"/>
  <c r="S161" i="32"/>
  <c r="FZ163" i="32"/>
  <c r="GB162" i="32"/>
  <c r="GA162" i="32"/>
  <c r="EJ162" i="32"/>
  <c r="EK161" i="32"/>
  <c r="EL161" i="32"/>
  <c r="AF162" i="32"/>
  <c r="AG161" i="32"/>
  <c r="AH161" i="32"/>
  <c r="DX162" i="32"/>
  <c r="DV163" i="32"/>
  <c r="DW162" i="32"/>
  <c r="EX163" i="32"/>
  <c r="EY162" i="32"/>
  <c r="EZ162" i="32"/>
  <c r="FN162" i="32"/>
  <c r="FL163" i="32"/>
  <c r="FM162" i="32"/>
  <c r="CT162" i="32"/>
  <c r="CV161" i="32"/>
  <c r="CU161" i="32"/>
  <c r="CU165" i="13"/>
  <c r="CT166" i="13"/>
  <c r="CV165" i="13"/>
  <c r="DH164" i="13"/>
  <c r="DJ163" i="13"/>
  <c r="DI163" i="13"/>
  <c r="DV164" i="13"/>
  <c r="DW163" i="13"/>
  <c r="DX163" i="13"/>
  <c r="EJ164" i="13"/>
  <c r="EK163" i="13"/>
  <c r="EL163" i="13"/>
  <c r="EX164" i="13"/>
  <c r="EZ163" i="13"/>
  <c r="EY163" i="13"/>
  <c r="FL164" i="13"/>
  <c r="FN163" i="13"/>
  <c r="FM163" i="13"/>
  <c r="T162" i="13"/>
  <c r="S162" i="13"/>
  <c r="AU162" i="13"/>
  <c r="AF163" i="13"/>
  <c r="AG162" i="13"/>
  <c r="R163" i="13"/>
  <c r="HG144" i="12"/>
  <c r="HH143" i="12"/>
  <c r="HB142" i="12"/>
  <c r="HC141" i="12"/>
  <c r="GW142" i="12"/>
  <c r="GX141" i="12"/>
  <c r="GI142" i="12"/>
  <c r="GJ141" i="12"/>
  <c r="GS142" i="12"/>
  <c r="GT141" i="12"/>
  <c r="GN144" i="12"/>
  <c r="GO143" i="12"/>
  <c r="FU142" i="12"/>
  <c r="FV141" i="12"/>
  <c r="FZ144" i="12"/>
  <c r="GA143" i="12"/>
  <c r="GE142" i="12"/>
  <c r="GF141" i="12"/>
  <c r="FM142" i="12"/>
  <c r="FL143" i="12"/>
  <c r="FH141" i="12"/>
  <c r="FG142" i="12"/>
  <c r="FQ142" i="12"/>
  <c r="FR141" i="12"/>
  <c r="EX144" i="12"/>
  <c r="EY143" i="12"/>
  <c r="ES142" i="12"/>
  <c r="ET141" i="12"/>
  <c r="FC142" i="12"/>
  <c r="FD141" i="12"/>
  <c r="EJ142" i="12"/>
  <c r="EK141" i="12"/>
  <c r="EO142" i="12"/>
  <c r="EP141" i="12"/>
  <c r="EE144" i="12"/>
  <c r="EF143" i="12"/>
  <c r="DQ142" i="12"/>
  <c r="DR141" i="12"/>
  <c r="EA142" i="12"/>
  <c r="EB141" i="12"/>
  <c r="DV142" i="12"/>
  <c r="DW141" i="12"/>
  <c r="DC142" i="12"/>
  <c r="DD141" i="12"/>
  <c r="DH144" i="12"/>
  <c r="DI143" i="12"/>
  <c r="DM142" i="12"/>
  <c r="DN141" i="12"/>
  <c r="CO142" i="12"/>
  <c r="CP141" i="12"/>
  <c r="CT144" i="12"/>
  <c r="CU143" i="12"/>
  <c r="CY142" i="12"/>
  <c r="CZ141" i="12"/>
  <c r="CF144" i="12"/>
  <c r="CG143" i="12"/>
  <c r="CA142" i="12"/>
  <c r="CB141" i="12"/>
  <c r="CK142" i="12"/>
  <c r="CL141" i="12"/>
  <c r="BY127" i="12"/>
  <c r="BK127" i="12"/>
  <c r="AI127" i="12"/>
  <c r="AW127" i="12"/>
  <c r="BW142" i="12"/>
  <c r="BX141" i="12"/>
  <c r="BM142" i="12"/>
  <c r="BN141" i="12"/>
  <c r="BR142" i="12"/>
  <c r="BS141" i="12"/>
  <c r="BI142" i="12"/>
  <c r="BJ141" i="12"/>
  <c r="AY142" i="12"/>
  <c r="AZ141" i="12"/>
  <c r="BD142" i="12"/>
  <c r="BE141" i="12"/>
  <c r="AK142" i="12"/>
  <c r="AL141" i="12"/>
  <c r="AU142" i="12"/>
  <c r="AV141" i="12"/>
  <c r="AP142" i="12"/>
  <c r="AQ141" i="12"/>
  <c r="AB144" i="12"/>
  <c r="AC143" i="12"/>
  <c r="X142" i="12"/>
  <c r="W143" i="12"/>
  <c r="C164" i="32" l="1"/>
  <c r="D163" i="32"/>
  <c r="E163" i="32"/>
  <c r="CT163" i="32"/>
  <c r="CU162" i="32"/>
  <c r="CV162" i="32"/>
  <c r="DX163" i="32"/>
  <c r="DV164" i="32"/>
  <c r="DW163" i="32"/>
  <c r="AH162" i="32"/>
  <c r="AF163" i="32"/>
  <c r="AG162" i="32"/>
  <c r="R163" i="32"/>
  <c r="S162" i="32"/>
  <c r="T162" i="32"/>
  <c r="EL162" i="32"/>
  <c r="EK162" i="32"/>
  <c r="EJ163" i="32"/>
  <c r="DH164" i="32"/>
  <c r="DI163" i="32"/>
  <c r="DJ163" i="32"/>
  <c r="FL164" i="32"/>
  <c r="FM163" i="32"/>
  <c r="FN163" i="32"/>
  <c r="EY163" i="32"/>
  <c r="EX164" i="32"/>
  <c r="EZ163" i="32"/>
  <c r="GB163" i="32"/>
  <c r="FZ164" i="32"/>
  <c r="GA163" i="32"/>
  <c r="CV166" i="13"/>
  <c r="CU166" i="13"/>
  <c r="CT167" i="13"/>
  <c r="DI164" i="13"/>
  <c r="DH165" i="13"/>
  <c r="DJ164" i="13"/>
  <c r="DV165" i="13"/>
  <c r="DX164" i="13"/>
  <c r="DW164" i="13"/>
  <c r="EL164" i="13"/>
  <c r="EJ165" i="13"/>
  <c r="EK164" i="13"/>
  <c r="EX165" i="13"/>
  <c r="EZ164" i="13"/>
  <c r="EY164" i="13"/>
  <c r="FL165" i="13"/>
  <c r="FN164" i="13"/>
  <c r="FM164" i="13"/>
  <c r="T163" i="13"/>
  <c r="S163" i="13"/>
  <c r="AU163" i="13"/>
  <c r="AF164" i="13"/>
  <c r="AG163" i="13"/>
  <c r="R164" i="13"/>
  <c r="HB143" i="12"/>
  <c r="HC142" i="12"/>
  <c r="GW143" i="12"/>
  <c r="GX142" i="12"/>
  <c r="HG145" i="12"/>
  <c r="HH144" i="12"/>
  <c r="GS143" i="12"/>
  <c r="GT142" i="12"/>
  <c r="GN145" i="12"/>
  <c r="GO144" i="12"/>
  <c r="GI143" i="12"/>
  <c r="GJ142" i="12"/>
  <c r="FZ145" i="12"/>
  <c r="GA144" i="12"/>
  <c r="GE143" i="12"/>
  <c r="GF142" i="12"/>
  <c r="FU143" i="12"/>
  <c r="FV142" i="12"/>
  <c r="FG143" i="12"/>
  <c r="FH142" i="12"/>
  <c r="FL144" i="12"/>
  <c r="FM143" i="12"/>
  <c r="FQ143" i="12"/>
  <c r="FR142" i="12"/>
  <c r="ES143" i="12"/>
  <c r="ET142" i="12"/>
  <c r="FC143" i="12"/>
  <c r="FD142" i="12"/>
  <c r="EX145" i="12"/>
  <c r="EY144" i="12"/>
  <c r="EO143" i="12"/>
  <c r="EP142" i="12"/>
  <c r="EE145" i="12"/>
  <c r="EF144" i="12"/>
  <c r="EJ143" i="12"/>
  <c r="EK142" i="12"/>
  <c r="EA143" i="12"/>
  <c r="EB142" i="12"/>
  <c r="DV143" i="12"/>
  <c r="DW142" i="12"/>
  <c r="DQ143" i="12"/>
  <c r="DR142" i="12"/>
  <c r="DH145" i="12"/>
  <c r="DI144" i="12"/>
  <c r="DM143" i="12"/>
  <c r="DN142" i="12"/>
  <c r="DC143" i="12"/>
  <c r="DD142" i="12"/>
  <c r="CT145" i="12"/>
  <c r="CU144" i="12"/>
  <c r="CY143" i="12"/>
  <c r="CZ142" i="12"/>
  <c r="CO143" i="12"/>
  <c r="CP142" i="12"/>
  <c r="CA143" i="12"/>
  <c r="CB142" i="12"/>
  <c r="CK143" i="12"/>
  <c r="CL142" i="12"/>
  <c r="CF145" i="12"/>
  <c r="CG144" i="12"/>
  <c r="AI128" i="12"/>
  <c r="BY128" i="12"/>
  <c r="AW128" i="12"/>
  <c r="BK128" i="12"/>
  <c r="BM143" i="12"/>
  <c r="BN142" i="12"/>
  <c r="BR143" i="12"/>
  <c r="BS142" i="12"/>
  <c r="BW143" i="12"/>
  <c r="BX142" i="12"/>
  <c r="AY143" i="12"/>
  <c r="AZ142" i="12"/>
  <c r="BD143" i="12"/>
  <c r="BE142" i="12"/>
  <c r="BI143" i="12"/>
  <c r="BJ142" i="12"/>
  <c r="AU143" i="12"/>
  <c r="AV142" i="12"/>
  <c r="AP143" i="12"/>
  <c r="AQ142" i="12"/>
  <c r="AK143" i="12"/>
  <c r="AL142" i="12"/>
  <c r="AB145" i="12"/>
  <c r="AC144" i="12"/>
  <c r="X143" i="12"/>
  <c r="W144" i="12"/>
  <c r="FZ165" i="32" l="1"/>
  <c r="GA164" i="32"/>
  <c r="GB164" i="32"/>
  <c r="T163" i="32"/>
  <c r="R164" i="32"/>
  <c r="S163" i="32"/>
  <c r="DV165" i="32"/>
  <c r="DW164" i="32"/>
  <c r="DX164" i="32"/>
  <c r="CT164" i="32"/>
  <c r="CV163" i="32"/>
  <c r="CU163" i="32"/>
  <c r="DH165" i="32"/>
  <c r="DJ164" i="32"/>
  <c r="DI164" i="32"/>
  <c r="AH163" i="32"/>
  <c r="AG163" i="32"/>
  <c r="AF164" i="32"/>
  <c r="EZ164" i="32"/>
  <c r="EY164" i="32"/>
  <c r="EX165" i="32"/>
  <c r="FL165" i="32"/>
  <c r="FM164" i="32"/>
  <c r="FN164" i="32"/>
  <c r="EL163" i="32"/>
  <c r="EK163" i="32"/>
  <c r="EJ164" i="32"/>
  <c r="C165" i="32"/>
  <c r="E164" i="32"/>
  <c r="D164" i="32"/>
  <c r="CT168" i="13"/>
  <c r="CV167" i="13"/>
  <c r="CU167" i="13"/>
  <c r="DI165" i="13"/>
  <c r="DH166" i="13"/>
  <c r="DJ165" i="13"/>
  <c r="DW165" i="13"/>
  <c r="DV166" i="13"/>
  <c r="DX165" i="13"/>
  <c r="EK165" i="13"/>
  <c r="EJ166" i="13"/>
  <c r="EL165" i="13"/>
  <c r="EY165" i="13"/>
  <c r="EX166" i="13"/>
  <c r="EZ165" i="13"/>
  <c r="FM165" i="13"/>
  <c r="FN165" i="13"/>
  <c r="FL166" i="13"/>
  <c r="T164" i="13"/>
  <c r="S164" i="13"/>
  <c r="AU164" i="13"/>
  <c r="AG164" i="13"/>
  <c r="AF165" i="13"/>
  <c r="R165" i="13"/>
  <c r="GW144" i="12"/>
  <c r="GX143" i="12"/>
  <c r="HG146" i="12"/>
  <c r="HH145" i="12"/>
  <c r="HB144" i="12"/>
  <c r="HC143" i="12"/>
  <c r="GN146" i="12"/>
  <c r="GO145" i="12"/>
  <c r="GI144" i="12"/>
  <c r="GJ143" i="12"/>
  <c r="GS144" i="12"/>
  <c r="GT143" i="12"/>
  <c r="GE144" i="12"/>
  <c r="GF143" i="12"/>
  <c r="FU144" i="12"/>
  <c r="FV143" i="12"/>
  <c r="FZ146" i="12"/>
  <c r="GA145" i="12"/>
  <c r="FL145" i="12"/>
  <c r="FM144" i="12"/>
  <c r="FR143" i="12"/>
  <c r="FQ144" i="12"/>
  <c r="FG144" i="12"/>
  <c r="FH143" i="12"/>
  <c r="FC144" i="12"/>
  <c r="FD143" i="12"/>
  <c r="EX146" i="12"/>
  <c r="EY145" i="12"/>
  <c r="ES144" i="12"/>
  <c r="ET143" i="12"/>
  <c r="EE146" i="12"/>
  <c r="EF145" i="12"/>
  <c r="EK143" i="12"/>
  <c r="EJ144" i="12"/>
  <c r="EO144" i="12"/>
  <c r="EP143" i="12"/>
  <c r="DV144" i="12"/>
  <c r="DW143" i="12"/>
  <c r="DQ144" i="12"/>
  <c r="DR143" i="12"/>
  <c r="EA144" i="12"/>
  <c r="EB143" i="12"/>
  <c r="DM144" i="12"/>
  <c r="DN143" i="12"/>
  <c r="DC144" i="12"/>
  <c r="DD143" i="12"/>
  <c r="DH146" i="12"/>
  <c r="DI145" i="12"/>
  <c r="CY144" i="12"/>
  <c r="CZ143" i="12"/>
  <c r="CO144" i="12"/>
  <c r="CP143" i="12"/>
  <c r="CT146" i="12"/>
  <c r="CU145" i="12"/>
  <c r="CK144" i="12"/>
  <c r="CL143" i="12"/>
  <c r="CF146" i="12"/>
  <c r="CG145" i="12"/>
  <c r="CA144" i="12"/>
  <c r="CB143" i="12"/>
  <c r="BK129" i="12"/>
  <c r="BY129" i="12"/>
  <c r="AW129" i="12"/>
  <c r="AI129" i="12"/>
  <c r="BR144" i="12"/>
  <c r="BS143" i="12"/>
  <c r="BW144" i="12"/>
  <c r="BX143" i="12"/>
  <c r="BM144" i="12"/>
  <c r="BN143" i="12"/>
  <c r="BD144" i="12"/>
  <c r="BE143" i="12"/>
  <c r="BI144" i="12"/>
  <c r="BJ143" i="12"/>
  <c r="AY144" i="12"/>
  <c r="AZ143" i="12"/>
  <c r="AP144" i="12"/>
  <c r="AQ143" i="12"/>
  <c r="AK144" i="12"/>
  <c r="AL143" i="12"/>
  <c r="AU144" i="12"/>
  <c r="AV143" i="12"/>
  <c r="AB146" i="12"/>
  <c r="AC145" i="12"/>
  <c r="W145" i="12"/>
  <c r="X144" i="12"/>
  <c r="E165" i="32" l="1"/>
  <c r="C166" i="32"/>
  <c r="D165" i="32"/>
  <c r="EL164" i="32"/>
  <c r="EJ165" i="32"/>
  <c r="EK164" i="32"/>
  <c r="DV166" i="32"/>
  <c r="DW165" i="32"/>
  <c r="DX165" i="32"/>
  <c r="FN165" i="32"/>
  <c r="FM165" i="32"/>
  <c r="FL166" i="32"/>
  <c r="AH164" i="32"/>
  <c r="AF165" i="32"/>
  <c r="AG164" i="32"/>
  <c r="CV164" i="32"/>
  <c r="CT165" i="32"/>
  <c r="CU164" i="32"/>
  <c r="EZ165" i="32"/>
  <c r="EX166" i="32"/>
  <c r="EY165" i="32"/>
  <c r="DJ165" i="32"/>
  <c r="DI165" i="32"/>
  <c r="DH166" i="32"/>
  <c r="R165" i="32"/>
  <c r="S164" i="32"/>
  <c r="T164" i="32"/>
  <c r="FZ166" i="32"/>
  <c r="GA165" i="32"/>
  <c r="GB165" i="32"/>
  <c r="CT169" i="13"/>
  <c r="CV168" i="13"/>
  <c r="CU168" i="13"/>
  <c r="DJ166" i="13"/>
  <c r="DI166" i="13"/>
  <c r="DH167" i="13"/>
  <c r="DX166" i="13"/>
  <c r="DW166" i="13"/>
  <c r="DV167" i="13"/>
  <c r="EL166" i="13"/>
  <c r="EK166" i="13"/>
  <c r="EJ167" i="13"/>
  <c r="EZ166" i="13"/>
  <c r="EY166" i="13"/>
  <c r="EX167" i="13"/>
  <c r="FN166" i="13"/>
  <c r="FL167" i="13"/>
  <c r="FM166" i="13"/>
  <c r="T165" i="13"/>
  <c r="S165" i="13"/>
  <c r="AU165" i="13"/>
  <c r="AG165" i="13"/>
  <c r="AF166" i="13"/>
  <c r="R166" i="13"/>
  <c r="HG147" i="12"/>
  <c r="HH146" i="12"/>
  <c r="HB145" i="12"/>
  <c r="HC144" i="12"/>
  <c r="GW145" i="12"/>
  <c r="GX144" i="12"/>
  <c r="GI145" i="12"/>
  <c r="GJ144" i="12"/>
  <c r="GS145" i="12"/>
  <c r="GT144" i="12"/>
  <c r="GN147" i="12"/>
  <c r="GO146" i="12"/>
  <c r="FU145" i="12"/>
  <c r="FV144" i="12"/>
  <c r="FZ147" i="12"/>
  <c r="GA146" i="12"/>
  <c r="GE145" i="12"/>
  <c r="GF144" i="12"/>
  <c r="FQ145" i="12"/>
  <c r="FR144" i="12"/>
  <c r="FG145" i="12"/>
  <c r="FH144" i="12"/>
  <c r="FL146" i="12"/>
  <c r="FM145" i="12"/>
  <c r="EX147" i="12"/>
  <c r="EY146" i="12"/>
  <c r="ES145" i="12"/>
  <c r="ET144" i="12"/>
  <c r="FC145" i="12"/>
  <c r="FD144" i="12"/>
  <c r="EJ145" i="12"/>
  <c r="EK144" i="12"/>
  <c r="EO145" i="12"/>
  <c r="EP144" i="12"/>
  <c r="EE147" i="12"/>
  <c r="EF146" i="12"/>
  <c r="DQ145" i="12"/>
  <c r="DR144" i="12"/>
  <c r="EA145" i="12"/>
  <c r="EB144" i="12"/>
  <c r="DV145" i="12"/>
  <c r="DW144" i="12"/>
  <c r="DC145" i="12"/>
  <c r="DD144" i="12"/>
  <c r="DH147" i="12"/>
  <c r="DI146" i="12"/>
  <c r="DM145" i="12"/>
  <c r="DN144" i="12"/>
  <c r="CO145" i="12"/>
  <c r="CP144" i="12"/>
  <c r="CT147" i="12"/>
  <c r="CU146" i="12"/>
  <c r="CY145" i="12"/>
  <c r="CZ144" i="12"/>
  <c r="CF147" i="12"/>
  <c r="CG146" i="12"/>
  <c r="CA145" i="12"/>
  <c r="CB144" i="12"/>
  <c r="CK145" i="12"/>
  <c r="CL144" i="12"/>
  <c r="AW130" i="12"/>
  <c r="BY130" i="12"/>
  <c r="AI130" i="12"/>
  <c r="BK130" i="12"/>
  <c r="BW145" i="12"/>
  <c r="BX144" i="12"/>
  <c r="BM145" i="12"/>
  <c r="BN144" i="12"/>
  <c r="BR145" i="12"/>
  <c r="BS144" i="12"/>
  <c r="BI145" i="12"/>
  <c r="BJ144" i="12"/>
  <c r="AY145" i="12"/>
  <c r="AZ144" i="12"/>
  <c r="BD145" i="12"/>
  <c r="BE144" i="12"/>
  <c r="AK145" i="12"/>
  <c r="AL144" i="12"/>
  <c r="AU145" i="12"/>
  <c r="AV144" i="12"/>
  <c r="AP145" i="12"/>
  <c r="AQ144" i="12"/>
  <c r="AB147" i="12"/>
  <c r="AC146" i="12"/>
  <c r="W146" i="12"/>
  <c r="X145" i="12"/>
  <c r="DJ166" i="32" l="1"/>
  <c r="DH167" i="32"/>
  <c r="DI166" i="32"/>
  <c r="EZ166" i="32"/>
  <c r="EX167" i="32"/>
  <c r="EY166" i="32"/>
  <c r="FN166" i="32"/>
  <c r="FL167" i="32"/>
  <c r="FM166" i="32"/>
  <c r="DX166" i="32"/>
  <c r="DW166" i="32"/>
  <c r="DV167" i="32"/>
  <c r="GB166" i="32"/>
  <c r="GA166" i="32"/>
  <c r="FZ167" i="32"/>
  <c r="AF166" i="32"/>
  <c r="AG165" i="32"/>
  <c r="AH165" i="32"/>
  <c r="E166" i="32"/>
  <c r="C167" i="32"/>
  <c r="D166" i="32"/>
  <c r="R166" i="32"/>
  <c r="T165" i="32"/>
  <c r="S165" i="32"/>
  <c r="CV165" i="32"/>
  <c r="CT166" i="32"/>
  <c r="CU165" i="32"/>
  <c r="EL165" i="32"/>
  <c r="EJ166" i="32"/>
  <c r="EK165" i="32"/>
  <c r="CU169" i="13"/>
  <c r="CT170" i="13"/>
  <c r="CV169" i="13"/>
  <c r="DH168" i="13"/>
  <c r="DJ167" i="13"/>
  <c r="DI167" i="13"/>
  <c r="DV168" i="13"/>
  <c r="DW167" i="13"/>
  <c r="DX167" i="13"/>
  <c r="EJ168" i="13"/>
  <c r="EK167" i="13"/>
  <c r="EL167" i="13"/>
  <c r="EX168" i="13"/>
  <c r="EZ167" i="13"/>
  <c r="EY167" i="13"/>
  <c r="FL168" i="13"/>
  <c r="FN167" i="13"/>
  <c r="FM167" i="13"/>
  <c r="T166" i="13"/>
  <c r="S166" i="13"/>
  <c r="AU166" i="13"/>
  <c r="AG166" i="13"/>
  <c r="AF167" i="13"/>
  <c r="R167" i="13"/>
  <c r="HB146" i="12"/>
  <c r="HC145" i="12"/>
  <c r="GW146" i="12"/>
  <c r="GX145" i="12"/>
  <c r="HG148" i="12"/>
  <c r="HH147" i="12"/>
  <c r="GS146" i="12"/>
  <c r="GT145" i="12"/>
  <c r="GN148" i="12"/>
  <c r="GO147" i="12"/>
  <c r="GI146" i="12"/>
  <c r="GJ145" i="12"/>
  <c r="FZ148" i="12"/>
  <c r="GA147" i="12"/>
  <c r="GE146" i="12"/>
  <c r="GF145" i="12"/>
  <c r="FU146" i="12"/>
  <c r="FV145" i="12"/>
  <c r="FG146" i="12"/>
  <c r="FH145" i="12"/>
  <c r="FL147" i="12"/>
  <c r="FM146" i="12"/>
  <c r="FQ146" i="12"/>
  <c r="FR145" i="12"/>
  <c r="ES146" i="12"/>
  <c r="ET145" i="12"/>
  <c r="FC146" i="12"/>
  <c r="FD145" i="12"/>
  <c r="EX148" i="12"/>
  <c r="EY147" i="12"/>
  <c r="EO146" i="12"/>
  <c r="EP145" i="12"/>
  <c r="EE148" i="12"/>
  <c r="EF147" i="12"/>
  <c r="EJ146" i="12"/>
  <c r="EK145" i="12"/>
  <c r="EA146" i="12"/>
  <c r="EB145" i="12"/>
  <c r="DV146" i="12"/>
  <c r="DW145" i="12"/>
  <c r="DQ146" i="12"/>
  <c r="DR145" i="12"/>
  <c r="DH148" i="12"/>
  <c r="DI147" i="12"/>
  <c r="DM146" i="12"/>
  <c r="DN145" i="12"/>
  <c r="DD145" i="12"/>
  <c r="DC146" i="12"/>
  <c r="CT148" i="12"/>
  <c r="CU147" i="12"/>
  <c r="CY146" i="12"/>
  <c r="CZ145" i="12"/>
  <c r="CP145" i="12"/>
  <c r="CO146" i="12"/>
  <c r="CA146" i="12"/>
  <c r="CB145" i="12"/>
  <c r="CK146" i="12"/>
  <c r="CL145" i="12"/>
  <c r="CF148" i="12"/>
  <c r="CG147" i="12"/>
  <c r="BY131" i="12"/>
  <c r="BK131" i="12"/>
  <c r="AI131" i="12"/>
  <c r="AW131" i="12"/>
  <c r="BM146" i="12"/>
  <c r="BN145" i="12"/>
  <c r="BR146" i="12"/>
  <c r="BS145" i="12"/>
  <c r="BW146" i="12"/>
  <c r="BX145" i="12"/>
  <c r="AY146" i="12"/>
  <c r="AZ145" i="12"/>
  <c r="BD146" i="12"/>
  <c r="BE145" i="12"/>
  <c r="BI146" i="12"/>
  <c r="BJ145" i="12"/>
  <c r="AU146" i="12"/>
  <c r="AV145" i="12"/>
  <c r="AP146" i="12"/>
  <c r="AQ145" i="12"/>
  <c r="AK146" i="12"/>
  <c r="AL145" i="12"/>
  <c r="AB148" i="12"/>
  <c r="AC147" i="12"/>
  <c r="X146" i="12"/>
  <c r="W147" i="12"/>
  <c r="DX167" i="32" l="1"/>
  <c r="DV168" i="32"/>
  <c r="DW167" i="32"/>
  <c r="GB167" i="32"/>
  <c r="FZ168" i="32"/>
  <c r="GA167" i="32"/>
  <c r="E167" i="32"/>
  <c r="C168" i="32"/>
  <c r="D167" i="32"/>
  <c r="CV166" i="32"/>
  <c r="CT167" i="32"/>
  <c r="CU166" i="32"/>
  <c r="T166" i="32"/>
  <c r="R167" i="32"/>
  <c r="S166" i="32"/>
  <c r="DJ167" i="32"/>
  <c r="DH168" i="32"/>
  <c r="DI167" i="32"/>
  <c r="AF167" i="32"/>
  <c r="AG166" i="32"/>
  <c r="AH166" i="32"/>
  <c r="FN167" i="32"/>
  <c r="FL168" i="32"/>
  <c r="FM167" i="32"/>
  <c r="EJ167" i="32"/>
  <c r="EK166" i="32"/>
  <c r="EL166" i="32"/>
  <c r="EX168" i="32"/>
  <c r="EY167" i="32"/>
  <c r="EZ167" i="32"/>
  <c r="CV170" i="13"/>
  <c r="CU170" i="13"/>
  <c r="CT171" i="13"/>
  <c r="DI168" i="13"/>
  <c r="DH169" i="13"/>
  <c r="DJ168" i="13"/>
  <c r="DX168" i="13"/>
  <c r="DV169" i="13"/>
  <c r="DW168" i="13"/>
  <c r="EL168" i="13"/>
  <c r="EJ169" i="13"/>
  <c r="EK168" i="13"/>
  <c r="EX169" i="13"/>
  <c r="EZ168" i="13"/>
  <c r="EY168" i="13"/>
  <c r="FL169" i="13"/>
  <c r="FN168" i="13"/>
  <c r="FM168" i="13"/>
  <c r="T167" i="13"/>
  <c r="S167" i="13"/>
  <c r="AU167" i="13"/>
  <c r="AF168" i="13"/>
  <c r="AG167" i="13"/>
  <c r="R168" i="13"/>
  <c r="GW147" i="12"/>
  <c r="GX146" i="12"/>
  <c r="HG149" i="12"/>
  <c r="HH148" i="12"/>
  <c r="HB147" i="12"/>
  <c r="HC146" i="12"/>
  <c r="GN149" i="12"/>
  <c r="GO148" i="12"/>
  <c r="GI147" i="12"/>
  <c r="GJ146" i="12"/>
  <c r="GS147" i="12"/>
  <c r="GT146" i="12"/>
  <c r="GE147" i="12"/>
  <c r="GF146" i="12"/>
  <c r="FU147" i="12"/>
  <c r="FV146" i="12"/>
  <c r="FZ149" i="12"/>
  <c r="GA148" i="12"/>
  <c r="FL148" i="12"/>
  <c r="FM147" i="12"/>
  <c r="FQ147" i="12"/>
  <c r="FR146" i="12"/>
  <c r="FG147" i="12"/>
  <c r="FH146" i="12"/>
  <c r="FC147" i="12"/>
  <c r="FD146" i="12"/>
  <c r="EX149" i="12"/>
  <c r="EY148" i="12"/>
  <c r="ES147" i="12"/>
  <c r="ET146" i="12"/>
  <c r="EE149" i="12"/>
  <c r="EF148" i="12"/>
  <c r="EJ147" i="12"/>
  <c r="EK146" i="12"/>
  <c r="EO147" i="12"/>
  <c r="EP146" i="12"/>
  <c r="DV147" i="12"/>
  <c r="DW146" i="12"/>
  <c r="DQ147" i="12"/>
  <c r="DR146" i="12"/>
  <c r="EA147" i="12"/>
  <c r="EB146" i="12"/>
  <c r="DM147" i="12"/>
  <c r="DN146" i="12"/>
  <c r="DC147" i="12"/>
  <c r="DD146" i="12"/>
  <c r="DH149" i="12"/>
  <c r="DI148" i="12"/>
  <c r="CY147" i="12"/>
  <c r="CZ146" i="12"/>
  <c r="CO147" i="12"/>
  <c r="CP146" i="12"/>
  <c r="CT149" i="12"/>
  <c r="CU148" i="12"/>
  <c r="CK147" i="12"/>
  <c r="CL146" i="12"/>
  <c r="CF149" i="12"/>
  <c r="CG148" i="12"/>
  <c r="CA147" i="12"/>
  <c r="CB146" i="12"/>
  <c r="AI132" i="12"/>
  <c r="BY132" i="12"/>
  <c r="AW132" i="12"/>
  <c r="BK132" i="12"/>
  <c r="BR147" i="12"/>
  <c r="BS146" i="12"/>
  <c r="BW147" i="12"/>
  <c r="BX146" i="12"/>
  <c r="BM147" i="12"/>
  <c r="BN146" i="12"/>
  <c r="BD147" i="12"/>
  <c r="BE146" i="12"/>
  <c r="BI147" i="12"/>
  <c r="BJ146" i="12"/>
  <c r="AY147" i="12"/>
  <c r="AZ146" i="12"/>
  <c r="AP147" i="12"/>
  <c r="AQ146" i="12"/>
  <c r="AK147" i="12"/>
  <c r="AL146" i="12"/>
  <c r="AU147" i="12"/>
  <c r="AV146" i="12"/>
  <c r="AB149" i="12"/>
  <c r="AC148" i="12"/>
  <c r="X147" i="12"/>
  <c r="W148" i="12"/>
  <c r="FL169" i="32" l="1"/>
  <c r="FM168" i="32"/>
  <c r="FN168" i="32"/>
  <c r="AH167" i="32"/>
  <c r="AF168" i="32"/>
  <c r="AG167" i="32"/>
  <c r="CT168" i="32"/>
  <c r="CU167" i="32"/>
  <c r="CV167" i="32"/>
  <c r="EX169" i="32"/>
  <c r="EZ168" i="32"/>
  <c r="EY168" i="32"/>
  <c r="C169" i="32"/>
  <c r="D168" i="32"/>
  <c r="E168" i="32"/>
  <c r="T167" i="32"/>
  <c r="R168" i="32"/>
  <c r="S167" i="32"/>
  <c r="DV169" i="32"/>
  <c r="DX168" i="32"/>
  <c r="DW168" i="32"/>
  <c r="EL167" i="32"/>
  <c r="EK167" i="32"/>
  <c r="EJ168" i="32"/>
  <c r="DH169" i="32"/>
  <c r="DI168" i="32"/>
  <c r="DJ168" i="32"/>
  <c r="FZ169" i="32"/>
  <c r="GB168" i="32"/>
  <c r="GA168" i="32"/>
  <c r="CT172" i="13"/>
  <c r="CV171" i="13"/>
  <c r="CU171" i="13"/>
  <c r="DI169" i="13"/>
  <c r="DJ169" i="13"/>
  <c r="DH170" i="13"/>
  <c r="DW169" i="13"/>
  <c r="DV170" i="13"/>
  <c r="DX169" i="13"/>
  <c r="EK169" i="13"/>
  <c r="EJ170" i="13"/>
  <c r="EL169" i="13"/>
  <c r="EY169" i="13"/>
  <c r="EX170" i="13"/>
  <c r="EZ169" i="13"/>
  <c r="FM169" i="13"/>
  <c r="FN169" i="13"/>
  <c r="FL170" i="13"/>
  <c r="T168" i="13"/>
  <c r="S168" i="13"/>
  <c r="AU168" i="13"/>
  <c r="AF169" i="13"/>
  <c r="AG168" i="13"/>
  <c r="R169" i="13"/>
  <c r="HG150" i="12"/>
  <c r="HH149" i="12"/>
  <c r="HB148" i="12"/>
  <c r="HC147" i="12"/>
  <c r="GW148" i="12"/>
  <c r="GX147" i="12"/>
  <c r="GI148" i="12"/>
  <c r="GJ147" i="12"/>
  <c r="GS148" i="12"/>
  <c r="GT147" i="12"/>
  <c r="GN150" i="12"/>
  <c r="GO149" i="12"/>
  <c r="FU148" i="12"/>
  <c r="FV147" i="12"/>
  <c r="FZ150" i="12"/>
  <c r="GA149" i="12"/>
  <c r="GE148" i="12"/>
  <c r="GF147" i="12"/>
  <c r="FQ148" i="12"/>
  <c r="FR147" i="12"/>
  <c r="FG148" i="12"/>
  <c r="FH147" i="12"/>
  <c r="FL149" i="12"/>
  <c r="FM148" i="12"/>
  <c r="EX150" i="12"/>
  <c r="EY149" i="12"/>
  <c r="ES148" i="12"/>
  <c r="ET147" i="12"/>
  <c r="FC148" i="12"/>
  <c r="FD147" i="12"/>
  <c r="EJ148" i="12"/>
  <c r="EK147" i="12"/>
  <c r="EP147" i="12"/>
  <c r="EO148" i="12"/>
  <c r="EE150" i="12"/>
  <c r="EF149" i="12"/>
  <c r="DQ148" i="12"/>
  <c r="DR147" i="12"/>
  <c r="EA148" i="12"/>
  <c r="EB147" i="12"/>
  <c r="DV148" i="12"/>
  <c r="DW147" i="12"/>
  <c r="DC148" i="12"/>
  <c r="DD147" i="12"/>
  <c r="DH150" i="12"/>
  <c r="DI149" i="12"/>
  <c r="DM148" i="12"/>
  <c r="DN147" i="12"/>
  <c r="CO148" i="12"/>
  <c r="CP147" i="12"/>
  <c r="CT150" i="12"/>
  <c r="CU149" i="12"/>
  <c r="CY148" i="12"/>
  <c r="CZ147" i="12"/>
  <c r="CF150" i="12"/>
  <c r="CG149" i="12"/>
  <c r="CA148" i="12"/>
  <c r="CB147" i="12"/>
  <c r="CL147" i="12"/>
  <c r="CK148" i="12"/>
  <c r="BK133" i="12"/>
  <c r="BY133" i="12"/>
  <c r="AW133" i="12"/>
  <c r="AI133" i="12"/>
  <c r="BW148" i="12"/>
  <c r="BX147" i="12"/>
  <c r="BM148" i="12"/>
  <c r="BN147" i="12"/>
  <c r="BR148" i="12"/>
  <c r="BS147" i="12"/>
  <c r="BI148" i="12"/>
  <c r="BJ147" i="12"/>
  <c r="AY148" i="12"/>
  <c r="AZ147" i="12"/>
  <c r="BD148" i="12"/>
  <c r="BE147" i="12"/>
  <c r="AK148" i="12"/>
  <c r="AL147" i="12"/>
  <c r="AU148" i="12"/>
  <c r="AV147" i="12"/>
  <c r="AP148" i="12"/>
  <c r="AQ147" i="12"/>
  <c r="AB150" i="12"/>
  <c r="AC149" i="12"/>
  <c r="W149" i="12"/>
  <c r="X148" i="12"/>
  <c r="EJ169" i="32" l="1"/>
  <c r="EL168" i="32"/>
  <c r="EK168" i="32"/>
  <c r="DV170" i="32"/>
  <c r="DW169" i="32"/>
  <c r="DX169" i="32"/>
  <c r="CT169" i="32"/>
  <c r="CV168" i="32"/>
  <c r="CU168" i="32"/>
  <c r="FZ170" i="32"/>
  <c r="GA169" i="32"/>
  <c r="GB169" i="32"/>
  <c r="EZ169" i="32"/>
  <c r="EX170" i="32"/>
  <c r="EY169" i="32"/>
  <c r="DJ169" i="32"/>
  <c r="DI169" i="32"/>
  <c r="DH170" i="32"/>
  <c r="T168" i="32"/>
  <c r="R169" i="32"/>
  <c r="S168" i="32"/>
  <c r="E169" i="32"/>
  <c r="C170" i="32"/>
  <c r="D169" i="32"/>
  <c r="AH168" i="32"/>
  <c r="AF169" i="32"/>
  <c r="AG168" i="32"/>
  <c r="FN169" i="32"/>
  <c r="FM169" i="32"/>
  <c r="FL170" i="32"/>
  <c r="CT173" i="13"/>
  <c r="CV172" i="13"/>
  <c r="CU172" i="13"/>
  <c r="DJ170" i="13"/>
  <c r="DH171" i="13"/>
  <c r="DI170" i="13"/>
  <c r="DX170" i="13"/>
  <c r="DW170" i="13"/>
  <c r="DV171" i="13"/>
  <c r="EL170" i="13"/>
  <c r="EK170" i="13"/>
  <c r="EJ171" i="13"/>
  <c r="EZ170" i="13"/>
  <c r="EY170" i="13"/>
  <c r="EX171" i="13"/>
  <c r="FN170" i="13"/>
  <c r="FL171" i="13"/>
  <c r="FM170" i="13"/>
  <c r="T169" i="13"/>
  <c r="S169" i="13"/>
  <c r="AU169" i="13"/>
  <c r="AG169" i="13"/>
  <c r="AF170" i="13"/>
  <c r="R170" i="13"/>
  <c r="HB149" i="12"/>
  <c r="HC148" i="12"/>
  <c r="GW149" i="12"/>
  <c r="GX148" i="12"/>
  <c r="HG151" i="12"/>
  <c r="HH150" i="12"/>
  <c r="GS149" i="12"/>
  <c r="GT148" i="12"/>
  <c r="GN151" i="12"/>
  <c r="GO150" i="12"/>
  <c r="GI149" i="12"/>
  <c r="GJ148" i="12"/>
  <c r="FZ151" i="12"/>
  <c r="GA150" i="12"/>
  <c r="GE149" i="12"/>
  <c r="GF148" i="12"/>
  <c r="FU149" i="12"/>
  <c r="FV148" i="12"/>
  <c r="FG149" i="12"/>
  <c r="FH148" i="12"/>
  <c r="FL150" i="12"/>
  <c r="FM149" i="12"/>
  <c r="FQ149" i="12"/>
  <c r="FR148" i="12"/>
  <c r="ES149" i="12"/>
  <c r="ET148" i="12"/>
  <c r="FC149" i="12"/>
  <c r="FD148" i="12"/>
  <c r="EX151" i="12"/>
  <c r="EY150" i="12"/>
  <c r="EP148" i="12"/>
  <c r="EO149" i="12"/>
  <c r="EE151" i="12"/>
  <c r="EF150" i="12"/>
  <c r="EJ149" i="12"/>
  <c r="EK148" i="12"/>
  <c r="EA149" i="12"/>
  <c r="EB148" i="12"/>
  <c r="DV149" i="12"/>
  <c r="DW148" i="12"/>
  <c r="DQ149" i="12"/>
  <c r="DR148" i="12"/>
  <c r="DI150" i="12"/>
  <c r="DH151" i="12"/>
  <c r="DM149" i="12"/>
  <c r="DN148" i="12"/>
  <c r="DC149" i="12"/>
  <c r="DD148" i="12"/>
  <c r="CT151" i="12"/>
  <c r="CU150" i="12"/>
  <c r="CY149" i="12"/>
  <c r="CZ148" i="12"/>
  <c r="CO149" i="12"/>
  <c r="CP148" i="12"/>
  <c r="CA149" i="12"/>
  <c r="CB148" i="12"/>
  <c r="CK149" i="12"/>
  <c r="CL148" i="12"/>
  <c r="CF151" i="12"/>
  <c r="CG150" i="12"/>
  <c r="AW134" i="12"/>
  <c r="AI134" i="12"/>
  <c r="BY134" i="12"/>
  <c r="BK134" i="12"/>
  <c r="BM149" i="12"/>
  <c r="BN148" i="12"/>
  <c r="BR149" i="12"/>
  <c r="BS148" i="12"/>
  <c r="BW149" i="12"/>
  <c r="BX148" i="12"/>
  <c r="AY149" i="12"/>
  <c r="AZ148" i="12"/>
  <c r="BD149" i="12"/>
  <c r="BE148" i="12"/>
  <c r="BI149" i="12"/>
  <c r="BJ148" i="12"/>
  <c r="AU149" i="12"/>
  <c r="AV148" i="12"/>
  <c r="AP149" i="12"/>
  <c r="AQ148" i="12"/>
  <c r="AK149" i="12"/>
  <c r="AL148" i="12"/>
  <c r="AC150" i="12"/>
  <c r="AB151" i="12"/>
  <c r="W150" i="12"/>
  <c r="X149" i="12"/>
  <c r="R170" i="32" l="1"/>
  <c r="S169" i="32"/>
  <c r="T169" i="32"/>
  <c r="DX170" i="32"/>
  <c r="DW170" i="32"/>
  <c r="DV171" i="32"/>
  <c r="E170" i="32"/>
  <c r="C171" i="32"/>
  <c r="D170" i="32"/>
  <c r="CV169" i="32"/>
  <c r="CT170" i="32"/>
  <c r="CU169" i="32"/>
  <c r="FN170" i="32"/>
  <c r="FL171" i="32"/>
  <c r="FM170" i="32"/>
  <c r="AF170" i="32"/>
  <c r="AG169" i="32"/>
  <c r="AH169" i="32"/>
  <c r="DJ170" i="32"/>
  <c r="DH171" i="32"/>
  <c r="DI170" i="32"/>
  <c r="EZ170" i="32"/>
  <c r="EX171" i="32"/>
  <c r="EY170" i="32"/>
  <c r="GB170" i="32"/>
  <c r="GA170" i="32"/>
  <c r="FZ171" i="32"/>
  <c r="EL169" i="32"/>
  <c r="EJ170" i="32"/>
  <c r="EK169" i="32"/>
  <c r="CU173" i="13"/>
  <c r="CU175" i="13" s="1"/>
  <c r="CV173" i="13"/>
  <c r="CV175" i="13" s="1"/>
  <c r="CT175" i="13"/>
  <c r="DH172" i="13"/>
  <c r="DJ171" i="13"/>
  <c r="DI171" i="13"/>
  <c r="DV172" i="13"/>
  <c r="DW171" i="13"/>
  <c r="DX171" i="13"/>
  <c r="EJ172" i="13"/>
  <c r="EK171" i="13"/>
  <c r="EL171" i="13"/>
  <c r="EX172" i="13"/>
  <c r="EZ171" i="13"/>
  <c r="EY171" i="13"/>
  <c r="FL172" i="13"/>
  <c r="FN171" i="13"/>
  <c r="FM171" i="13"/>
  <c r="T170" i="13"/>
  <c r="S170" i="13"/>
  <c r="AU170" i="13"/>
  <c r="AG170" i="13"/>
  <c r="AF171" i="13"/>
  <c r="R171" i="13"/>
  <c r="GW150" i="12"/>
  <c r="GX149" i="12"/>
  <c r="HG152" i="12"/>
  <c r="HH151" i="12"/>
  <c r="HB150" i="12"/>
  <c r="HC149" i="12"/>
  <c r="GN152" i="12"/>
  <c r="GO151" i="12"/>
  <c r="GI150" i="12"/>
  <c r="GJ149" i="12"/>
  <c r="GS150" i="12"/>
  <c r="GT149" i="12"/>
  <c r="GE150" i="12"/>
  <c r="GF149" i="12"/>
  <c r="FU150" i="12"/>
  <c r="FV149" i="12"/>
  <c r="FZ152" i="12"/>
  <c r="GA151" i="12"/>
  <c r="FL151" i="12"/>
  <c r="FM150" i="12"/>
  <c r="FQ150" i="12"/>
  <c r="FR149" i="12"/>
  <c r="FG150" i="12"/>
  <c r="FH149" i="12"/>
  <c r="ES150" i="12"/>
  <c r="ET149" i="12"/>
  <c r="EX152" i="12"/>
  <c r="EY151" i="12"/>
  <c r="FC150" i="12"/>
  <c r="FD149" i="12"/>
  <c r="EE152" i="12"/>
  <c r="EF151" i="12"/>
  <c r="EO150" i="12"/>
  <c r="EP149" i="12"/>
  <c r="EJ150" i="12"/>
  <c r="EK149" i="12"/>
  <c r="DV150" i="12"/>
  <c r="DW149" i="12"/>
  <c r="DQ150" i="12"/>
  <c r="DR149" i="12"/>
  <c r="EA150" i="12"/>
  <c r="EB149" i="12"/>
  <c r="DM150" i="12"/>
  <c r="DN149" i="12"/>
  <c r="DH152" i="12"/>
  <c r="DI151" i="12"/>
  <c r="DC150" i="12"/>
  <c r="DD149" i="12"/>
  <c r="CY150" i="12"/>
  <c r="CZ149" i="12"/>
  <c r="CO150" i="12"/>
  <c r="CP149" i="12"/>
  <c r="CT152" i="12"/>
  <c r="CU151" i="12"/>
  <c r="CK150" i="12"/>
  <c r="CL149" i="12"/>
  <c r="CF152" i="12"/>
  <c r="CG151" i="12"/>
  <c r="CA150" i="12"/>
  <c r="CB149" i="12"/>
  <c r="BY135" i="12"/>
  <c r="BK135" i="12"/>
  <c r="AI135" i="12"/>
  <c r="AW135" i="12"/>
  <c r="BM150" i="12"/>
  <c r="BN149" i="12"/>
  <c r="BW150" i="12"/>
  <c r="BX149" i="12"/>
  <c r="BR150" i="12"/>
  <c r="BS149" i="12"/>
  <c r="AY150" i="12"/>
  <c r="AZ149" i="12"/>
  <c r="BI150" i="12"/>
  <c r="BJ149" i="12"/>
  <c r="BD150" i="12"/>
  <c r="BE149" i="12"/>
  <c r="AP150" i="12"/>
  <c r="AQ149" i="12"/>
  <c r="AK150" i="12"/>
  <c r="AL149" i="12"/>
  <c r="AU150" i="12"/>
  <c r="AV149" i="12"/>
  <c r="AC151" i="12"/>
  <c r="AB152" i="12"/>
  <c r="X150" i="12"/>
  <c r="W151" i="12"/>
  <c r="DJ171" i="32" l="1"/>
  <c r="DH172" i="32"/>
  <c r="DI171" i="32"/>
  <c r="AF171" i="32"/>
  <c r="AG170" i="32"/>
  <c r="AH170" i="32"/>
  <c r="E171" i="32"/>
  <c r="C172" i="32"/>
  <c r="D171" i="32"/>
  <c r="GB171" i="32"/>
  <c r="FZ172" i="32"/>
  <c r="GA171" i="32"/>
  <c r="EX172" i="32"/>
  <c r="EY171" i="32"/>
  <c r="EZ171" i="32"/>
  <c r="CV170" i="32"/>
  <c r="CT171" i="32"/>
  <c r="CU170" i="32"/>
  <c r="EJ171" i="32"/>
  <c r="EK170" i="32"/>
  <c r="EL170" i="32"/>
  <c r="FN171" i="32"/>
  <c r="FL172" i="32"/>
  <c r="FM171" i="32"/>
  <c r="DX171" i="32"/>
  <c r="DV172" i="32"/>
  <c r="DW171" i="32"/>
  <c r="T170" i="32"/>
  <c r="S170" i="32"/>
  <c r="R171" i="32"/>
  <c r="DH173" i="13"/>
  <c r="DI172" i="13"/>
  <c r="DJ172" i="13"/>
  <c r="DX172" i="13"/>
  <c r="DW172" i="13"/>
  <c r="DV173" i="13"/>
  <c r="EL172" i="13"/>
  <c r="EJ173" i="13"/>
  <c r="EK172" i="13"/>
  <c r="EX173" i="13"/>
  <c r="EZ172" i="13"/>
  <c r="EY172" i="13"/>
  <c r="FL173" i="13"/>
  <c r="FM172" i="13"/>
  <c r="FN172" i="13"/>
  <c r="T171" i="13"/>
  <c r="S171" i="13"/>
  <c r="AU171" i="13"/>
  <c r="AF172" i="13"/>
  <c r="AG171" i="13"/>
  <c r="R172" i="13"/>
  <c r="HH152" i="12"/>
  <c r="HH154" i="12" s="1"/>
  <c r="HG154" i="12"/>
  <c r="HB151" i="12"/>
  <c r="HC150" i="12"/>
  <c r="GW151" i="12"/>
  <c r="GX150" i="12"/>
  <c r="GI151" i="12"/>
  <c r="GJ150" i="12"/>
  <c r="GS151" i="12"/>
  <c r="GT150" i="12"/>
  <c r="GO152" i="12"/>
  <c r="GO154" i="12" s="1"/>
  <c r="GN154" i="12"/>
  <c r="FU151" i="12"/>
  <c r="FV150" i="12"/>
  <c r="GA152" i="12"/>
  <c r="GA154" i="12" s="1"/>
  <c r="FZ154" i="12"/>
  <c r="GE151" i="12"/>
  <c r="GF150" i="12"/>
  <c r="FQ151" i="12"/>
  <c r="FR150" i="12"/>
  <c r="FG151" i="12"/>
  <c r="FH150" i="12"/>
  <c r="FL152" i="12"/>
  <c r="FM151" i="12"/>
  <c r="ES151" i="12"/>
  <c r="ET150" i="12"/>
  <c r="EY152" i="12"/>
  <c r="EY154" i="12" s="1"/>
  <c r="EX154" i="12"/>
  <c r="FC151" i="12"/>
  <c r="FD150" i="12"/>
  <c r="EJ151" i="12"/>
  <c r="EK150" i="12"/>
  <c r="EO151" i="12"/>
  <c r="EP150" i="12"/>
  <c r="EF152" i="12"/>
  <c r="EF154" i="12" s="1"/>
  <c r="EE154" i="12"/>
  <c r="DQ151" i="12"/>
  <c r="DR150" i="12"/>
  <c r="EA151" i="12"/>
  <c r="EB150" i="12"/>
  <c r="DV151" i="12"/>
  <c r="DW150" i="12"/>
  <c r="DM151" i="12"/>
  <c r="DN150" i="12"/>
  <c r="DI152" i="12"/>
  <c r="DI154" i="12" s="1"/>
  <c r="DH154" i="12"/>
  <c r="DC151" i="12"/>
  <c r="DD150" i="12"/>
  <c r="CO151" i="12"/>
  <c r="CP150" i="12"/>
  <c r="CU152" i="12"/>
  <c r="CU154" i="12" s="1"/>
  <c r="CT154" i="12"/>
  <c r="CY151" i="12"/>
  <c r="CZ150" i="12"/>
  <c r="CG152" i="12"/>
  <c r="CG154" i="12" s="1"/>
  <c r="CF154" i="12"/>
  <c r="CA151" i="12"/>
  <c r="CB150" i="12"/>
  <c r="CK151" i="12"/>
  <c r="CL150" i="12"/>
  <c r="AI136" i="12"/>
  <c r="BY136" i="12"/>
  <c r="AW136" i="12"/>
  <c r="BK136" i="12"/>
  <c r="BM151" i="12"/>
  <c r="BN150" i="12"/>
  <c r="BW151" i="12"/>
  <c r="BX150" i="12"/>
  <c r="BR151" i="12"/>
  <c r="BS150" i="12"/>
  <c r="BD151" i="12"/>
  <c r="BE150" i="12"/>
  <c r="BI151" i="12"/>
  <c r="BJ150" i="12"/>
  <c r="AY151" i="12"/>
  <c r="AZ150" i="12"/>
  <c r="AK151" i="12"/>
  <c r="AL150" i="12"/>
  <c r="AU151" i="12"/>
  <c r="AV150" i="12"/>
  <c r="AP151" i="12"/>
  <c r="AQ150" i="12"/>
  <c r="AC152" i="12"/>
  <c r="AB154" i="12"/>
  <c r="W152" i="12"/>
  <c r="X151" i="12"/>
  <c r="C173" i="32" l="1"/>
  <c r="D172" i="32"/>
  <c r="E172" i="32"/>
  <c r="AH171" i="32"/>
  <c r="AG171" i="32"/>
  <c r="AF172" i="32"/>
  <c r="FL173" i="32"/>
  <c r="FM172" i="32"/>
  <c r="FN172" i="32"/>
  <c r="EL171" i="32"/>
  <c r="EK171" i="32"/>
  <c r="EJ172" i="32"/>
  <c r="GB172" i="32"/>
  <c r="FZ173" i="32"/>
  <c r="GA172" i="32"/>
  <c r="CT172" i="32"/>
  <c r="CU171" i="32"/>
  <c r="CV171" i="32"/>
  <c r="T171" i="32"/>
  <c r="R172" i="32"/>
  <c r="S171" i="32"/>
  <c r="DX172" i="32"/>
  <c r="DV173" i="32"/>
  <c r="DW172" i="32"/>
  <c r="DH173" i="32"/>
  <c r="DI172" i="32"/>
  <c r="DJ172" i="32"/>
  <c r="EZ172" i="32"/>
  <c r="EY172" i="32"/>
  <c r="EX173" i="32"/>
  <c r="DI173" i="13"/>
  <c r="DI175" i="13" s="1"/>
  <c r="DJ173" i="13"/>
  <c r="DJ175" i="13" s="1"/>
  <c r="DH175" i="13"/>
  <c r="DW173" i="13"/>
  <c r="DW175" i="13" s="1"/>
  <c r="DX173" i="13"/>
  <c r="DX175" i="13" s="1"/>
  <c r="DV175" i="13"/>
  <c r="EK173" i="13"/>
  <c r="EK175" i="13" s="1"/>
  <c r="EL173" i="13"/>
  <c r="EL175" i="13" s="1"/>
  <c r="EJ175" i="13"/>
  <c r="EY173" i="13"/>
  <c r="EY175" i="13" s="1"/>
  <c r="EZ173" i="13"/>
  <c r="EZ175" i="13" s="1"/>
  <c r="EX175" i="13"/>
  <c r="FM173" i="13"/>
  <c r="FM175" i="13" s="1"/>
  <c r="FN173" i="13"/>
  <c r="FN175" i="13" s="1"/>
  <c r="FL175" i="13"/>
  <c r="T172" i="13"/>
  <c r="S172" i="13"/>
  <c r="AU172" i="13"/>
  <c r="AG172" i="13"/>
  <c r="AF173" i="13"/>
  <c r="R173" i="13"/>
  <c r="GW152" i="12"/>
  <c r="GX151" i="12"/>
  <c r="HB152" i="12"/>
  <c r="HC151" i="12"/>
  <c r="GS152" i="12"/>
  <c r="GT151" i="12"/>
  <c r="GI152" i="12"/>
  <c r="GJ151" i="12"/>
  <c r="GF151" i="12"/>
  <c r="GE152" i="12"/>
  <c r="FU152" i="12"/>
  <c r="FV151" i="12"/>
  <c r="FG152" i="12"/>
  <c r="FH151" i="12"/>
  <c r="FM152" i="12"/>
  <c r="FM154" i="12" s="1"/>
  <c r="FL154" i="12"/>
  <c r="FR151" i="12"/>
  <c r="FQ152" i="12"/>
  <c r="ES152" i="12"/>
  <c r="ET151" i="12"/>
  <c r="FC152" i="12"/>
  <c r="FD151" i="12"/>
  <c r="EO152" i="12"/>
  <c r="EP151" i="12"/>
  <c r="EJ152" i="12"/>
  <c r="EK151" i="12"/>
  <c r="EA152" i="12"/>
  <c r="EB151" i="12"/>
  <c r="DV152" i="12"/>
  <c r="DW151" i="12"/>
  <c r="DQ152" i="12"/>
  <c r="DR151" i="12"/>
  <c r="DC152" i="12"/>
  <c r="DD151" i="12"/>
  <c r="DM152" i="12"/>
  <c r="DN151" i="12"/>
  <c r="CY152" i="12"/>
  <c r="CZ151" i="12"/>
  <c r="CO152" i="12"/>
  <c r="CP151" i="12"/>
  <c r="CA152" i="12"/>
  <c r="CB151" i="12"/>
  <c r="CK152" i="12"/>
  <c r="CL151" i="12"/>
  <c r="BK137" i="12"/>
  <c r="BY137" i="12"/>
  <c r="AW137" i="12"/>
  <c r="AI137" i="12"/>
  <c r="AC154" i="12"/>
  <c r="BR152" i="12"/>
  <c r="BS151" i="12"/>
  <c r="BW152" i="12"/>
  <c r="BX151" i="12"/>
  <c r="BM152" i="12"/>
  <c r="BN151" i="12"/>
  <c r="BD152" i="12"/>
  <c r="BE151" i="12"/>
  <c r="BI152" i="12"/>
  <c r="BJ151" i="12"/>
  <c r="AY152" i="12"/>
  <c r="AZ151" i="12"/>
  <c r="AU152" i="12"/>
  <c r="AV151" i="12"/>
  <c r="AP152" i="12"/>
  <c r="AQ151" i="12"/>
  <c r="AK152" i="12"/>
  <c r="AL151" i="12"/>
  <c r="X152" i="12"/>
  <c r="W154" i="12"/>
  <c r="E173" i="32" l="1"/>
  <c r="E175" i="32" s="1"/>
  <c r="C183" i="32" s="1"/>
  <c r="D173" i="32"/>
  <c r="D175" i="32" s="1"/>
  <c r="C182" i="32" s="1"/>
  <c r="E182" i="32" s="1"/>
  <c r="G182" i="32" s="1"/>
  <c r="C175" i="32"/>
  <c r="C181" i="32" s="1"/>
  <c r="T172" i="32"/>
  <c r="R173" i="32"/>
  <c r="S172" i="32"/>
  <c r="CV172" i="32"/>
  <c r="CT173" i="32"/>
  <c r="CU172" i="32"/>
  <c r="EL172" i="32"/>
  <c r="EJ173" i="32"/>
  <c r="EK172" i="32"/>
  <c r="DW173" i="32"/>
  <c r="DW175" i="32" s="1"/>
  <c r="DX182" i="32" s="1"/>
  <c r="DZ182" i="32" s="1"/>
  <c r="DX173" i="32"/>
  <c r="DX175" i="32" s="1"/>
  <c r="DV183" i="32" s="1"/>
  <c r="DV175" i="32"/>
  <c r="DV181" i="32" s="1"/>
  <c r="FN173" i="32"/>
  <c r="FN175" i="32" s="1"/>
  <c r="FL183" i="32" s="1"/>
  <c r="FM173" i="32"/>
  <c r="FM175" i="32" s="1"/>
  <c r="FN182" i="32" s="1"/>
  <c r="FP182" i="32" s="1"/>
  <c r="FL175" i="32"/>
  <c r="FL181" i="32" s="1"/>
  <c r="DJ173" i="32"/>
  <c r="DJ175" i="32" s="1"/>
  <c r="DH183" i="32" s="1"/>
  <c r="DI173" i="32"/>
  <c r="DI175" i="32" s="1"/>
  <c r="DJ182" i="32" s="1"/>
  <c r="DL182" i="32" s="1"/>
  <c r="DH175" i="32"/>
  <c r="DH181" i="32" s="1"/>
  <c r="EZ173" i="32"/>
  <c r="EZ175" i="32" s="1"/>
  <c r="EX183" i="32" s="1"/>
  <c r="EY173" i="32"/>
  <c r="EY175" i="32" s="1"/>
  <c r="EZ182" i="32" s="1"/>
  <c r="FB182" i="32" s="1"/>
  <c r="EX175" i="32"/>
  <c r="EX181" i="32" s="1"/>
  <c r="GA173" i="32"/>
  <c r="GA175" i="32" s="1"/>
  <c r="GB182" i="32" s="1"/>
  <c r="GD182" i="32" s="1"/>
  <c r="GB173" i="32"/>
  <c r="GB175" i="32" s="1"/>
  <c r="FZ183" i="32" s="1"/>
  <c r="FZ175" i="32"/>
  <c r="FZ181" i="32" s="1"/>
  <c r="AH172" i="32"/>
  <c r="AF173" i="32"/>
  <c r="AG172" i="32"/>
  <c r="T173" i="13"/>
  <c r="T175" i="13" s="1"/>
  <c r="R183" i="13" s="1"/>
  <c r="S173" i="13"/>
  <c r="S175" i="13" s="1"/>
  <c r="R182" i="13" s="1"/>
  <c r="AU173" i="13"/>
  <c r="AU175" i="13" s="1"/>
  <c r="AT175" i="13"/>
  <c r="AG173" i="13"/>
  <c r="AG175" i="13" s="1"/>
  <c r="AF175" i="13"/>
  <c r="R175" i="13"/>
  <c r="R181" i="13" s="1"/>
  <c r="GX152" i="12"/>
  <c r="GX154" i="12" s="1"/>
  <c r="GW154" i="12"/>
  <c r="HC152" i="12"/>
  <c r="HC154" i="12" s="1"/>
  <c r="HB154" i="12"/>
  <c r="GJ152" i="12"/>
  <c r="GJ154" i="12" s="1"/>
  <c r="GI154" i="12"/>
  <c r="GT152" i="12"/>
  <c r="GT154" i="12" s="1"/>
  <c r="GS154" i="12"/>
  <c r="FV152" i="12"/>
  <c r="FV154" i="12" s="1"/>
  <c r="FU154" i="12"/>
  <c r="GF152" i="12"/>
  <c r="GF154" i="12" s="1"/>
  <c r="GE154" i="12"/>
  <c r="FR152" i="12"/>
  <c r="FR154" i="12" s="1"/>
  <c r="FQ154" i="12"/>
  <c r="FH152" i="12"/>
  <c r="FH154" i="12" s="1"/>
  <c r="FG154" i="12"/>
  <c r="ET152" i="12"/>
  <c r="ET154" i="12" s="1"/>
  <c r="ES154" i="12"/>
  <c r="FD152" i="12"/>
  <c r="FD154" i="12" s="1"/>
  <c r="FC154" i="12"/>
  <c r="EP152" i="12"/>
  <c r="EP154" i="12" s="1"/>
  <c r="EO154" i="12"/>
  <c r="EK152" i="12"/>
  <c r="EK154" i="12" s="1"/>
  <c r="EJ154" i="12"/>
  <c r="DW152" i="12"/>
  <c r="DW154" i="12" s="1"/>
  <c r="DV154" i="12"/>
  <c r="DR152" i="12"/>
  <c r="DR154" i="12" s="1"/>
  <c r="DQ154" i="12"/>
  <c r="EB152" i="12"/>
  <c r="EB154" i="12" s="1"/>
  <c r="EA154" i="12"/>
  <c r="DN152" i="12"/>
  <c r="DN154" i="12" s="1"/>
  <c r="DM154" i="12"/>
  <c r="DD152" i="12"/>
  <c r="DD154" i="12" s="1"/>
  <c r="DC154" i="12"/>
  <c r="CP152" i="12"/>
  <c r="CP154" i="12" s="1"/>
  <c r="CO154" i="12"/>
  <c r="CZ152" i="12"/>
  <c r="CZ154" i="12" s="1"/>
  <c r="CY154" i="12"/>
  <c r="CL152" i="12"/>
  <c r="CL154" i="12" s="1"/>
  <c r="CK154" i="12"/>
  <c r="CB152" i="12"/>
  <c r="CB154" i="12" s="1"/>
  <c r="CA154" i="12"/>
  <c r="T154" i="12"/>
  <c r="BY138" i="12"/>
  <c r="AW138" i="12"/>
  <c r="AI138" i="12"/>
  <c r="BK138" i="12"/>
  <c r="X154" i="12"/>
  <c r="BS152" i="12"/>
  <c r="BS154" i="12" s="1"/>
  <c r="BR154" i="12"/>
  <c r="BX152" i="12"/>
  <c r="BX154" i="12" s="1"/>
  <c r="BW154" i="12"/>
  <c r="BN152" i="12"/>
  <c r="BN154" i="12" s="1"/>
  <c r="BM154" i="12"/>
  <c r="BE152" i="12"/>
  <c r="BE154" i="12" s="1"/>
  <c r="BD154" i="12"/>
  <c r="BJ152" i="12"/>
  <c r="BJ154" i="12" s="1"/>
  <c r="BI154" i="12"/>
  <c r="AZ152" i="12"/>
  <c r="AZ154" i="12" s="1"/>
  <c r="AY154" i="12"/>
  <c r="AQ152" i="12"/>
  <c r="AQ154" i="12" s="1"/>
  <c r="AP154" i="12"/>
  <c r="AL152" i="12"/>
  <c r="AL154" i="12" s="1"/>
  <c r="AK154" i="12"/>
  <c r="AV152" i="12"/>
  <c r="AV154" i="12" s="1"/>
  <c r="AU154" i="12"/>
  <c r="CV173" i="32" l="1"/>
  <c r="CV175" i="32" s="1"/>
  <c r="CU173" i="32"/>
  <c r="CU175" i="32" s="1"/>
  <c r="CV182" i="32" s="1"/>
  <c r="CX182" i="32" s="1"/>
  <c r="CT175" i="32"/>
  <c r="CT181" i="32" s="1"/>
  <c r="AH173" i="32"/>
  <c r="AH175" i="32" s="1"/>
  <c r="AF183" i="32" s="1"/>
  <c r="AG173" i="32"/>
  <c r="AG175" i="32" s="1"/>
  <c r="AF182" i="32" s="1"/>
  <c r="AH182" i="32" s="1"/>
  <c r="AJ182" i="32" s="1"/>
  <c r="AF175" i="32"/>
  <c r="AF181" i="32" s="1"/>
  <c r="EL173" i="32"/>
  <c r="EL175" i="32" s="1"/>
  <c r="EJ183" i="32" s="1"/>
  <c r="EK173" i="32"/>
  <c r="EK175" i="32" s="1"/>
  <c r="EL182" i="32" s="1"/>
  <c r="EN182" i="32" s="1"/>
  <c r="EJ175" i="32"/>
  <c r="EJ181" i="32" s="1"/>
  <c r="S173" i="32"/>
  <c r="S175" i="32" s="1"/>
  <c r="R182" i="32" s="1"/>
  <c r="T182" i="32" s="1"/>
  <c r="V182" i="32" s="1"/>
  <c r="T173" i="32"/>
  <c r="T175" i="32" s="1"/>
  <c r="R183" i="32" s="1"/>
  <c r="R175" i="32"/>
  <c r="R181" i="32" s="1"/>
  <c r="AI140" i="12"/>
  <c r="AI154" i="12" s="1"/>
  <c r="BY140" i="12"/>
  <c r="BY154" i="12" s="1"/>
  <c r="AW140" i="12"/>
  <c r="AW154" i="12" s="1"/>
  <c r="BK140" i="12"/>
  <c r="BK154" i="12" s="1"/>
  <c r="S154" i="12"/>
  <c r="AZ8" i="24" l="1"/>
  <c r="AZ9" i="24"/>
  <c r="AZ10" i="24"/>
  <c r="AZ11" i="24"/>
  <c r="AZ12" i="24"/>
  <c r="AZ13" i="24"/>
  <c r="AZ14" i="24"/>
  <c r="AZ15" i="24"/>
  <c r="AZ16" i="24"/>
  <c r="AZ17" i="24"/>
  <c r="AZ18" i="24"/>
  <c r="AZ19" i="24"/>
  <c r="AZ20" i="24"/>
  <c r="AZ7" i="24"/>
  <c r="AX7" i="24"/>
  <c r="AX8" i="24"/>
  <c r="AX9" i="24"/>
  <c r="AX10" i="24"/>
  <c r="AX11" i="24"/>
  <c r="AX12" i="24"/>
  <c r="AX13" i="24"/>
  <c r="AX14" i="24"/>
  <c r="AX15" i="24"/>
  <c r="AX16" i="24"/>
  <c r="AX17" i="24"/>
  <c r="AX18" i="24"/>
  <c r="AX19" i="24"/>
  <c r="AX20" i="24"/>
  <c r="AX6" i="24"/>
  <c r="L5" i="31"/>
  <c r="L6" i="31"/>
  <c r="L7" i="31"/>
  <c r="L8" i="31"/>
  <c r="L4" i="31"/>
  <c r="T7" i="31"/>
  <c r="V7" i="31"/>
  <c r="AD7" i="31"/>
  <c r="K5" i="31"/>
  <c r="K6" i="31"/>
  <c r="K8" i="31"/>
  <c r="K4" i="31"/>
  <c r="N36" i="31" l="1"/>
  <c r="AC8" i="31"/>
  <c r="AC7" i="31"/>
  <c r="AC6" i="31"/>
  <c r="AC5" i="31"/>
  <c r="AC4" i="31"/>
  <c r="AG4" i="31"/>
  <c r="I4" i="31"/>
  <c r="I5" i="31"/>
  <c r="H329" i="3"/>
  <c r="H330" i="3"/>
  <c r="H331" i="3"/>
  <c r="H332" i="3"/>
  <c r="H333" i="3"/>
  <c r="H334" i="3"/>
  <c r="H335" i="3"/>
  <c r="H328" i="3"/>
  <c r="GW104" i="13"/>
  <c r="GW101" i="13"/>
  <c r="GW102" i="13" s="1"/>
  <c r="GG107" i="13"/>
  <c r="GA104" i="13" s="1"/>
  <c r="GD104" i="13" s="1"/>
  <c r="FZ104" i="13"/>
  <c r="FS107" i="13"/>
  <c r="FM104" i="13" s="1"/>
  <c r="FP104" i="13" s="1"/>
  <c r="FL104" i="13"/>
  <c r="CO110" i="13"/>
  <c r="FE107" i="13"/>
  <c r="EY104" i="13" s="1"/>
  <c r="FB104" i="13" s="1"/>
  <c r="EX104" i="13"/>
  <c r="EQ107" i="13"/>
  <c r="EK104" i="13" s="1"/>
  <c r="EN104" i="13" s="1"/>
  <c r="EJ104" i="13"/>
  <c r="EC107" i="13"/>
  <c r="DW104" i="13" s="1"/>
  <c r="DZ104" i="13" s="1"/>
  <c r="DV104" i="13"/>
  <c r="DO107" i="13"/>
  <c r="DI104" i="13" s="1"/>
  <c r="DL104" i="13" s="1"/>
  <c r="DA107" i="13"/>
  <c r="CU104" i="13" s="1"/>
  <c r="CS102" i="13"/>
  <c r="CT103" i="13"/>
  <c r="CU103" i="13"/>
  <c r="CV103" i="13"/>
  <c r="CW103" i="13"/>
  <c r="CX103" i="13"/>
  <c r="CT104" i="13"/>
  <c r="F329" i="3"/>
  <c r="F330" i="3"/>
  <c r="F331" i="3"/>
  <c r="F332" i="3"/>
  <c r="F333" i="3"/>
  <c r="F334" i="3"/>
  <c r="F335" i="3"/>
  <c r="F328" i="3"/>
  <c r="H326" i="3"/>
  <c r="H320" i="3"/>
  <c r="H321" i="3"/>
  <c r="H322" i="3"/>
  <c r="H323" i="3"/>
  <c r="H324" i="3"/>
  <c r="L317" i="3"/>
  <c r="K317" i="3"/>
  <c r="Z172" i="3"/>
  <c r="Z173" i="3"/>
  <c r="Z171" i="3"/>
  <c r="AX191" i="16"/>
  <c r="Y193" i="16"/>
  <c r="Y195" i="16"/>
  <c r="P11" i="16"/>
  <c r="Y22" i="16"/>
  <c r="B19" i="16"/>
  <c r="W19" i="16"/>
  <c r="K10" i="8" l="1"/>
  <c r="L19" i="8"/>
  <c r="L18" i="8"/>
  <c r="L17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I4" i="8"/>
  <c r="J4" i="8"/>
  <c r="K4" i="8"/>
  <c r="L4" i="8"/>
  <c r="M4" i="8"/>
  <c r="N4" i="8"/>
  <c r="O4" i="8"/>
  <c r="P4" i="8"/>
  <c r="Q4" i="8"/>
  <c r="R4" i="8"/>
  <c r="H4" i="8"/>
  <c r="H5" i="8" s="1"/>
  <c r="P277" i="3"/>
  <c r="P282" i="3"/>
  <c r="GP20" i="13"/>
  <c r="AA7" i="2"/>
  <c r="H7" i="2"/>
  <c r="H12" i="8" l="1"/>
  <c r="DQ92" i="4"/>
  <c r="C28" i="8" l="1"/>
  <c r="I7" i="8"/>
  <c r="P6" i="8"/>
  <c r="GP112" i="13"/>
  <c r="AE96" i="18"/>
  <c r="Q23" i="31" l="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22" i="31"/>
  <c r="Q19" i="31"/>
  <c r="R19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22" i="31"/>
  <c r="N19" i="31"/>
  <c r="L35" i="31"/>
  <c r="L36" i="31"/>
  <c r="L34" i="31"/>
  <c r="J36" i="31"/>
  <c r="J35" i="31"/>
  <c r="K22" i="31"/>
  <c r="L22" i="31"/>
  <c r="K23" i="31"/>
  <c r="L23" i="31"/>
  <c r="K24" i="31"/>
  <c r="L24" i="31"/>
  <c r="K25" i="31"/>
  <c r="L25" i="31"/>
  <c r="K26" i="31"/>
  <c r="L26" i="31"/>
  <c r="K27" i="31"/>
  <c r="L27" i="31"/>
  <c r="K28" i="31"/>
  <c r="L28" i="31"/>
  <c r="K29" i="31"/>
  <c r="L29" i="31"/>
  <c r="K30" i="31"/>
  <c r="L30" i="31"/>
  <c r="K31" i="31"/>
  <c r="L31" i="31"/>
  <c r="K32" i="31"/>
  <c r="L32" i="31"/>
  <c r="K33" i="31"/>
  <c r="L33" i="31"/>
  <c r="K35" i="31"/>
  <c r="K36" i="31"/>
  <c r="K34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22" i="31"/>
  <c r="J21" i="31"/>
  <c r="K21" i="31"/>
  <c r="L21" i="31"/>
  <c r="E57" i="20"/>
  <c r="Z78" i="20" s="1"/>
  <c r="CG110" i="13"/>
  <c r="CH110" i="13"/>
  <c r="Y116" i="13"/>
  <c r="Y117" i="13"/>
  <c r="Y118" i="13"/>
  <c r="Y119" i="13"/>
  <c r="Y120" i="13"/>
  <c r="Y121" i="13"/>
  <c r="Y122" i="13"/>
  <c r="GW107" i="13"/>
  <c r="GQ105" i="13" s="1"/>
  <c r="CG112" i="13"/>
  <c r="GT130" i="13"/>
  <c r="GR126" i="13"/>
  <c r="GS126" i="13" s="1"/>
  <c r="GT126" i="13" s="1"/>
  <c r="GT127" i="13" s="1"/>
  <c r="GR125" i="13"/>
  <c r="GS125" i="13" s="1"/>
  <c r="GQ117" i="13"/>
  <c r="CI124" i="13"/>
  <c r="GR105" i="13"/>
  <c r="GS105" i="13" s="1"/>
  <c r="N100" i="12"/>
  <c r="N116" i="12" s="1"/>
  <c r="O99" i="12"/>
  <c r="O100" i="12" s="1"/>
  <c r="O116" i="12" s="1"/>
  <c r="J101" i="12"/>
  <c r="C176" i="1"/>
  <c r="C164" i="1"/>
  <c r="C167" i="1"/>
  <c r="AH278" i="6"/>
  <c r="AI278" i="6"/>
  <c r="AO278" i="6" s="1"/>
  <c r="AJ278" i="6"/>
  <c r="AP278" i="6" s="1"/>
  <c r="AK278" i="6"/>
  <c r="AL278" i="6"/>
  <c r="AL277" i="6"/>
  <c r="AK277" i="6"/>
  <c r="AJ277" i="6"/>
  <c r="AP277" i="6" s="1"/>
  <c r="AI277" i="6"/>
  <c r="AO277" i="6" s="1"/>
  <c r="AH277" i="6"/>
  <c r="AL276" i="6"/>
  <c r="AK276" i="6"/>
  <c r="AJ276" i="6"/>
  <c r="AP276" i="6" s="1"/>
  <c r="AI276" i="6"/>
  <c r="AO276" i="6" s="1"/>
  <c r="AH276" i="6"/>
  <c r="AL275" i="6"/>
  <c r="AK275" i="6"/>
  <c r="AJ275" i="6"/>
  <c r="AP275" i="6" s="1"/>
  <c r="AI275" i="6"/>
  <c r="AO275" i="6" s="1"/>
  <c r="AH275" i="6"/>
  <c r="AL274" i="6"/>
  <c r="AK274" i="6"/>
  <c r="AJ274" i="6"/>
  <c r="AP274" i="6" s="1"/>
  <c r="AI274" i="6"/>
  <c r="AO274" i="6" s="1"/>
  <c r="AH274" i="6"/>
  <c r="AL273" i="6"/>
  <c r="AK273" i="6"/>
  <c r="AJ273" i="6"/>
  <c r="AP273" i="6" s="1"/>
  <c r="AI273" i="6"/>
  <c r="AO273" i="6" s="1"/>
  <c r="AH273" i="6"/>
  <c r="AL272" i="6"/>
  <c r="AK272" i="6"/>
  <c r="AJ272" i="6"/>
  <c r="AP272" i="6" s="1"/>
  <c r="AI272" i="6"/>
  <c r="AO272" i="6" s="1"/>
  <c r="AH272" i="6"/>
  <c r="AL271" i="6"/>
  <c r="AK271" i="6"/>
  <c r="AJ271" i="6"/>
  <c r="AP271" i="6" s="1"/>
  <c r="AI271" i="6"/>
  <c r="AO271" i="6" s="1"/>
  <c r="AH271" i="6"/>
  <c r="AL270" i="6"/>
  <c r="AK270" i="6"/>
  <c r="AJ270" i="6"/>
  <c r="AP270" i="6" s="1"/>
  <c r="AI270" i="6"/>
  <c r="AO270" i="6" s="1"/>
  <c r="AH270" i="6"/>
  <c r="AL269" i="6"/>
  <c r="AK269" i="6"/>
  <c r="AJ269" i="6"/>
  <c r="AP269" i="6" s="1"/>
  <c r="AI269" i="6"/>
  <c r="AO269" i="6" s="1"/>
  <c r="AH269" i="6"/>
  <c r="AL268" i="6"/>
  <c r="AK268" i="6"/>
  <c r="AJ268" i="6"/>
  <c r="AP268" i="6" s="1"/>
  <c r="AI268" i="6"/>
  <c r="AO268" i="6" s="1"/>
  <c r="AH268" i="6"/>
  <c r="AL267" i="6"/>
  <c r="AK267" i="6"/>
  <c r="AJ267" i="6"/>
  <c r="AP267" i="6" s="1"/>
  <c r="AI267" i="6"/>
  <c r="AO267" i="6" s="1"/>
  <c r="AH267" i="6"/>
  <c r="AL266" i="6"/>
  <c r="AK266" i="6"/>
  <c r="AJ266" i="6"/>
  <c r="AP266" i="6" s="1"/>
  <c r="AI266" i="6"/>
  <c r="AO266" i="6" s="1"/>
  <c r="AH266" i="6"/>
  <c r="AL265" i="6"/>
  <c r="AK265" i="6"/>
  <c r="AJ265" i="6"/>
  <c r="AP265" i="6" s="1"/>
  <c r="AI265" i="6"/>
  <c r="AO265" i="6" s="1"/>
  <c r="AH265" i="6"/>
  <c r="AL264" i="6"/>
  <c r="AK264" i="6"/>
  <c r="AJ264" i="6"/>
  <c r="AP264" i="6" s="1"/>
  <c r="AI264" i="6"/>
  <c r="AO264" i="6" s="1"/>
  <c r="AH264" i="6"/>
  <c r="C262" i="6"/>
  <c r="D263" i="6"/>
  <c r="D264" i="6"/>
  <c r="E264" i="6"/>
  <c r="F264" i="6"/>
  <c r="G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80" i="6"/>
  <c r="B281" i="6"/>
  <c r="C281" i="6"/>
  <c r="D281" i="6"/>
  <c r="E281" i="6"/>
  <c r="B282" i="6"/>
  <c r="E282" i="6"/>
  <c r="B283" i="6"/>
  <c r="E283" i="6"/>
  <c r="B284" i="6"/>
  <c r="E284" i="6"/>
  <c r="B285" i="6"/>
  <c r="E285" i="6"/>
  <c r="B286" i="6"/>
  <c r="E286" i="6"/>
  <c r="B287" i="6"/>
  <c r="E287" i="6"/>
  <c r="B288" i="6"/>
  <c r="E288" i="6"/>
  <c r="B289" i="6"/>
  <c r="E289" i="6"/>
  <c r="B290" i="6"/>
  <c r="E290" i="6"/>
  <c r="B291" i="6"/>
  <c r="E291" i="6"/>
  <c r="B292" i="6"/>
  <c r="E292" i="6"/>
  <c r="B293" i="6"/>
  <c r="E293" i="6"/>
  <c r="B294" i="6"/>
  <c r="E294" i="6"/>
  <c r="B295" i="6"/>
  <c r="E295" i="6"/>
  <c r="AG5" i="31"/>
  <c r="AG6" i="31"/>
  <c r="AG8" i="31"/>
  <c r="AF5" i="31"/>
  <c r="AF6" i="31"/>
  <c r="AF8" i="31"/>
  <c r="AF4" i="31"/>
  <c r="AD5" i="31"/>
  <c r="AD6" i="31"/>
  <c r="AD8" i="31"/>
  <c r="AD4" i="31"/>
  <c r="AB5" i="31"/>
  <c r="AB6" i="31"/>
  <c r="AB7" i="31"/>
  <c r="AG7" i="31" s="1"/>
  <c r="AB8" i="31"/>
  <c r="AB4" i="31"/>
  <c r="V5" i="31"/>
  <c r="V6" i="31"/>
  <c r="V8" i="31"/>
  <c r="V4" i="31"/>
  <c r="T4" i="31"/>
  <c r="T5" i="31"/>
  <c r="T6" i="31"/>
  <c r="T8" i="31"/>
  <c r="N7" i="31"/>
  <c r="G6" i="31"/>
  <c r="I6" i="31"/>
  <c r="AJ284" i="5"/>
  <c r="AI284" i="5"/>
  <c r="AH284" i="5"/>
  <c r="AN284" i="5" s="1"/>
  <c r="AG284" i="5"/>
  <c r="AM284" i="5" s="1"/>
  <c r="AF284" i="5"/>
  <c r="AJ283" i="5"/>
  <c r="AI283" i="5"/>
  <c r="AH283" i="5"/>
  <c r="AN283" i="5" s="1"/>
  <c r="AG283" i="5"/>
  <c r="AM283" i="5" s="1"/>
  <c r="AF283" i="5"/>
  <c r="AJ282" i="5"/>
  <c r="AI282" i="5"/>
  <c r="AH282" i="5"/>
  <c r="AN282" i="5" s="1"/>
  <c r="AG282" i="5"/>
  <c r="AM282" i="5" s="1"/>
  <c r="AF282" i="5"/>
  <c r="AJ281" i="5"/>
  <c r="AI281" i="5"/>
  <c r="AH281" i="5"/>
  <c r="AN281" i="5" s="1"/>
  <c r="AG281" i="5"/>
  <c r="AM281" i="5" s="1"/>
  <c r="AF281" i="5"/>
  <c r="AJ280" i="5"/>
  <c r="AI280" i="5"/>
  <c r="AH280" i="5"/>
  <c r="AN280" i="5" s="1"/>
  <c r="AG280" i="5"/>
  <c r="AM280" i="5" s="1"/>
  <c r="AF280" i="5"/>
  <c r="AJ279" i="5"/>
  <c r="AI279" i="5"/>
  <c r="AH279" i="5"/>
  <c r="AN279" i="5" s="1"/>
  <c r="AG279" i="5"/>
  <c r="AM279" i="5" s="1"/>
  <c r="AF279" i="5"/>
  <c r="AJ278" i="5"/>
  <c r="AI278" i="5"/>
  <c r="AH278" i="5"/>
  <c r="AN278" i="5" s="1"/>
  <c r="AG278" i="5"/>
  <c r="AM278" i="5" s="1"/>
  <c r="AF278" i="5"/>
  <c r="AJ277" i="5"/>
  <c r="AI277" i="5"/>
  <c r="AH277" i="5"/>
  <c r="AN277" i="5" s="1"/>
  <c r="AG277" i="5"/>
  <c r="AM277" i="5" s="1"/>
  <c r="AF277" i="5"/>
  <c r="AJ276" i="5"/>
  <c r="AI276" i="5"/>
  <c r="AH276" i="5"/>
  <c r="AN276" i="5" s="1"/>
  <c r="AG276" i="5"/>
  <c r="AM276" i="5" s="1"/>
  <c r="AF276" i="5"/>
  <c r="AJ275" i="5"/>
  <c r="AI275" i="5"/>
  <c r="AH275" i="5"/>
  <c r="AN275" i="5" s="1"/>
  <c r="AG275" i="5"/>
  <c r="AM275" i="5" s="1"/>
  <c r="AF275" i="5"/>
  <c r="AJ274" i="5"/>
  <c r="AI274" i="5"/>
  <c r="AH274" i="5"/>
  <c r="AN274" i="5" s="1"/>
  <c r="AG274" i="5"/>
  <c r="AM274" i="5" s="1"/>
  <c r="AF274" i="5"/>
  <c r="AJ273" i="5"/>
  <c r="AI273" i="5"/>
  <c r="AH273" i="5"/>
  <c r="AN273" i="5" s="1"/>
  <c r="AG273" i="5"/>
  <c r="AM273" i="5" s="1"/>
  <c r="AF273" i="5"/>
  <c r="AJ272" i="5"/>
  <c r="AI272" i="5"/>
  <c r="AH272" i="5"/>
  <c r="AN272" i="5" s="1"/>
  <c r="AG272" i="5"/>
  <c r="AM272" i="5" s="1"/>
  <c r="AF272" i="5"/>
  <c r="AJ271" i="5"/>
  <c r="AI271" i="5"/>
  <c r="AH271" i="5"/>
  <c r="AN271" i="5" s="1"/>
  <c r="AG271" i="5"/>
  <c r="AM271" i="5" s="1"/>
  <c r="AF271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F250" i="5"/>
  <c r="AG250" i="5"/>
  <c r="AM250" i="5" s="1"/>
  <c r="AH250" i="5"/>
  <c r="AN250" i="5" s="1"/>
  <c r="AI250" i="5"/>
  <c r="AF251" i="5"/>
  <c r="AG251" i="5"/>
  <c r="AM251" i="5" s="1"/>
  <c r="AH251" i="5"/>
  <c r="AN251" i="5" s="1"/>
  <c r="AI251" i="5"/>
  <c r="AF252" i="5"/>
  <c r="AG252" i="5"/>
  <c r="AM252" i="5" s="1"/>
  <c r="AH252" i="5"/>
  <c r="AN252" i="5" s="1"/>
  <c r="AI252" i="5"/>
  <c r="AF253" i="5"/>
  <c r="AG253" i="5"/>
  <c r="AM253" i="5" s="1"/>
  <c r="AH253" i="5"/>
  <c r="AN253" i="5" s="1"/>
  <c r="AI253" i="5"/>
  <c r="AF254" i="5"/>
  <c r="AG254" i="5"/>
  <c r="AM254" i="5" s="1"/>
  <c r="AH254" i="5"/>
  <c r="AN254" i="5" s="1"/>
  <c r="AI254" i="5"/>
  <c r="AF255" i="5"/>
  <c r="AG255" i="5"/>
  <c r="AM255" i="5" s="1"/>
  <c r="AH255" i="5"/>
  <c r="AN255" i="5" s="1"/>
  <c r="AI255" i="5"/>
  <c r="AF256" i="5"/>
  <c r="AG256" i="5"/>
  <c r="AM256" i="5" s="1"/>
  <c r="AH256" i="5"/>
  <c r="AN256" i="5" s="1"/>
  <c r="AI256" i="5"/>
  <c r="AF257" i="5"/>
  <c r="AG257" i="5"/>
  <c r="AM257" i="5" s="1"/>
  <c r="AH257" i="5"/>
  <c r="AN257" i="5" s="1"/>
  <c r="AI257" i="5"/>
  <c r="AF258" i="5"/>
  <c r="AG258" i="5"/>
  <c r="AM258" i="5" s="1"/>
  <c r="AH258" i="5"/>
  <c r="AN258" i="5" s="1"/>
  <c r="AI258" i="5"/>
  <c r="AF259" i="5"/>
  <c r="AG259" i="5"/>
  <c r="AM259" i="5" s="1"/>
  <c r="AH259" i="5"/>
  <c r="AN259" i="5" s="1"/>
  <c r="AI259" i="5"/>
  <c r="AF260" i="5"/>
  <c r="AG260" i="5"/>
  <c r="AM260" i="5" s="1"/>
  <c r="AH260" i="5"/>
  <c r="AN260" i="5" s="1"/>
  <c r="AI260" i="5"/>
  <c r="AF261" i="5"/>
  <c r="AG261" i="5"/>
  <c r="AM261" i="5" s="1"/>
  <c r="AH261" i="5"/>
  <c r="AN261" i="5" s="1"/>
  <c r="AI261" i="5"/>
  <c r="I144" i="4"/>
  <c r="H144" i="4"/>
  <c r="V148" i="4"/>
  <c r="DQ141" i="4"/>
  <c r="DQ135" i="4"/>
  <c r="DQ131" i="4"/>
  <c r="DQ127" i="4"/>
  <c r="I268" i="5"/>
  <c r="J270" i="5"/>
  <c r="K270" i="5"/>
  <c r="I254" i="5"/>
  <c r="D315" i="5"/>
  <c r="K284" i="5" s="1"/>
  <c r="N284" i="5" s="1"/>
  <c r="Q284" i="5" s="1"/>
  <c r="T284" i="5" s="1"/>
  <c r="W284" i="5" s="1"/>
  <c r="B281" i="5"/>
  <c r="B301" i="5" s="1"/>
  <c r="C281" i="5"/>
  <c r="D281" i="5"/>
  <c r="E281" i="5"/>
  <c r="B282" i="5"/>
  <c r="B302" i="5" s="1"/>
  <c r="B283" i="5"/>
  <c r="B303" i="5" s="1"/>
  <c r="B284" i="5"/>
  <c r="B304" i="5" s="1"/>
  <c r="B285" i="5"/>
  <c r="B305" i="5" s="1"/>
  <c r="B286" i="5"/>
  <c r="B306" i="5" s="1"/>
  <c r="B287" i="5"/>
  <c r="B307" i="5" s="1"/>
  <c r="B288" i="5"/>
  <c r="B308" i="5" s="1"/>
  <c r="I277" i="5" s="1"/>
  <c r="B289" i="5"/>
  <c r="B290" i="5"/>
  <c r="B309" i="5" s="1"/>
  <c r="B291" i="5"/>
  <c r="B310" i="5" s="1"/>
  <c r="B292" i="5"/>
  <c r="B311" i="5" s="1"/>
  <c r="I280" i="5" s="1"/>
  <c r="B293" i="5"/>
  <c r="B312" i="5" s="1"/>
  <c r="B294" i="5"/>
  <c r="B313" i="5" s="1"/>
  <c r="B295" i="5"/>
  <c r="B314" i="5" s="1"/>
  <c r="B296" i="5"/>
  <c r="B315" i="5" s="1"/>
  <c r="I284" i="5" s="1"/>
  <c r="B265" i="5"/>
  <c r="C282" i="6" s="1"/>
  <c r="C265" i="5"/>
  <c r="D282" i="6" s="1"/>
  <c r="B266" i="5"/>
  <c r="C266" i="5"/>
  <c r="B267" i="5"/>
  <c r="C284" i="6" s="1"/>
  <c r="C267" i="5"/>
  <c r="D284" i="6" s="1"/>
  <c r="B268" i="5"/>
  <c r="C268" i="5"/>
  <c r="B269" i="5"/>
  <c r="C286" i="6" s="1"/>
  <c r="C269" i="5"/>
  <c r="D286" i="6" s="1"/>
  <c r="B270" i="5"/>
  <c r="C270" i="5"/>
  <c r="F270" i="5" s="1"/>
  <c r="G287" i="6" s="1"/>
  <c r="B271" i="5"/>
  <c r="C288" i="6" s="1"/>
  <c r="C271" i="5"/>
  <c r="D288" i="6" s="1"/>
  <c r="B272" i="5"/>
  <c r="C272" i="5"/>
  <c r="B273" i="5"/>
  <c r="C290" i="6" s="1"/>
  <c r="C273" i="5"/>
  <c r="D290" i="6" s="1"/>
  <c r="B274" i="5"/>
  <c r="C274" i="5"/>
  <c r="B275" i="5"/>
  <c r="C292" i="6" s="1"/>
  <c r="C275" i="5"/>
  <c r="D292" i="6" s="1"/>
  <c r="B276" i="5"/>
  <c r="C276" i="5"/>
  <c r="B277" i="5"/>
  <c r="C294" i="6" s="1"/>
  <c r="C277" i="5"/>
  <c r="D294" i="6" s="1"/>
  <c r="B278" i="5"/>
  <c r="C278" i="5"/>
  <c r="F278" i="5" s="1"/>
  <c r="G295" i="6" s="1"/>
  <c r="Y7" i="2"/>
  <c r="S7" i="2"/>
  <c r="D266" i="6"/>
  <c r="E266" i="6"/>
  <c r="C250" i="5"/>
  <c r="D250" i="5"/>
  <c r="F250" i="5" s="1"/>
  <c r="G267" i="6" s="1"/>
  <c r="C251" i="5"/>
  <c r="D268" i="6" s="1"/>
  <c r="D251" i="5"/>
  <c r="E268" i="6" s="1"/>
  <c r="C252" i="5"/>
  <c r="D252" i="5"/>
  <c r="C253" i="5"/>
  <c r="D270" i="6" s="1"/>
  <c r="D253" i="5"/>
  <c r="E270" i="6" s="1"/>
  <c r="C254" i="5"/>
  <c r="D254" i="5"/>
  <c r="C255" i="5"/>
  <c r="D272" i="6" s="1"/>
  <c r="D255" i="5"/>
  <c r="E272" i="6" s="1"/>
  <c r="C256" i="5"/>
  <c r="D256" i="5"/>
  <c r="C257" i="5"/>
  <c r="D274" i="6" s="1"/>
  <c r="D257" i="5"/>
  <c r="E274" i="6" s="1"/>
  <c r="C258" i="5"/>
  <c r="D258" i="5"/>
  <c r="F258" i="5" s="1"/>
  <c r="C259" i="5"/>
  <c r="D276" i="6" s="1"/>
  <c r="D259" i="5"/>
  <c r="E276" i="6" s="1"/>
  <c r="C260" i="5"/>
  <c r="D260" i="5"/>
  <c r="C261" i="5"/>
  <c r="D278" i="6" s="1"/>
  <c r="D261" i="5"/>
  <c r="E278" i="6" s="1"/>
  <c r="D4" i="27"/>
  <c r="D14" i="27"/>
  <c r="D24" i="27"/>
  <c r="D34" i="27"/>
  <c r="D44" i="27"/>
  <c r="D53" i="27"/>
  <c r="D60" i="27"/>
  <c r="D72" i="27"/>
  <c r="D78" i="27"/>
  <c r="D84" i="27"/>
  <c r="D90" i="27"/>
  <c r="D96" i="27"/>
  <c r="D102" i="27"/>
  <c r="D108" i="27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7" i="2"/>
  <c r="AK20" i="2"/>
  <c r="AJ8" i="2"/>
  <c r="AK8" i="2"/>
  <c r="AJ9" i="2"/>
  <c r="AK9" i="2"/>
  <c r="AJ10" i="2"/>
  <c r="AK10" i="2"/>
  <c r="AJ11" i="2"/>
  <c r="AK11" i="2"/>
  <c r="AJ12" i="2"/>
  <c r="AK12" i="2"/>
  <c r="AJ13" i="2"/>
  <c r="AK13" i="2"/>
  <c r="AJ14" i="2"/>
  <c r="AK14" i="2"/>
  <c r="AJ15" i="2"/>
  <c r="AK15" i="2"/>
  <c r="AJ16" i="2"/>
  <c r="AK16" i="2"/>
  <c r="AJ17" i="2"/>
  <c r="AK17" i="2"/>
  <c r="AJ18" i="2"/>
  <c r="AK18" i="2"/>
  <c r="AJ19" i="2"/>
  <c r="AK19" i="2"/>
  <c r="AJ20" i="2"/>
  <c r="AK7" i="2"/>
  <c r="AJ7" i="2"/>
  <c r="AE8" i="2"/>
  <c r="AE9" i="2"/>
  <c r="AE10" i="2"/>
  <c r="AE11" i="2"/>
  <c r="AE12" i="2"/>
  <c r="AE13" i="2"/>
  <c r="AE14" i="2"/>
  <c r="AE15" i="2"/>
  <c r="AE16" i="2"/>
  <c r="AE17" i="2"/>
  <c r="AE18" i="2"/>
  <c r="AE19" i="2"/>
  <c r="AE20" i="2"/>
  <c r="AE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N10" i="2"/>
  <c r="Y8" i="2" s="1"/>
  <c r="Y15" i="2"/>
  <c r="V8" i="2"/>
  <c r="W8" i="2"/>
  <c r="V9" i="2"/>
  <c r="W9" i="2"/>
  <c r="V10" i="2"/>
  <c r="W10" i="2"/>
  <c r="V11" i="2"/>
  <c r="W11" i="2"/>
  <c r="V12" i="2"/>
  <c r="W12" i="2"/>
  <c r="V13" i="2"/>
  <c r="W13" i="2"/>
  <c r="V14" i="2"/>
  <c r="W14" i="2"/>
  <c r="V15" i="2"/>
  <c r="W15" i="2"/>
  <c r="V16" i="2"/>
  <c r="W16" i="2"/>
  <c r="V17" i="2"/>
  <c r="W17" i="2"/>
  <c r="V18" i="2"/>
  <c r="W18" i="2"/>
  <c r="V19" i="2"/>
  <c r="W19" i="2"/>
  <c r="V20" i="2"/>
  <c r="W20" i="2"/>
  <c r="W7" i="2"/>
  <c r="V7" i="2"/>
  <c r="S8" i="2"/>
  <c r="T8" i="2" s="1"/>
  <c r="S9" i="2"/>
  <c r="T9" i="2"/>
  <c r="S10" i="2"/>
  <c r="T10" i="2" s="1"/>
  <c r="S11" i="2"/>
  <c r="T11" i="2"/>
  <c r="S12" i="2"/>
  <c r="T12" i="2" s="1"/>
  <c r="S13" i="2"/>
  <c r="T13" i="2"/>
  <c r="S14" i="2"/>
  <c r="T14" i="2" s="1"/>
  <c r="S15" i="2"/>
  <c r="T15" i="2"/>
  <c r="S16" i="2"/>
  <c r="T16" i="2" s="1"/>
  <c r="S17" i="2"/>
  <c r="T17" i="2"/>
  <c r="S18" i="2"/>
  <c r="T18" i="2"/>
  <c r="S19" i="2"/>
  <c r="T19" i="2"/>
  <c r="S20" i="2"/>
  <c r="T20" i="2" s="1"/>
  <c r="T7" i="2"/>
  <c r="Q14" i="2"/>
  <c r="Q8" i="2"/>
  <c r="Q9" i="2"/>
  <c r="Q10" i="2"/>
  <c r="Q11" i="2"/>
  <c r="Q12" i="2"/>
  <c r="Q13" i="2"/>
  <c r="Q15" i="2"/>
  <c r="Q16" i="2"/>
  <c r="Q17" i="2"/>
  <c r="Q18" i="2"/>
  <c r="Q19" i="2"/>
  <c r="Q20" i="2"/>
  <c r="Q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F7" i="2"/>
  <c r="F8" i="2"/>
  <c r="F9" i="2"/>
  <c r="F10" i="2"/>
  <c r="F11" i="2"/>
  <c r="F12" i="2"/>
  <c r="H57" i="20" l="1"/>
  <c r="Z85" i="20"/>
  <c r="AB78" i="20"/>
  <c r="AA78" i="20"/>
  <c r="E277" i="5"/>
  <c r="F294" i="6" s="1"/>
  <c r="E273" i="5"/>
  <c r="F290" i="6" s="1"/>
  <c r="F265" i="5"/>
  <c r="G282" i="6" s="1"/>
  <c r="E259" i="5"/>
  <c r="F276" i="6" s="1"/>
  <c r="E255" i="5"/>
  <c r="F272" i="6" s="1"/>
  <c r="E269" i="5"/>
  <c r="F286" i="6" s="1"/>
  <c r="E251" i="5"/>
  <c r="F268" i="6" s="1"/>
  <c r="B330" i="5"/>
  <c r="I256" i="5" s="1"/>
  <c r="I279" i="5"/>
  <c r="I275" i="5"/>
  <c r="B326" i="5"/>
  <c r="I252" i="5" s="1"/>
  <c r="B334" i="5"/>
  <c r="I260" i="5" s="1"/>
  <c r="I283" i="5"/>
  <c r="I271" i="5"/>
  <c r="B322" i="5"/>
  <c r="I248" i="5" s="1"/>
  <c r="F261" i="5"/>
  <c r="G278" i="6" s="1"/>
  <c r="F257" i="5"/>
  <c r="G274" i="6" s="1"/>
  <c r="F253" i="5"/>
  <c r="F275" i="5"/>
  <c r="G292" i="6" s="1"/>
  <c r="F271" i="5"/>
  <c r="G288" i="6" s="1"/>
  <c r="F267" i="5"/>
  <c r="G284" i="6" s="1"/>
  <c r="B331" i="5"/>
  <c r="I257" i="5" s="1"/>
  <c r="E267" i="6"/>
  <c r="E261" i="5"/>
  <c r="F278" i="6" s="1"/>
  <c r="E257" i="5"/>
  <c r="F274" i="6" s="1"/>
  <c r="E253" i="5"/>
  <c r="F270" i="6" s="1"/>
  <c r="F266" i="6"/>
  <c r="E275" i="5"/>
  <c r="F292" i="6" s="1"/>
  <c r="E271" i="5"/>
  <c r="F288" i="6" s="1"/>
  <c r="E267" i="5"/>
  <c r="F284" i="6" s="1"/>
  <c r="E265" i="5"/>
  <c r="F282" i="6" s="1"/>
  <c r="F259" i="5"/>
  <c r="G276" i="6" s="1"/>
  <c r="F255" i="5"/>
  <c r="G272" i="6" s="1"/>
  <c r="F251" i="5"/>
  <c r="G268" i="6" s="1"/>
  <c r="F277" i="5"/>
  <c r="G294" i="6" s="1"/>
  <c r="F273" i="5"/>
  <c r="G290" i="6" s="1"/>
  <c r="F269" i="5"/>
  <c r="G286" i="6" s="1"/>
  <c r="E275" i="6"/>
  <c r="G270" i="6"/>
  <c r="G266" i="6"/>
  <c r="I282" i="5"/>
  <c r="B333" i="5"/>
  <c r="I259" i="5" s="1"/>
  <c r="I278" i="5"/>
  <c r="B329" i="5"/>
  <c r="I255" i="5" s="1"/>
  <c r="B324" i="5"/>
  <c r="I250" i="5" s="1"/>
  <c r="I273" i="5"/>
  <c r="I270" i="5"/>
  <c r="B321" i="5"/>
  <c r="I247" i="5" s="1"/>
  <c r="I276" i="5"/>
  <c r="B327" i="5"/>
  <c r="I253" i="5" s="1"/>
  <c r="E277" i="6"/>
  <c r="F260" i="5"/>
  <c r="G275" i="6"/>
  <c r="E273" i="6"/>
  <c r="F256" i="5"/>
  <c r="E271" i="6"/>
  <c r="F254" i="5"/>
  <c r="E269" i="6"/>
  <c r="F252" i="5"/>
  <c r="E265" i="6"/>
  <c r="D293" i="6"/>
  <c r="F276" i="5"/>
  <c r="G293" i="6" s="1"/>
  <c r="D291" i="6"/>
  <c r="F274" i="5"/>
  <c r="G291" i="6" s="1"/>
  <c r="F272" i="5"/>
  <c r="G289" i="6" s="1"/>
  <c r="D289" i="6"/>
  <c r="D285" i="6"/>
  <c r="F268" i="5"/>
  <c r="G285" i="6" s="1"/>
  <c r="D283" i="6"/>
  <c r="F266" i="5"/>
  <c r="G283" i="6" s="1"/>
  <c r="B332" i="5"/>
  <c r="I258" i="5" s="1"/>
  <c r="I281" i="5"/>
  <c r="I274" i="5"/>
  <c r="B325" i="5"/>
  <c r="I251" i="5" s="1"/>
  <c r="D295" i="6"/>
  <c r="D287" i="6"/>
  <c r="D277" i="6"/>
  <c r="E260" i="5"/>
  <c r="F277" i="6" s="1"/>
  <c r="E258" i="5"/>
  <c r="F275" i="6" s="1"/>
  <c r="D275" i="6"/>
  <c r="D273" i="6"/>
  <c r="E256" i="5"/>
  <c r="F273" i="6" s="1"/>
  <c r="D271" i="6"/>
  <c r="E254" i="5"/>
  <c r="F271" i="6" s="1"/>
  <c r="D269" i="6"/>
  <c r="E252" i="5"/>
  <c r="F269" i="6" s="1"/>
  <c r="E250" i="5"/>
  <c r="F267" i="6" s="1"/>
  <c r="D267" i="6"/>
  <c r="D265" i="6"/>
  <c r="F265" i="6"/>
  <c r="C295" i="6"/>
  <c r="E278" i="5"/>
  <c r="F295" i="6" s="1"/>
  <c r="C293" i="6"/>
  <c r="E276" i="5"/>
  <c r="F293" i="6" s="1"/>
  <c r="C291" i="6"/>
  <c r="E274" i="5"/>
  <c r="C289" i="6"/>
  <c r="E272" i="5"/>
  <c r="F289" i="6" s="1"/>
  <c r="C287" i="6"/>
  <c r="E270" i="5"/>
  <c r="F287" i="6" s="1"/>
  <c r="C285" i="6"/>
  <c r="E268" i="5"/>
  <c r="F285" i="6" s="1"/>
  <c r="C283" i="6"/>
  <c r="E266" i="5"/>
  <c r="F283" i="6" s="1"/>
  <c r="I272" i="5"/>
  <c r="B323" i="5"/>
  <c r="I249" i="5" s="1"/>
  <c r="B335" i="5"/>
  <c r="I261" i="5" s="1"/>
  <c r="GT105" i="13"/>
  <c r="GT132" i="13"/>
  <c r="P99" i="12"/>
  <c r="N101" i="12"/>
  <c r="L101" i="12"/>
  <c r="O101" i="12"/>
  <c r="AF7" i="31"/>
  <c r="K7" i="31" s="1"/>
  <c r="Y13" i="2"/>
  <c r="Y12" i="2"/>
  <c r="Y20" i="2"/>
  <c r="Y11" i="2"/>
  <c r="Y18" i="2"/>
  <c r="Y17" i="2"/>
  <c r="Y9" i="2"/>
  <c r="Y14" i="2"/>
  <c r="Y19" i="2"/>
  <c r="Y10" i="2"/>
  <c r="Y16" i="2"/>
  <c r="I8" i="31"/>
  <c r="I7" i="31"/>
  <c r="G33" i="31"/>
  <c r="B42" i="31"/>
  <c r="C42" i="31"/>
  <c r="B41" i="31"/>
  <c r="C41" i="31"/>
  <c r="G36" i="31" s="1"/>
  <c r="B44" i="31"/>
  <c r="C44" i="31"/>
  <c r="B40" i="31"/>
  <c r="C40" i="3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B43" i="31"/>
  <c r="C43" i="31"/>
  <c r="C25" i="25"/>
  <c r="B21" i="31"/>
  <c r="C21" i="31"/>
  <c r="D21" i="31"/>
  <c r="B22" i="31"/>
  <c r="C22" i="31"/>
  <c r="D22" i="31"/>
  <c r="B23" i="31"/>
  <c r="C23" i="31"/>
  <c r="D23" i="31"/>
  <c r="B24" i="31"/>
  <c r="C24" i="31"/>
  <c r="D24" i="31"/>
  <c r="B25" i="31"/>
  <c r="C25" i="31"/>
  <c r="D25" i="31"/>
  <c r="B26" i="31"/>
  <c r="C26" i="31"/>
  <c r="D26" i="31"/>
  <c r="B27" i="31"/>
  <c r="C27" i="31"/>
  <c r="D27" i="31"/>
  <c r="B28" i="31"/>
  <c r="C28" i="31"/>
  <c r="D28" i="31"/>
  <c r="B29" i="31"/>
  <c r="C29" i="31"/>
  <c r="D29" i="31"/>
  <c r="B30" i="31"/>
  <c r="C30" i="31"/>
  <c r="D30" i="31"/>
  <c r="B31" i="31"/>
  <c r="C31" i="31"/>
  <c r="D31" i="31"/>
  <c r="B32" i="31"/>
  <c r="C32" i="31"/>
  <c r="D32" i="31"/>
  <c r="B33" i="31"/>
  <c r="C33" i="31"/>
  <c r="D33" i="31"/>
  <c r="B34" i="31"/>
  <c r="C34" i="31"/>
  <c r="D34" i="31"/>
  <c r="B35" i="31"/>
  <c r="C35" i="31"/>
  <c r="D35" i="31"/>
  <c r="B36" i="31"/>
  <c r="C36" i="31"/>
  <c r="D36" i="31"/>
  <c r="B3" i="31"/>
  <c r="C3" i="31"/>
  <c r="B4" i="31"/>
  <c r="B5" i="31"/>
  <c r="B6" i="31"/>
  <c r="B7" i="31"/>
  <c r="B8" i="31"/>
  <c r="B9" i="31"/>
  <c r="B10" i="31"/>
  <c r="B11" i="31"/>
  <c r="B12" i="31"/>
  <c r="B13" i="31"/>
  <c r="B14" i="31"/>
  <c r="B15" i="31"/>
  <c r="C15" i="31"/>
  <c r="B16" i="31"/>
  <c r="C16" i="31"/>
  <c r="B17" i="31"/>
  <c r="C17" i="31"/>
  <c r="B18" i="31"/>
  <c r="C18" i="31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E38" i="19"/>
  <c r="D38" i="19"/>
  <c r="GU38" i="13"/>
  <c r="GU37" i="13"/>
  <c r="J297" i="3"/>
  <c r="J296" i="3"/>
  <c r="U296" i="3"/>
  <c r="T295" i="3"/>
  <c r="GA36" i="13"/>
  <c r="GB36" i="13" s="1"/>
  <c r="GC36" i="13" s="1"/>
  <c r="GO36" i="13"/>
  <c r="GP36" i="13" s="1"/>
  <c r="GQ36" i="13" s="1"/>
  <c r="Z282" i="3"/>
  <c r="O282" i="3"/>
  <c r="O273" i="3"/>
  <c r="GV36" i="13"/>
  <c r="GW36" i="13" s="1"/>
  <c r="GX36" i="13" s="1"/>
  <c r="GN38" i="13"/>
  <c r="GN37" i="13"/>
  <c r="GN29" i="13"/>
  <c r="GN28" i="13"/>
  <c r="GN27" i="13"/>
  <c r="GO38" i="13"/>
  <c r="GP38" i="13" s="1"/>
  <c r="GO37" i="13"/>
  <c r="GP37" i="13" s="1"/>
  <c r="GW37" i="13" s="1"/>
  <c r="GO29" i="13"/>
  <c r="GP29" i="13" s="1"/>
  <c r="GO28" i="13"/>
  <c r="GP28" i="13" s="1"/>
  <c r="GO27" i="13"/>
  <c r="GP27" i="13" s="1"/>
  <c r="GG38" i="13"/>
  <c r="GG37" i="13"/>
  <c r="GH36" i="13"/>
  <c r="FZ38" i="13"/>
  <c r="FZ37" i="13"/>
  <c r="FZ29" i="13"/>
  <c r="FZ28" i="13"/>
  <c r="FZ27" i="13"/>
  <c r="GA38" i="13"/>
  <c r="GB38" i="13" s="1"/>
  <c r="GA37" i="13"/>
  <c r="GB37" i="13" s="1"/>
  <c r="GI36" i="13"/>
  <c r="GJ36" i="13" s="1"/>
  <c r="GA29" i="13"/>
  <c r="GB29" i="13" s="1"/>
  <c r="GC29" i="13" s="1"/>
  <c r="GA28" i="13"/>
  <c r="GB28" i="13" s="1"/>
  <c r="GA27" i="13"/>
  <c r="GB27" i="13" s="1"/>
  <c r="FS38" i="13"/>
  <c r="FS37" i="13"/>
  <c r="FT36" i="13"/>
  <c r="FU36" i="13" s="1"/>
  <c r="FV36" i="13" s="1"/>
  <c r="FL38" i="13"/>
  <c r="FL37" i="13"/>
  <c r="FM36" i="13"/>
  <c r="FN36" i="13" s="1"/>
  <c r="FO36" i="13" s="1"/>
  <c r="FL29" i="13"/>
  <c r="FL28" i="13"/>
  <c r="FL27" i="13"/>
  <c r="FM38" i="13"/>
  <c r="FN38" i="13" s="1"/>
  <c r="FN37" i="13"/>
  <c r="FU37" i="13" s="1"/>
  <c r="FV37" i="13" s="1"/>
  <c r="FM37" i="13"/>
  <c r="FM29" i="13"/>
  <c r="FN29" i="13" s="1"/>
  <c r="FM28" i="13"/>
  <c r="FN28" i="13" s="1"/>
  <c r="FM27" i="13"/>
  <c r="FN27" i="13" s="1"/>
  <c r="FE38" i="13"/>
  <c r="FE37" i="13"/>
  <c r="FF36" i="13"/>
  <c r="FG36" i="13" s="1"/>
  <c r="FH36" i="13" s="1"/>
  <c r="EX38" i="13"/>
  <c r="EX37" i="13"/>
  <c r="EY36" i="13"/>
  <c r="EZ36" i="13" s="1"/>
  <c r="FA36" i="13" s="1"/>
  <c r="EX29" i="13"/>
  <c r="EX28" i="13"/>
  <c r="EX27" i="13"/>
  <c r="EY38" i="13"/>
  <c r="EZ38" i="13" s="1"/>
  <c r="EY37" i="13"/>
  <c r="EZ37" i="13" s="1"/>
  <c r="FG37" i="13" s="1"/>
  <c r="FH37" i="13" s="1"/>
  <c r="EY29" i="13"/>
  <c r="EZ29" i="13" s="1"/>
  <c r="EY28" i="13"/>
  <c r="EZ28" i="13" s="1"/>
  <c r="EY27" i="13"/>
  <c r="EZ27" i="13" s="1"/>
  <c r="EQ38" i="13"/>
  <c r="EQ37" i="13"/>
  <c r="ER36" i="13"/>
  <c r="ES36" i="13" s="1"/>
  <c r="ET36" i="13" s="1"/>
  <c r="EK36" i="13"/>
  <c r="EJ38" i="13"/>
  <c r="EJ37" i="13"/>
  <c r="EK38" i="13"/>
  <c r="EL38" i="13" s="1"/>
  <c r="ES38" i="13" s="1"/>
  <c r="EK37" i="13"/>
  <c r="EL37" i="13" s="1"/>
  <c r="ES37" i="13" s="1"/>
  <c r="EL36" i="13"/>
  <c r="EM36" i="13" s="1"/>
  <c r="EK29" i="13"/>
  <c r="EL29" i="13" s="1"/>
  <c r="EK28" i="13"/>
  <c r="EL28" i="13" s="1"/>
  <c r="EK27" i="13"/>
  <c r="EL27" i="13" s="1"/>
  <c r="EC38" i="13"/>
  <c r="EC37" i="13"/>
  <c r="ED36" i="13"/>
  <c r="EE36" i="13" s="1"/>
  <c r="EF36" i="13" s="1"/>
  <c r="DW36" i="13"/>
  <c r="DX36" i="13" s="1"/>
  <c r="DY36" i="13" s="1"/>
  <c r="DV38" i="13"/>
  <c r="DV37" i="13"/>
  <c r="DW38" i="13"/>
  <c r="DX38" i="13" s="1"/>
  <c r="DW37" i="13"/>
  <c r="DX37" i="13" s="1"/>
  <c r="EE37" i="13" s="1"/>
  <c r="DW29" i="13"/>
  <c r="DX29" i="13" s="1"/>
  <c r="DW28" i="13"/>
  <c r="DX28" i="13" s="1"/>
  <c r="DW27" i="13"/>
  <c r="DX27" i="13" s="1"/>
  <c r="DP36" i="13"/>
  <c r="DQ36" i="13" s="1"/>
  <c r="DR36" i="13" s="1"/>
  <c r="DO38" i="13"/>
  <c r="DO37" i="13"/>
  <c r="DI36" i="13"/>
  <c r="DJ36" i="13" s="1"/>
  <c r="DK36" i="13" s="1"/>
  <c r="DH38" i="13"/>
  <c r="DH37" i="13"/>
  <c r="DI38" i="13"/>
  <c r="DJ38" i="13" s="1"/>
  <c r="DQ38" i="13" s="1"/>
  <c r="DI37" i="13"/>
  <c r="DJ37" i="13" s="1"/>
  <c r="DQ37" i="13" s="1"/>
  <c r="DI29" i="13"/>
  <c r="DJ29" i="13" s="1"/>
  <c r="DI28" i="13"/>
  <c r="DJ28" i="13" s="1"/>
  <c r="DI27" i="13"/>
  <c r="DJ27" i="13" s="1"/>
  <c r="DB36" i="13"/>
  <c r="DC36" i="13" s="1"/>
  <c r="DD36" i="13" s="1"/>
  <c r="DA38" i="13"/>
  <c r="DA37" i="13"/>
  <c r="CT38" i="13"/>
  <c r="CT37" i="13"/>
  <c r="CU36" i="13"/>
  <c r="CV36" i="13" s="1"/>
  <c r="CW36" i="13" s="1"/>
  <c r="CU38" i="13"/>
  <c r="CV38" i="13" s="1"/>
  <c r="DC38" i="13" s="1"/>
  <c r="CU37" i="13"/>
  <c r="CV37" i="13" s="1"/>
  <c r="CU29" i="13"/>
  <c r="CV29" i="13" s="1"/>
  <c r="CU28" i="13"/>
  <c r="CV28" i="13" s="1"/>
  <c r="EL20" i="13"/>
  <c r="CU27" i="13"/>
  <c r="CV27" i="13" s="1"/>
  <c r="AA301" i="3"/>
  <c r="Z301" i="3"/>
  <c r="P301" i="3"/>
  <c r="O301" i="3"/>
  <c r="AA299" i="3"/>
  <c r="Z299" i="3"/>
  <c r="P299" i="3"/>
  <c r="O299" i="3"/>
  <c r="Y301" i="3"/>
  <c r="X301" i="3"/>
  <c r="W301" i="3"/>
  <c r="V301" i="3"/>
  <c r="U301" i="3"/>
  <c r="T301" i="3"/>
  <c r="J301" i="3"/>
  <c r="K301" i="3"/>
  <c r="L301" i="3"/>
  <c r="M301" i="3"/>
  <c r="N301" i="3"/>
  <c r="I301" i="3"/>
  <c r="Y299" i="3"/>
  <c r="X299" i="3"/>
  <c r="W299" i="3"/>
  <c r="V299" i="3"/>
  <c r="U299" i="3"/>
  <c r="T299" i="3"/>
  <c r="J299" i="3"/>
  <c r="K299" i="3"/>
  <c r="L299" i="3"/>
  <c r="M299" i="3"/>
  <c r="N299" i="3"/>
  <c r="I299" i="3"/>
  <c r="AA297" i="3"/>
  <c r="Z297" i="3"/>
  <c r="Y297" i="3"/>
  <c r="X297" i="3"/>
  <c r="W297" i="3"/>
  <c r="V297" i="3"/>
  <c r="U297" i="3"/>
  <c r="T297" i="3"/>
  <c r="AA296" i="3"/>
  <c r="Z296" i="3"/>
  <c r="Y296" i="3"/>
  <c r="X296" i="3"/>
  <c r="W296" i="3"/>
  <c r="V296" i="3"/>
  <c r="T296" i="3"/>
  <c r="AA295" i="3"/>
  <c r="Z295" i="3"/>
  <c r="Y295" i="3"/>
  <c r="X295" i="3"/>
  <c r="W295" i="3"/>
  <c r="V295" i="3"/>
  <c r="U295" i="3"/>
  <c r="J295" i="3"/>
  <c r="K295" i="3"/>
  <c r="L295" i="3"/>
  <c r="M295" i="3"/>
  <c r="N295" i="3"/>
  <c r="O295" i="3"/>
  <c r="P295" i="3"/>
  <c r="K296" i="3"/>
  <c r="L296" i="3"/>
  <c r="M296" i="3"/>
  <c r="N296" i="3"/>
  <c r="O296" i="3"/>
  <c r="P296" i="3"/>
  <c r="K297" i="3"/>
  <c r="L297" i="3"/>
  <c r="M297" i="3"/>
  <c r="N297" i="3"/>
  <c r="O297" i="3"/>
  <c r="P297" i="3"/>
  <c r="I296" i="3"/>
  <c r="I297" i="3"/>
  <c r="I295" i="3"/>
  <c r="T273" i="3"/>
  <c r="T282" i="3" s="1"/>
  <c r="I273" i="3"/>
  <c r="U273" i="3"/>
  <c r="J273" i="3"/>
  <c r="V273" i="3"/>
  <c r="V282" i="3" s="1"/>
  <c r="K273" i="3"/>
  <c r="W282" i="3"/>
  <c r="Z277" i="3"/>
  <c r="O277" i="3"/>
  <c r="Z273" i="3"/>
  <c r="L273" i="3"/>
  <c r="W273" i="3"/>
  <c r="X273" i="3"/>
  <c r="X282" i="3" s="1"/>
  <c r="M273" i="3"/>
  <c r="Y273" i="3"/>
  <c r="AA271" i="3"/>
  <c r="I271" i="3"/>
  <c r="T271" i="3"/>
  <c r="U271" i="3"/>
  <c r="V271" i="3"/>
  <c r="W271" i="3"/>
  <c r="X271" i="3"/>
  <c r="Y271" i="3"/>
  <c r="Z271" i="3"/>
  <c r="Y282" i="3"/>
  <c r="U282" i="3"/>
  <c r="S271" i="3"/>
  <c r="L282" i="3"/>
  <c r="N282" i="3"/>
  <c r="K282" i="3"/>
  <c r="I282" i="3"/>
  <c r="H271" i="3"/>
  <c r="J271" i="3"/>
  <c r="K271" i="3"/>
  <c r="L271" i="3"/>
  <c r="M271" i="3"/>
  <c r="N271" i="3"/>
  <c r="O271" i="3"/>
  <c r="P271" i="3"/>
  <c r="M268" i="3"/>
  <c r="N268" i="3"/>
  <c r="O268" i="3"/>
  <c r="P268" i="3"/>
  <c r="M266" i="3"/>
  <c r="N266" i="3"/>
  <c r="O266" i="3"/>
  <c r="P266" i="3"/>
  <c r="M261" i="3"/>
  <c r="N261" i="3"/>
  <c r="O261" i="3"/>
  <c r="P261" i="3"/>
  <c r="M259" i="3"/>
  <c r="N259" i="3"/>
  <c r="O259" i="3"/>
  <c r="P259" i="3"/>
  <c r="M257" i="3"/>
  <c r="N257" i="3"/>
  <c r="O257" i="3"/>
  <c r="P257" i="3"/>
  <c r="M254" i="3"/>
  <c r="N254" i="3"/>
  <c r="O254" i="3"/>
  <c r="P254" i="3"/>
  <c r="M255" i="3"/>
  <c r="N255" i="3"/>
  <c r="O255" i="3"/>
  <c r="P255" i="3"/>
  <c r="H250" i="3"/>
  <c r="M250" i="3"/>
  <c r="N250" i="3"/>
  <c r="O250" i="3"/>
  <c r="P250" i="3"/>
  <c r="H251" i="3"/>
  <c r="M251" i="3"/>
  <c r="N251" i="3"/>
  <c r="O251" i="3"/>
  <c r="P251" i="3"/>
  <c r="H249" i="3"/>
  <c r="I249" i="3"/>
  <c r="J249" i="3"/>
  <c r="K249" i="3"/>
  <c r="L249" i="3"/>
  <c r="M249" i="3"/>
  <c r="N249" i="3"/>
  <c r="O249" i="3"/>
  <c r="P249" i="3"/>
  <c r="D22" i="19"/>
  <c r="D21" i="19"/>
  <c r="D20" i="19"/>
  <c r="D19" i="19"/>
  <c r="D18" i="19"/>
  <c r="D16" i="19"/>
  <c r="D14" i="19"/>
  <c r="D13" i="19"/>
  <c r="D12" i="19"/>
  <c r="R33" i="14"/>
  <c r="R34" i="14"/>
  <c r="R35" i="14"/>
  <c r="R36" i="14"/>
  <c r="R37" i="14"/>
  <c r="R38" i="14"/>
  <c r="R39" i="14"/>
  <c r="R32" i="14"/>
  <c r="T13" i="14"/>
  <c r="Z92" i="20" l="1"/>
  <c r="AB85" i="20"/>
  <c r="AA85" i="20"/>
  <c r="G269" i="6"/>
  <c r="G273" i="6"/>
  <c r="G277" i="6"/>
  <c r="F291" i="6"/>
  <c r="C311" i="5"/>
  <c r="J280" i="5" s="1"/>
  <c r="M280" i="5" s="1"/>
  <c r="P280" i="5" s="1"/>
  <c r="S280" i="5" s="1"/>
  <c r="V280" i="5" s="1"/>
  <c r="G265" i="6"/>
  <c r="G271" i="6"/>
  <c r="DD38" i="13"/>
  <c r="P100" i="12"/>
  <c r="Q99" i="12"/>
  <c r="ET38" i="13"/>
  <c r="ET40" i="13" s="1"/>
  <c r="FA28" i="13"/>
  <c r="FO29" i="13"/>
  <c r="DR38" i="13"/>
  <c r="FA29" i="13"/>
  <c r="FO27" i="13"/>
  <c r="GQ28" i="13"/>
  <c r="FO28" i="13"/>
  <c r="GC28" i="13"/>
  <c r="GQ29" i="13"/>
  <c r="ET37" i="13"/>
  <c r="EF37" i="13"/>
  <c r="GX37" i="13"/>
  <c r="GI37" i="13"/>
  <c r="GJ37" i="13" s="1"/>
  <c r="GC37" i="13"/>
  <c r="CW38" i="13"/>
  <c r="DK38" i="13"/>
  <c r="DC37" i="13"/>
  <c r="DD37" i="13" s="1"/>
  <c r="DD40" i="13" s="1"/>
  <c r="CW37" i="13"/>
  <c r="DY37" i="13"/>
  <c r="EM37" i="13"/>
  <c r="FA37" i="13"/>
  <c r="FO37" i="13"/>
  <c r="EM38" i="13"/>
  <c r="GQ37" i="13"/>
  <c r="G34" i="31"/>
  <c r="G35" i="31"/>
  <c r="GQ27" i="13"/>
  <c r="GQ31" i="13" s="1"/>
  <c r="GW38" i="13"/>
  <c r="GX38" i="13" s="1"/>
  <c r="GQ38" i="13"/>
  <c r="GC27" i="13"/>
  <c r="GC38" i="13"/>
  <c r="GC40" i="13" s="1"/>
  <c r="GI38" i="13"/>
  <c r="GJ38" i="13" s="1"/>
  <c r="FU38" i="13"/>
  <c r="FV38" i="13" s="1"/>
  <c r="FV40" i="13" s="1"/>
  <c r="FO38" i="13"/>
  <c r="FA27" i="13"/>
  <c r="FG38" i="13"/>
  <c r="FH38" i="13" s="1"/>
  <c r="FH40" i="13" s="1"/>
  <c r="FA38" i="13"/>
  <c r="EE38" i="13"/>
  <c r="EF38" i="13" s="1"/>
  <c r="EF40" i="13" s="1"/>
  <c r="DY38" i="13"/>
  <c r="DR37" i="13"/>
  <c r="DR40" i="13" s="1"/>
  <c r="DK37" i="13"/>
  <c r="DK40" i="13" s="1"/>
  <c r="J282" i="3"/>
  <c r="AA273" i="3"/>
  <c r="AA277" i="3"/>
  <c r="P273" i="3"/>
  <c r="M282" i="3"/>
  <c r="Z99" i="20" l="1"/>
  <c r="AA92" i="20"/>
  <c r="AB92" i="20"/>
  <c r="Z103" i="20"/>
  <c r="EM40" i="13"/>
  <c r="FA40" i="13"/>
  <c r="GQ40" i="13"/>
  <c r="GC31" i="13"/>
  <c r="GJ40" i="13"/>
  <c r="FO31" i="13"/>
  <c r="P116" i="12"/>
  <c r="P101" i="12"/>
  <c r="R99" i="12"/>
  <c r="Q100" i="12"/>
  <c r="FA31" i="13"/>
  <c r="CW40" i="13"/>
  <c r="DY40" i="13"/>
  <c r="GX40" i="13"/>
  <c r="FO40" i="13"/>
  <c r="AA282" i="3"/>
  <c r="AA99" i="20" l="1"/>
  <c r="AA103" i="20" s="1"/>
  <c r="AB99" i="20"/>
  <c r="AB103" i="20" s="1"/>
  <c r="Q116" i="12"/>
  <c r="Q101" i="12"/>
  <c r="S99" i="12"/>
  <c r="R100" i="12"/>
  <c r="C174" i="1"/>
  <c r="C175" i="1" s="1"/>
  <c r="C163" i="1"/>
  <c r="C162" i="1"/>
  <c r="E165" i="6"/>
  <c r="FK36" i="6"/>
  <c r="FL36" i="6" s="1"/>
  <c r="FK35" i="6"/>
  <c r="FL35" i="6" s="1"/>
  <c r="FL34" i="6"/>
  <c r="FL33" i="6"/>
  <c r="FL32" i="6"/>
  <c r="FL31" i="6"/>
  <c r="FL30" i="6"/>
  <c r="FK29" i="6"/>
  <c r="FL29" i="6" s="1"/>
  <c r="EZ36" i="6"/>
  <c r="FA36" i="6" s="1"/>
  <c r="EZ35" i="6"/>
  <c r="FA35" i="6" s="1"/>
  <c r="FA34" i="6"/>
  <c r="FA33" i="6"/>
  <c r="FA32" i="6"/>
  <c r="FA31" i="6"/>
  <c r="FA30" i="6"/>
  <c r="EZ29" i="6"/>
  <c r="FA29" i="6" s="1"/>
  <c r="EO36" i="6"/>
  <c r="EP36" i="6" s="1"/>
  <c r="EO35" i="6"/>
  <c r="EP35" i="6" s="1"/>
  <c r="EP34" i="6"/>
  <c r="EP33" i="6"/>
  <c r="EP32" i="6"/>
  <c r="EP31" i="6"/>
  <c r="EP30" i="6"/>
  <c r="EO29" i="6"/>
  <c r="EP29" i="6" s="1"/>
  <c r="ED36" i="6"/>
  <c r="EE36" i="6" s="1"/>
  <c r="ED35" i="6"/>
  <c r="EE35" i="6" s="1"/>
  <c r="EE34" i="6"/>
  <c r="EE33" i="6"/>
  <c r="EE32" i="6"/>
  <c r="EE31" i="6"/>
  <c r="EE30" i="6"/>
  <c r="ED29" i="6"/>
  <c r="EE29" i="6" s="1"/>
  <c r="DS36" i="6"/>
  <c r="DT36" i="6" s="1"/>
  <c r="DS35" i="6"/>
  <c r="DT35" i="6" s="1"/>
  <c r="DT34" i="6"/>
  <c r="DT33" i="6"/>
  <c r="DT32" i="6"/>
  <c r="DT31" i="6"/>
  <c r="DT30" i="6"/>
  <c r="DS29" i="6"/>
  <c r="DT29" i="6" s="1"/>
  <c r="DH36" i="6"/>
  <c r="DI36" i="6" s="1"/>
  <c r="DH35" i="6"/>
  <c r="DI35" i="6" s="1"/>
  <c r="DI34" i="6"/>
  <c r="DI33" i="6"/>
  <c r="DI32" i="6"/>
  <c r="DI31" i="6"/>
  <c r="DI30" i="6"/>
  <c r="DH29" i="6"/>
  <c r="DI29" i="6" s="1"/>
  <c r="CW36" i="6"/>
  <c r="CX36" i="6" s="1"/>
  <c r="CW35" i="6"/>
  <c r="CX35" i="6" s="1"/>
  <c r="CX34" i="6"/>
  <c r="CX33" i="6"/>
  <c r="CX32" i="6"/>
  <c r="CX31" i="6"/>
  <c r="CX30" i="6"/>
  <c r="CW29" i="6"/>
  <c r="CX29" i="6" s="1"/>
  <c r="CL36" i="6"/>
  <c r="CM36" i="6" s="1"/>
  <c r="CL35" i="6"/>
  <c r="CM35" i="6" s="1"/>
  <c r="CM34" i="6"/>
  <c r="CM33" i="6"/>
  <c r="CM32" i="6"/>
  <c r="CM31" i="6"/>
  <c r="CM30" i="6"/>
  <c r="CL29" i="6"/>
  <c r="CM29" i="6" s="1"/>
  <c r="CA36" i="6"/>
  <c r="CB36" i="6" s="1"/>
  <c r="CA35" i="6"/>
  <c r="CB35" i="6" s="1"/>
  <c r="CB34" i="6"/>
  <c r="CB33" i="6"/>
  <c r="CB32" i="6"/>
  <c r="CB31" i="6"/>
  <c r="CB30" i="6"/>
  <c r="CA29" i="6"/>
  <c r="CB29" i="6" s="1"/>
  <c r="BP36" i="6"/>
  <c r="BQ36" i="6" s="1"/>
  <c r="BP35" i="6"/>
  <c r="BQ35" i="6" s="1"/>
  <c r="BQ34" i="6"/>
  <c r="BQ33" i="6"/>
  <c r="BQ32" i="6"/>
  <c r="BQ31" i="6"/>
  <c r="BQ30" i="6"/>
  <c r="BP29" i="6"/>
  <c r="BQ29" i="6" s="1"/>
  <c r="BE36" i="6"/>
  <c r="BF36" i="6" s="1"/>
  <c r="BE35" i="6"/>
  <c r="BF35" i="6" s="1"/>
  <c r="BF34" i="6"/>
  <c r="BF33" i="6"/>
  <c r="BF32" i="6"/>
  <c r="BF31" i="6"/>
  <c r="BF30" i="6"/>
  <c r="BE29" i="6"/>
  <c r="BF29" i="6" s="1"/>
  <c r="AT36" i="6"/>
  <c r="AU36" i="6" s="1"/>
  <c r="AT35" i="6"/>
  <c r="AU35" i="6" s="1"/>
  <c r="AU34" i="6"/>
  <c r="AU33" i="6"/>
  <c r="AU32" i="6"/>
  <c r="AU31" i="6"/>
  <c r="AU30" i="6"/>
  <c r="AT29" i="6"/>
  <c r="AU29" i="6" s="1"/>
  <c r="AI36" i="6"/>
  <c r="AJ36" i="6" s="1"/>
  <c r="AI35" i="6"/>
  <c r="AJ35" i="6" s="1"/>
  <c r="AJ34" i="6"/>
  <c r="AJ33" i="6"/>
  <c r="AJ32" i="6"/>
  <c r="AJ31" i="6"/>
  <c r="AJ30" i="6"/>
  <c r="AI29" i="6"/>
  <c r="AJ29" i="6" s="1"/>
  <c r="X36" i="6"/>
  <c r="Y36" i="6" s="1"/>
  <c r="X35" i="6"/>
  <c r="Y35" i="6" s="1"/>
  <c r="Y34" i="6"/>
  <c r="Y33" i="6"/>
  <c r="Y32" i="6"/>
  <c r="Y31" i="6"/>
  <c r="Y30" i="6"/>
  <c r="X29" i="6"/>
  <c r="Y29" i="6" s="1"/>
  <c r="FK11" i="6"/>
  <c r="FL11" i="6" s="1"/>
  <c r="FK10" i="6"/>
  <c r="FL10" i="6" s="1"/>
  <c r="FK9" i="6"/>
  <c r="FL9" i="6" s="1"/>
  <c r="FK8" i="6"/>
  <c r="FL8" i="6" s="1"/>
  <c r="FK7" i="6"/>
  <c r="FL7" i="6" s="1"/>
  <c r="FK6" i="6"/>
  <c r="FL6" i="6" s="1"/>
  <c r="EZ11" i="6"/>
  <c r="FA11" i="6" s="1"/>
  <c r="EZ10" i="6"/>
  <c r="FA10" i="6" s="1"/>
  <c r="EZ9" i="6"/>
  <c r="FA9" i="6" s="1"/>
  <c r="EZ8" i="6"/>
  <c r="FA8" i="6" s="1"/>
  <c r="EZ7" i="6"/>
  <c r="FA7" i="6" s="1"/>
  <c r="EZ6" i="6"/>
  <c r="FA6" i="6" s="1"/>
  <c r="EO11" i="6"/>
  <c r="EP11" i="6" s="1"/>
  <c r="EO10" i="6"/>
  <c r="EP10" i="6" s="1"/>
  <c r="EO9" i="6"/>
  <c r="EP9" i="6" s="1"/>
  <c r="EO8" i="6"/>
  <c r="EP8" i="6" s="1"/>
  <c r="EO7" i="6"/>
  <c r="EP7" i="6" s="1"/>
  <c r="EO6" i="6"/>
  <c r="EP6" i="6" s="1"/>
  <c r="ED11" i="6"/>
  <c r="EE11" i="6" s="1"/>
  <c r="ED10" i="6"/>
  <c r="EE10" i="6" s="1"/>
  <c r="ED9" i="6"/>
  <c r="EE9" i="6" s="1"/>
  <c r="ED8" i="6"/>
  <c r="EE8" i="6" s="1"/>
  <c r="ED7" i="6"/>
  <c r="EE7" i="6" s="1"/>
  <c r="ED6" i="6"/>
  <c r="EE6" i="6" s="1"/>
  <c r="DS11" i="6"/>
  <c r="DT11" i="6" s="1"/>
  <c r="DS10" i="6"/>
  <c r="DT10" i="6" s="1"/>
  <c r="DS9" i="6"/>
  <c r="DT9" i="6" s="1"/>
  <c r="DS8" i="6"/>
  <c r="DT8" i="6" s="1"/>
  <c r="DS7" i="6"/>
  <c r="DT7" i="6" s="1"/>
  <c r="DS6" i="6"/>
  <c r="DT6" i="6" s="1"/>
  <c r="DH11" i="6"/>
  <c r="DI11" i="6" s="1"/>
  <c r="DH10" i="6"/>
  <c r="DI10" i="6" s="1"/>
  <c r="DH9" i="6"/>
  <c r="DI9" i="6" s="1"/>
  <c r="DH8" i="6"/>
  <c r="DI8" i="6" s="1"/>
  <c r="DH7" i="6"/>
  <c r="DI7" i="6" s="1"/>
  <c r="DH6" i="6"/>
  <c r="DI6" i="6" s="1"/>
  <c r="CW11" i="6"/>
  <c r="CX11" i="6" s="1"/>
  <c r="CW10" i="6"/>
  <c r="CX10" i="6" s="1"/>
  <c r="CW9" i="6"/>
  <c r="CX9" i="6" s="1"/>
  <c r="CW8" i="6"/>
  <c r="CX8" i="6" s="1"/>
  <c r="CW7" i="6"/>
  <c r="CX7" i="6" s="1"/>
  <c r="CW6" i="6"/>
  <c r="CX6" i="6" s="1"/>
  <c r="CL11" i="6"/>
  <c r="CM11" i="6" s="1"/>
  <c r="CL10" i="6"/>
  <c r="CM10" i="6" s="1"/>
  <c r="CL9" i="6"/>
  <c r="CM9" i="6" s="1"/>
  <c r="CL8" i="6"/>
  <c r="CM8" i="6" s="1"/>
  <c r="CL7" i="6"/>
  <c r="CM7" i="6" s="1"/>
  <c r="CL6" i="6"/>
  <c r="CM6" i="6" s="1"/>
  <c r="CA11" i="6"/>
  <c r="CB11" i="6" s="1"/>
  <c r="CA10" i="6"/>
  <c r="CB10" i="6" s="1"/>
  <c r="CA9" i="6"/>
  <c r="CB9" i="6" s="1"/>
  <c r="CA8" i="6"/>
  <c r="CB8" i="6" s="1"/>
  <c r="CA7" i="6"/>
  <c r="CB7" i="6" s="1"/>
  <c r="CA6" i="6"/>
  <c r="CB6" i="6" s="1"/>
  <c r="BP11" i="6"/>
  <c r="BQ11" i="6" s="1"/>
  <c r="BP10" i="6"/>
  <c r="BQ10" i="6" s="1"/>
  <c r="BP9" i="6"/>
  <c r="BQ9" i="6" s="1"/>
  <c r="BP8" i="6"/>
  <c r="BQ8" i="6" s="1"/>
  <c r="BP7" i="6"/>
  <c r="BQ7" i="6" s="1"/>
  <c r="BP6" i="6"/>
  <c r="BQ6" i="6" s="1"/>
  <c r="BE11" i="6"/>
  <c r="BF11" i="6" s="1"/>
  <c r="BE10" i="6"/>
  <c r="BF10" i="6" s="1"/>
  <c r="BE9" i="6"/>
  <c r="BF9" i="6" s="1"/>
  <c r="BE8" i="6"/>
  <c r="BF8" i="6" s="1"/>
  <c r="BE7" i="6"/>
  <c r="BF7" i="6" s="1"/>
  <c r="BE6" i="6"/>
  <c r="BF6" i="6" s="1"/>
  <c r="AT11" i="6"/>
  <c r="AU11" i="6" s="1"/>
  <c r="AT10" i="6"/>
  <c r="AU10" i="6" s="1"/>
  <c r="AT9" i="6"/>
  <c r="AU9" i="6" s="1"/>
  <c r="AT8" i="6"/>
  <c r="AU8" i="6" s="1"/>
  <c r="AT7" i="6"/>
  <c r="AU7" i="6" s="1"/>
  <c r="AT6" i="6"/>
  <c r="AU6" i="6" s="1"/>
  <c r="AI11" i="6"/>
  <c r="AJ11" i="6" s="1"/>
  <c r="AI10" i="6"/>
  <c r="AJ10" i="6" s="1"/>
  <c r="AI9" i="6"/>
  <c r="AJ9" i="6" s="1"/>
  <c r="AI8" i="6"/>
  <c r="AJ8" i="6" s="1"/>
  <c r="AI7" i="6"/>
  <c r="AJ7" i="6" s="1"/>
  <c r="AI6" i="6"/>
  <c r="AJ6" i="6" s="1"/>
  <c r="X11" i="6"/>
  <c r="Y11" i="6" s="1"/>
  <c r="X10" i="6"/>
  <c r="Y10" i="6" s="1"/>
  <c r="X9" i="6"/>
  <c r="Y9" i="6" s="1"/>
  <c r="X8" i="6"/>
  <c r="Y8" i="6" s="1"/>
  <c r="X7" i="6"/>
  <c r="Y7" i="6" s="1"/>
  <c r="X6" i="6"/>
  <c r="Y6" i="6" s="1"/>
  <c r="L36" i="6"/>
  <c r="M36" i="6" s="1"/>
  <c r="L35" i="6"/>
  <c r="M35" i="6" s="1"/>
  <c r="L29" i="6"/>
  <c r="M29" i="6" s="1"/>
  <c r="L11" i="6"/>
  <c r="M11" i="6" s="1"/>
  <c r="L10" i="6"/>
  <c r="M10" i="6" s="1"/>
  <c r="L9" i="6"/>
  <c r="M9" i="6" s="1"/>
  <c r="L8" i="6"/>
  <c r="M8" i="6" s="1"/>
  <c r="L7" i="6"/>
  <c r="M7" i="6" s="1"/>
  <c r="L6" i="6"/>
  <c r="M6" i="6" s="1"/>
  <c r="FJ94" i="5"/>
  <c r="FK94" i="5" s="1"/>
  <c r="FJ93" i="5"/>
  <c r="FK93" i="5" s="1"/>
  <c r="FJ92" i="5"/>
  <c r="FK92" i="5" s="1"/>
  <c r="FJ91" i="5"/>
  <c r="FK91" i="5" s="1"/>
  <c r="FJ90" i="5"/>
  <c r="FK90" i="5" s="1"/>
  <c r="FJ89" i="5"/>
  <c r="FK89" i="5" s="1"/>
  <c r="FJ88" i="5"/>
  <c r="FK88" i="5" s="1"/>
  <c r="EX94" i="5"/>
  <c r="EY94" i="5" s="1"/>
  <c r="EX93" i="5"/>
  <c r="EY93" i="5" s="1"/>
  <c r="EX92" i="5"/>
  <c r="EY92" i="5" s="1"/>
  <c r="EX91" i="5"/>
  <c r="EY91" i="5" s="1"/>
  <c r="EX90" i="5"/>
  <c r="EY90" i="5" s="1"/>
  <c r="EX89" i="5"/>
  <c r="EY89" i="5" s="1"/>
  <c r="EX88" i="5"/>
  <c r="EY88" i="5" s="1"/>
  <c r="EM94" i="5"/>
  <c r="EN94" i="5" s="1"/>
  <c r="EM93" i="5"/>
  <c r="EN93" i="5" s="1"/>
  <c r="EM92" i="5"/>
  <c r="EN92" i="5" s="1"/>
  <c r="EM91" i="5"/>
  <c r="EN91" i="5" s="1"/>
  <c r="EM90" i="5"/>
  <c r="EN90" i="5" s="1"/>
  <c r="EM89" i="5"/>
  <c r="EN89" i="5" s="1"/>
  <c r="EM88" i="5"/>
  <c r="EN88" i="5" s="1"/>
  <c r="EB94" i="5"/>
  <c r="EC94" i="5" s="1"/>
  <c r="EB93" i="5"/>
  <c r="EC93" i="5" s="1"/>
  <c r="EB92" i="5"/>
  <c r="EC92" i="5" s="1"/>
  <c r="EB91" i="5"/>
  <c r="EC91" i="5" s="1"/>
  <c r="EB90" i="5"/>
  <c r="EC90" i="5" s="1"/>
  <c r="EB89" i="5"/>
  <c r="EC89" i="5" s="1"/>
  <c r="EB88" i="5"/>
  <c r="EC88" i="5" s="1"/>
  <c r="DQ94" i="5"/>
  <c r="DR94" i="5" s="1"/>
  <c r="DQ93" i="5"/>
  <c r="DR93" i="5" s="1"/>
  <c r="DQ92" i="5"/>
  <c r="DR92" i="5" s="1"/>
  <c r="DQ91" i="5"/>
  <c r="DR91" i="5" s="1"/>
  <c r="DQ90" i="5"/>
  <c r="DR90" i="5" s="1"/>
  <c r="DQ89" i="5"/>
  <c r="DR89" i="5" s="1"/>
  <c r="DQ88" i="5"/>
  <c r="DR88" i="5" s="1"/>
  <c r="DF94" i="5"/>
  <c r="DG94" i="5" s="1"/>
  <c r="DF93" i="5"/>
  <c r="DG93" i="5" s="1"/>
  <c r="DF92" i="5"/>
  <c r="DG92" i="5" s="1"/>
  <c r="DF91" i="5"/>
  <c r="DG91" i="5" s="1"/>
  <c r="DF90" i="5"/>
  <c r="DG90" i="5" s="1"/>
  <c r="DF89" i="5"/>
  <c r="DG89" i="5" s="1"/>
  <c r="DF88" i="5"/>
  <c r="DG88" i="5" s="1"/>
  <c r="CU94" i="5"/>
  <c r="CV94" i="5" s="1"/>
  <c r="CU93" i="5"/>
  <c r="CV93" i="5" s="1"/>
  <c r="CU92" i="5"/>
  <c r="CV92" i="5" s="1"/>
  <c r="CU91" i="5"/>
  <c r="CV91" i="5" s="1"/>
  <c r="CU90" i="5"/>
  <c r="CV90" i="5" s="1"/>
  <c r="CU89" i="5"/>
  <c r="CV89" i="5" s="1"/>
  <c r="CU88" i="5"/>
  <c r="CV88" i="5" s="1"/>
  <c r="CJ94" i="5"/>
  <c r="CK94" i="5" s="1"/>
  <c r="CJ93" i="5"/>
  <c r="CK93" i="5" s="1"/>
  <c r="CJ92" i="5"/>
  <c r="CK92" i="5" s="1"/>
  <c r="CJ91" i="5"/>
  <c r="CK91" i="5" s="1"/>
  <c r="CJ90" i="5"/>
  <c r="CK90" i="5" s="1"/>
  <c r="CJ89" i="5"/>
  <c r="CK89" i="5" s="1"/>
  <c r="CJ88" i="5"/>
  <c r="CK88" i="5" s="1"/>
  <c r="BY11" i="5"/>
  <c r="BZ11" i="5" s="1"/>
  <c r="BY10" i="5"/>
  <c r="BZ10" i="5" s="1"/>
  <c r="BY9" i="5"/>
  <c r="BZ9" i="5" s="1"/>
  <c r="BY8" i="5"/>
  <c r="BZ8" i="5" s="1"/>
  <c r="BY7" i="5"/>
  <c r="BZ7" i="5" s="1"/>
  <c r="BY6" i="5"/>
  <c r="BZ6" i="5" s="1"/>
  <c r="BY5" i="5"/>
  <c r="BZ5" i="5" s="1"/>
  <c r="BN11" i="5"/>
  <c r="BO11" i="5" s="1"/>
  <c r="BN10" i="5"/>
  <c r="BO10" i="5" s="1"/>
  <c r="BN9" i="5"/>
  <c r="BO9" i="5" s="1"/>
  <c r="BN8" i="5"/>
  <c r="BO8" i="5" s="1"/>
  <c r="BN7" i="5"/>
  <c r="BO7" i="5" s="1"/>
  <c r="BN6" i="5"/>
  <c r="BO6" i="5" s="1"/>
  <c r="BN5" i="5"/>
  <c r="BO5" i="5" s="1"/>
  <c r="BC11" i="5"/>
  <c r="BD11" i="5" s="1"/>
  <c r="BC10" i="5"/>
  <c r="BD10" i="5" s="1"/>
  <c r="BC9" i="5"/>
  <c r="BD9" i="5" s="1"/>
  <c r="BC8" i="5"/>
  <c r="BD8" i="5" s="1"/>
  <c r="BC7" i="5"/>
  <c r="BD7" i="5" s="1"/>
  <c r="BC6" i="5"/>
  <c r="BD6" i="5" s="1"/>
  <c r="BC5" i="5"/>
  <c r="BD5" i="5" s="1"/>
  <c r="AR11" i="5"/>
  <c r="AS11" i="5" s="1"/>
  <c r="AR10" i="5"/>
  <c r="AS10" i="5" s="1"/>
  <c r="AR9" i="5"/>
  <c r="AS9" i="5" s="1"/>
  <c r="AR8" i="5"/>
  <c r="AS8" i="5" s="1"/>
  <c r="AR7" i="5"/>
  <c r="AS7" i="5" s="1"/>
  <c r="AR6" i="5"/>
  <c r="AS6" i="5" s="1"/>
  <c r="AR5" i="5"/>
  <c r="AS5" i="5" s="1"/>
  <c r="AG11" i="5"/>
  <c r="AH11" i="5" s="1"/>
  <c r="AG10" i="5"/>
  <c r="AH10" i="5" s="1"/>
  <c r="AG9" i="5"/>
  <c r="AH9" i="5" s="1"/>
  <c r="AG8" i="5"/>
  <c r="AH8" i="5" s="1"/>
  <c r="AG7" i="5"/>
  <c r="AH7" i="5" s="1"/>
  <c r="AG6" i="5"/>
  <c r="AH6" i="5" s="1"/>
  <c r="AG5" i="5"/>
  <c r="AH5" i="5" s="1"/>
  <c r="V11" i="5"/>
  <c r="W11" i="5" s="1"/>
  <c r="V10" i="5"/>
  <c r="W10" i="5" s="1"/>
  <c r="V9" i="5"/>
  <c r="W9" i="5" s="1"/>
  <c r="V8" i="5"/>
  <c r="W8" i="5" s="1"/>
  <c r="V7" i="5"/>
  <c r="W7" i="5" s="1"/>
  <c r="V6" i="5"/>
  <c r="W6" i="5" s="1"/>
  <c r="V5" i="5"/>
  <c r="W5" i="5" s="1"/>
  <c r="K5" i="5"/>
  <c r="L5" i="5" s="1"/>
  <c r="K6" i="5"/>
  <c r="L6" i="5" s="1"/>
  <c r="K7" i="5"/>
  <c r="L7" i="5" s="1"/>
  <c r="K8" i="5"/>
  <c r="L8" i="5" s="1"/>
  <c r="K10" i="5"/>
  <c r="L10" i="5" s="1"/>
  <c r="K11" i="5"/>
  <c r="L11" i="5" s="1"/>
  <c r="FN8" i="20"/>
  <c r="FO8" i="20" s="1"/>
  <c r="FC8" i="20"/>
  <c r="FD8" i="20" s="1"/>
  <c r="ER8" i="20"/>
  <c r="ES8" i="20" s="1"/>
  <c r="EG8" i="20"/>
  <c r="EH8" i="20" s="1"/>
  <c r="DV8" i="20"/>
  <c r="DW8" i="20" s="1"/>
  <c r="DK8" i="20"/>
  <c r="DL8" i="20" s="1"/>
  <c r="CZ8" i="20"/>
  <c r="DA8" i="20" s="1"/>
  <c r="CD8" i="20"/>
  <c r="CE8" i="20" s="1"/>
  <c r="BS8" i="20"/>
  <c r="BT8" i="20" s="1"/>
  <c r="BH8" i="20"/>
  <c r="BI8" i="20" s="1"/>
  <c r="AW8" i="20"/>
  <c r="AX8" i="20" s="1"/>
  <c r="AL8" i="20"/>
  <c r="AM8" i="20" s="1"/>
  <c r="AA8" i="20"/>
  <c r="AB8" i="20" s="1"/>
  <c r="P8" i="20"/>
  <c r="Q8" i="20" s="1"/>
  <c r="FN7" i="20"/>
  <c r="FO7" i="20" s="1"/>
  <c r="FC7" i="20"/>
  <c r="FD7" i="20" s="1"/>
  <c r="ER7" i="20"/>
  <c r="ES7" i="20" s="1"/>
  <c r="EG7" i="20"/>
  <c r="EH7" i="20" s="1"/>
  <c r="DV7" i="20"/>
  <c r="DW7" i="20" s="1"/>
  <c r="DK7" i="20"/>
  <c r="DL7" i="20" s="1"/>
  <c r="CZ7" i="20"/>
  <c r="DA7" i="20" s="1"/>
  <c r="CD7" i="20"/>
  <c r="CE7" i="20" s="1"/>
  <c r="BS7" i="20"/>
  <c r="BT7" i="20" s="1"/>
  <c r="BH7" i="20"/>
  <c r="BI7" i="20" s="1"/>
  <c r="AW7" i="20"/>
  <c r="AX7" i="20" s="1"/>
  <c r="AL7" i="20"/>
  <c r="AM7" i="20" s="1"/>
  <c r="AA7" i="20"/>
  <c r="AB7" i="20" s="1"/>
  <c r="FN17" i="20"/>
  <c r="FO17" i="20" s="1"/>
  <c r="FN6" i="20"/>
  <c r="FO6" i="20" s="1"/>
  <c r="FC17" i="20"/>
  <c r="FD17" i="20" s="1"/>
  <c r="FC6" i="20"/>
  <c r="FD6" i="20" s="1"/>
  <c r="ER17" i="20"/>
  <c r="ES17" i="20" s="1"/>
  <c r="ER6" i="20"/>
  <c r="ES6" i="20" s="1"/>
  <c r="EG17" i="20"/>
  <c r="EH17" i="20" s="1"/>
  <c r="EG6" i="20"/>
  <c r="EH6" i="20" s="1"/>
  <c r="DV17" i="20"/>
  <c r="DW17" i="20" s="1"/>
  <c r="DV18" i="20"/>
  <c r="DW18" i="20" s="1"/>
  <c r="DV6" i="20"/>
  <c r="DW6" i="20" s="1"/>
  <c r="DK17" i="20"/>
  <c r="DL17" i="20" s="1"/>
  <c r="DK6" i="20"/>
  <c r="DL6" i="20" s="1"/>
  <c r="CZ17" i="20"/>
  <c r="DA17" i="20" s="1"/>
  <c r="CZ6" i="20"/>
  <c r="DA6" i="20" s="1"/>
  <c r="CD17" i="20"/>
  <c r="CE17" i="20" s="1"/>
  <c r="CD6" i="20"/>
  <c r="CE6" i="20" s="1"/>
  <c r="BS17" i="20"/>
  <c r="BT17" i="20" s="1"/>
  <c r="BS6" i="20"/>
  <c r="BT6" i="20" s="1"/>
  <c r="BH17" i="20"/>
  <c r="BI17" i="20" s="1"/>
  <c r="BH6" i="20"/>
  <c r="BI6" i="20" s="1"/>
  <c r="AW17" i="20"/>
  <c r="AX17" i="20" s="1"/>
  <c r="AW6" i="20"/>
  <c r="AX6" i="20" s="1"/>
  <c r="AL17" i="20"/>
  <c r="AM17" i="20" s="1"/>
  <c r="AL6" i="20"/>
  <c r="AM6" i="20" s="1"/>
  <c r="AA17" i="20"/>
  <c r="AB17" i="20" s="1"/>
  <c r="AA6" i="20"/>
  <c r="AB6" i="20" s="1"/>
  <c r="P17" i="20"/>
  <c r="Q17" i="20" s="1"/>
  <c r="P6" i="20"/>
  <c r="Q6" i="20" s="1"/>
  <c r="P7" i="20"/>
  <c r="Q7" i="20" s="1"/>
  <c r="AG24" i="13"/>
  <c r="AH24" i="13" s="1"/>
  <c r="AG10" i="13"/>
  <c r="AH10" i="13" s="1"/>
  <c r="S24" i="13"/>
  <c r="T24" i="13" s="1"/>
  <c r="S10" i="13"/>
  <c r="T10" i="13" s="1"/>
  <c r="F24" i="13"/>
  <c r="G24" i="13" s="1"/>
  <c r="F10" i="13"/>
  <c r="G10" i="13" s="1"/>
  <c r="GO18" i="13"/>
  <c r="GP18" i="13" s="1"/>
  <c r="GA18" i="13"/>
  <c r="GB18" i="13" s="1"/>
  <c r="FM18" i="13"/>
  <c r="FN18" i="13" s="1"/>
  <c r="EY18" i="13"/>
  <c r="EZ18" i="13" s="1"/>
  <c r="EK18" i="13"/>
  <c r="EL18" i="13" s="1"/>
  <c r="DW18" i="13"/>
  <c r="DX18" i="13" s="1"/>
  <c r="DI18" i="13"/>
  <c r="DJ18" i="13" s="1"/>
  <c r="CU18" i="13"/>
  <c r="CV18" i="13" s="1"/>
  <c r="CH8" i="13"/>
  <c r="CI8" i="13" s="1"/>
  <c r="BU8" i="13"/>
  <c r="BV8" i="13" s="1"/>
  <c r="BH8" i="13"/>
  <c r="BI8" i="13" s="1"/>
  <c r="AU8" i="13"/>
  <c r="AV8" i="13" s="1"/>
  <c r="AG21" i="13"/>
  <c r="AH21" i="13" s="1"/>
  <c r="AG8" i="13"/>
  <c r="AH8" i="13" s="1"/>
  <c r="S21" i="13"/>
  <c r="T21" i="13" s="1"/>
  <c r="S8" i="13"/>
  <c r="T8" i="13" s="1"/>
  <c r="Q79" i="12"/>
  <c r="P79" i="12"/>
  <c r="O79" i="12"/>
  <c r="N79" i="12"/>
  <c r="M79" i="12"/>
  <c r="L79" i="12"/>
  <c r="K79" i="12"/>
  <c r="J79" i="12"/>
  <c r="I79" i="12"/>
  <c r="H79" i="12"/>
  <c r="AF81" i="12"/>
  <c r="AE81" i="12"/>
  <c r="AD81" i="12"/>
  <c r="AC81" i="12"/>
  <c r="AB81" i="12"/>
  <c r="AA81" i="12"/>
  <c r="Z81" i="12"/>
  <c r="Y81" i="12"/>
  <c r="X81" i="12"/>
  <c r="W81" i="12"/>
  <c r="AT81" i="12"/>
  <c r="AS81" i="12"/>
  <c r="AR81" i="12"/>
  <c r="AQ81" i="12"/>
  <c r="AP81" i="12"/>
  <c r="AO81" i="12"/>
  <c r="AN81" i="12"/>
  <c r="AM81" i="12"/>
  <c r="AL81" i="12"/>
  <c r="AK81" i="12"/>
  <c r="BI81" i="12"/>
  <c r="BH81" i="12"/>
  <c r="BG81" i="12"/>
  <c r="BF81" i="12"/>
  <c r="BE81" i="12"/>
  <c r="BD81" i="12"/>
  <c r="BC81" i="12"/>
  <c r="BB81" i="12"/>
  <c r="BA81" i="12"/>
  <c r="AZ81" i="12"/>
  <c r="BW81" i="12"/>
  <c r="BV81" i="12"/>
  <c r="BU81" i="12"/>
  <c r="BT81" i="12"/>
  <c r="BS81" i="12"/>
  <c r="BR81" i="12"/>
  <c r="BQ81" i="12"/>
  <c r="BP81" i="12"/>
  <c r="BO81" i="12"/>
  <c r="BN81" i="12"/>
  <c r="CK81" i="12"/>
  <c r="CJ81" i="12"/>
  <c r="CI81" i="12"/>
  <c r="CH81" i="12"/>
  <c r="CG81" i="12"/>
  <c r="CF81" i="12"/>
  <c r="CE81" i="12"/>
  <c r="CD81" i="12"/>
  <c r="CC81" i="12"/>
  <c r="CB81" i="12"/>
  <c r="CY81" i="12"/>
  <c r="CX81" i="12"/>
  <c r="CW81" i="12"/>
  <c r="CV81" i="12"/>
  <c r="CU81" i="12"/>
  <c r="CT81" i="12"/>
  <c r="CS81" i="12"/>
  <c r="CR81" i="12"/>
  <c r="CQ81" i="12"/>
  <c r="CP81" i="12"/>
  <c r="DM81" i="12"/>
  <c r="DL81" i="12"/>
  <c r="DK81" i="12"/>
  <c r="DJ81" i="12"/>
  <c r="DI81" i="12"/>
  <c r="DH81" i="12"/>
  <c r="DG81" i="12"/>
  <c r="DF81" i="12"/>
  <c r="DE81" i="12"/>
  <c r="DD81" i="12"/>
  <c r="DZ80" i="12"/>
  <c r="DY80" i="12"/>
  <c r="DX80" i="12"/>
  <c r="DW80" i="12"/>
  <c r="DV80" i="12"/>
  <c r="DU80" i="12"/>
  <c r="DT80" i="12"/>
  <c r="DS80" i="12"/>
  <c r="DR80" i="12"/>
  <c r="DQ80" i="12"/>
  <c r="EO81" i="12"/>
  <c r="EN81" i="12"/>
  <c r="EM81" i="12"/>
  <c r="EL81" i="12"/>
  <c r="EK81" i="12"/>
  <c r="EJ81" i="12"/>
  <c r="EI81" i="12"/>
  <c r="EH81" i="12"/>
  <c r="EG81" i="12"/>
  <c r="EF81" i="12"/>
  <c r="FC81" i="12"/>
  <c r="FB81" i="12"/>
  <c r="FA81" i="12"/>
  <c r="EZ81" i="12"/>
  <c r="EY81" i="12"/>
  <c r="EX81" i="12"/>
  <c r="EW81" i="12"/>
  <c r="EV81" i="12"/>
  <c r="EU81" i="12"/>
  <c r="ET81" i="12"/>
  <c r="FQ80" i="12"/>
  <c r="FP80" i="12"/>
  <c r="FO80" i="12"/>
  <c r="FN80" i="12"/>
  <c r="FM80" i="12"/>
  <c r="FL80" i="12"/>
  <c r="FK80" i="12"/>
  <c r="FJ80" i="12"/>
  <c r="FI80" i="12"/>
  <c r="FH80" i="12"/>
  <c r="GE80" i="12"/>
  <c r="GD80" i="12"/>
  <c r="GC80" i="12"/>
  <c r="GB80" i="12"/>
  <c r="GA80" i="12"/>
  <c r="FZ80" i="12"/>
  <c r="FY80" i="12"/>
  <c r="FX80" i="12"/>
  <c r="FW80" i="12"/>
  <c r="FV80" i="12"/>
  <c r="GS81" i="12"/>
  <c r="GR81" i="12"/>
  <c r="GQ81" i="12"/>
  <c r="GP81" i="12"/>
  <c r="GO81" i="12"/>
  <c r="GN81" i="12"/>
  <c r="GM81" i="12"/>
  <c r="GL81" i="12"/>
  <c r="GK81" i="12"/>
  <c r="GJ81" i="12"/>
  <c r="GY81" i="12"/>
  <c r="GZ81" i="12"/>
  <c r="HA81" i="12"/>
  <c r="HB81" i="12"/>
  <c r="HC81" i="12"/>
  <c r="HD81" i="12"/>
  <c r="HE81" i="12"/>
  <c r="HF81" i="12"/>
  <c r="HG81" i="12"/>
  <c r="GX81" i="12"/>
  <c r="GZ23" i="12"/>
  <c r="GY23" i="12"/>
  <c r="GZ12" i="12"/>
  <c r="GY12" i="12"/>
  <c r="GL22" i="12"/>
  <c r="GK22" i="12"/>
  <c r="GL12" i="12"/>
  <c r="GK12" i="12"/>
  <c r="FX21" i="12"/>
  <c r="FW21" i="12"/>
  <c r="FX6" i="12"/>
  <c r="FW6" i="12"/>
  <c r="FJ12" i="12"/>
  <c r="FI12" i="12"/>
  <c r="EV36" i="12"/>
  <c r="EU36" i="12"/>
  <c r="EV22" i="12"/>
  <c r="EU22" i="12"/>
  <c r="EV12" i="12"/>
  <c r="EU12" i="12"/>
  <c r="EH6" i="12"/>
  <c r="EG6" i="12"/>
  <c r="EH21" i="12"/>
  <c r="EG21" i="12"/>
  <c r="DT36" i="12"/>
  <c r="DS36" i="12"/>
  <c r="DT22" i="12"/>
  <c r="DS22" i="12"/>
  <c r="DT12" i="12"/>
  <c r="DS12" i="12"/>
  <c r="DF21" i="12"/>
  <c r="DE21" i="12"/>
  <c r="DF6" i="12"/>
  <c r="DE6" i="12"/>
  <c r="CR6" i="12"/>
  <c r="CQ6" i="12"/>
  <c r="CR21" i="12"/>
  <c r="CQ21" i="12"/>
  <c r="CD21" i="12"/>
  <c r="CC21" i="12"/>
  <c r="CD6" i="12"/>
  <c r="CC6" i="12"/>
  <c r="BP21" i="12"/>
  <c r="BO21" i="12"/>
  <c r="BP6" i="12"/>
  <c r="BO6" i="12"/>
  <c r="BB15" i="12"/>
  <c r="BA15" i="12"/>
  <c r="BB5" i="12"/>
  <c r="BA5" i="12"/>
  <c r="AN15" i="12"/>
  <c r="AM15" i="12"/>
  <c r="AN5" i="12"/>
  <c r="AM5" i="12"/>
  <c r="Z15" i="12"/>
  <c r="Y15" i="12"/>
  <c r="Z5" i="12"/>
  <c r="Y5" i="12"/>
  <c r="DZ158" i="4"/>
  <c r="DY158" i="4"/>
  <c r="DX158" i="4"/>
  <c r="DW158" i="4"/>
  <c r="DV158" i="4"/>
  <c r="DU158" i="4"/>
  <c r="DT158" i="4"/>
  <c r="DS158" i="4"/>
  <c r="DR158" i="4"/>
  <c r="DQ158" i="4"/>
  <c r="DM158" i="4"/>
  <c r="DL158" i="4"/>
  <c r="DK158" i="4"/>
  <c r="DJ158" i="4"/>
  <c r="DI158" i="4"/>
  <c r="DH158" i="4"/>
  <c r="DG158" i="4"/>
  <c r="DF158" i="4"/>
  <c r="DE158" i="4"/>
  <c r="DD158" i="4"/>
  <c r="CZ158" i="4"/>
  <c r="CY158" i="4"/>
  <c r="CX158" i="4"/>
  <c r="CW158" i="4"/>
  <c r="CV158" i="4"/>
  <c r="CU158" i="4"/>
  <c r="CT158" i="4"/>
  <c r="CS158" i="4"/>
  <c r="CR158" i="4"/>
  <c r="CQ158" i="4"/>
  <c r="CL158" i="4"/>
  <c r="CK158" i="4"/>
  <c r="CJ158" i="4"/>
  <c r="CI158" i="4"/>
  <c r="CH158" i="4"/>
  <c r="CG158" i="4"/>
  <c r="CF158" i="4"/>
  <c r="CE158" i="4"/>
  <c r="CD158" i="4"/>
  <c r="CC158" i="4"/>
  <c r="BV158" i="4"/>
  <c r="BU158" i="4"/>
  <c r="BT158" i="4"/>
  <c r="BS158" i="4"/>
  <c r="BR158" i="4"/>
  <c r="BQ158" i="4"/>
  <c r="BP158" i="4"/>
  <c r="BO158" i="4"/>
  <c r="BN158" i="4"/>
  <c r="BM158" i="4"/>
  <c r="BF158" i="4"/>
  <c r="BE158" i="4"/>
  <c r="BD158" i="4"/>
  <c r="BC158" i="4"/>
  <c r="BB158" i="4"/>
  <c r="BA158" i="4"/>
  <c r="AZ158" i="4"/>
  <c r="AY158" i="4"/>
  <c r="AX158" i="4"/>
  <c r="AW158" i="4"/>
  <c r="AT158" i="4"/>
  <c r="AS158" i="4"/>
  <c r="AR158" i="4"/>
  <c r="AQ158" i="4"/>
  <c r="AP158" i="4"/>
  <c r="AO158" i="4"/>
  <c r="AN158" i="4"/>
  <c r="AM158" i="4"/>
  <c r="AL158" i="4"/>
  <c r="AK158" i="4"/>
  <c r="AE158" i="4"/>
  <c r="AD158" i="4"/>
  <c r="AC158" i="4"/>
  <c r="AB158" i="4"/>
  <c r="AA158" i="4"/>
  <c r="Z158" i="4"/>
  <c r="Y158" i="4"/>
  <c r="X158" i="4"/>
  <c r="W158" i="4"/>
  <c r="V158" i="4"/>
  <c r="V165" i="4" s="1"/>
  <c r="Q158" i="4"/>
  <c r="P158" i="4"/>
  <c r="O158" i="4"/>
  <c r="N158" i="4"/>
  <c r="M158" i="4"/>
  <c r="L158" i="4"/>
  <c r="K158" i="4"/>
  <c r="J158" i="4"/>
  <c r="I158" i="4"/>
  <c r="H158" i="4"/>
  <c r="I94" i="4"/>
  <c r="J94" i="4"/>
  <c r="K94" i="4"/>
  <c r="L94" i="4"/>
  <c r="M94" i="4"/>
  <c r="N94" i="4"/>
  <c r="O94" i="4"/>
  <c r="P94" i="4"/>
  <c r="Q94" i="4"/>
  <c r="H94" i="4"/>
  <c r="H101" i="4" s="1"/>
  <c r="DR51" i="4"/>
  <c r="DS51" i="4" s="1"/>
  <c r="DR36" i="4"/>
  <c r="DS36" i="4" s="1"/>
  <c r="DR21" i="4"/>
  <c r="DS21" i="4" s="1"/>
  <c r="DR6" i="4"/>
  <c r="DS6" i="4" s="1"/>
  <c r="DE21" i="4"/>
  <c r="DF21" i="4" s="1"/>
  <c r="DE6" i="4"/>
  <c r="DF6" i="4" s="1"/>
  <c r="CR21" i="4"/>
  <c r="CS21" i="4" s="1"/>
  <c r="CR6" i="4"/>
  <c r="CS6" i="4" s="1"/>
  <c r="CD21" i="4"/>
  <c r="CE21" i="4" s="1"/>
  <c r="CD7" i="4"/>
  <c r="CE7" i="4" s="1"/>
  <c r="BN22" i="4"/>
  <c r="BO22" i="4" s="1"/>
  <c r="BN7" i="4"/>
  <c r="BO7" i="4" s="1"/>
  <c r="AY21" i="4"/>
  <c r="AZ21" i="4" s="1"/>
  <c r="AY7" i="4"/>
  <c r="AZ7" i="4" s="1"/>
  <c r="AL7" i="4"/>
  <c r="AM7" i="4" s="1"/>
  <c r="Y21" i="4"/>
  <c r="Z21" i="4" s="1"/>
  <c r="I21" i="4"/>
  <c r="J21" i="4" s="1"/>
  <c r="Y7" i="4"/>
  <c r="Z7" i="4" s="1"/>
  <c r="I7" i="4"/>
  <c r="I7" i="12" s="1"/>
  <c r="F69" i="1"/>
  <c r="E69" i="1"/>
  <c r="C69" i="1"/>
  <c r="C132" i="1"/>
  <c r="F132" i="1"/>
  <c r="D132" i="1"/>
  <c r="C90" i="1"/>
  <c r="E96" i="1"/>
  <c r="C59" i="1"/>
  <c r="C57" i="1"/>
  <c r="C39" i="1"/>
  <c r="C34" i="1"/>
  <c r="D5" i="30"/>
  <c r="E5" i="30" s="1"/>
  <c r="D6" i="30"/>
  <c r="E6" i="30"/>
  <c r="D7" i="30"/>
  <c r="E7" i="30" s="1"/>
  <c r="D8" i="30"/>
  <c r="E8" i="30"/>
  <c r="D9" i="30"/>
  <c r="E9" i="30" s="1"/>
  <c r="D10" i="30"/>
  <c r="E10" i="30"/>
  <c r="D11" i="30"/>
  <c r="E11" i="30" s="1"/>
  <c r="D12" i="30"/>
  <c r="E12" i="30"/>
  <c r="D13" i="30"/>
  <c r="E13" i="30" s="1"/>
  <c r="D14" i="30"/>
  <c r="E14" i="30"/>
  <c r="D15" i="30"/>
  <c r="E15" i="30" s="1"/>
  <c r="D16" i="30"/>
  <c r="E16" i="30"/>
  <c r="D17" i="30"/>
  <c r="E17" i="30" s="1"/>
  <c r="D18" i="30"/>
  <c r="E18" i="30"/>
  <c r="D19" i="30"/>
  <c r="E19" i="30" s="1"/>
  <c r="D20" i="30"/>
  <c r="E20" i="30"/>
  <c r="D21" i="30"/>
  <c r="E21" i="30" s="1"/>
  <c r="D22" i="30"/>
  <c r="E22" i="30"/>
  <c r="D23" i="30"/>
  <c r="E23" i="30" s="1"/>
  <c r="D24" i="30"/>
  <c r="E24" i="30"/>
  <c r="D25" i="30"/>
  <c r="E25" i="30" s="1"/>
  <c r="D26" i="30"/>
  <c r="E26" i="30"/>
  <c r="D27" i="30"/>
  <c r="E27" i="30" s="1"/>
  <c r="D28" i="30"/>
  <c r="E28" i="30"/>
  <c r="D29" i="30"/>
  <c r="E29" i="30" s="1"/>
  <c r="D30" i="30"/>
  <c r="E30" i="30"/>
  <c r="D31" i="30"/>
  <c r="E31" i="30" s="1"/>
  <c r="D32" i="30"/>
  <c r="E32" i="30"/>
  <c r="D33" i="30"/>
  <c r="E33" i="30" s="1"/>
  <c r="D34" i="30"/>
  <c r="E34" i="30"/>
  <c r="D35" i="30"/>
  <c r="E35" i="30" s="1"/>
  <c r="D36" i="30"/>
  <c r="E36" i="30"/>
  <c r="E4" i="30"/>
  <c r="D4" i="30"/>
  <c r="F41" i="1"/>
  <c r="D41" i="1"/>
  <c r="F39" i="1"/>
  <c r="D39" i="1"/>
  <c r="F37" i="1"/>
  <c r="D37" i="1"/>
  <c r="F34" i="1"/>
  <c r="D34" i="1"/>
  <c r="B41" i="1"/>
  <c r="B39" i="1"/>
  <c r="B37" i="1"/>
  <c r="B34" i="1"/>
  <c r="C36" i="1"/>
  <c r="C37" i="1" s="1"/>
  <c r="AS192" i="3"/>
  <c r="AT192" i="3"/>
  <c r="AU192" i="3"/>
  <c r="AV192" i="3"/>
  <c r="AT176" i="3"/>
  <c r="R101" i="12" l="1"/>
  <c r="T99" i="12"/>
  <c r="S100" i="12"/>
  <c r="J7" i="4"/>
  <c r="CC102" i="4"/>
  <c r="S101" i="12" l="1"/>
  <c r="U99" i="12"/>
  <c r="U100" i="12" s="1"/>
  <c r="T100" i="12"/>
  <c r="W20" i="16"/>
  <c r="X198" i="16"/>
  <c r="W198" i="16"/>
  <c r="AD25" i="16"/>
  <c r="AE25" i="16"/>
  <c r="AF25" i="16"/>
  <c r="AG25" i="16"/>
  <c r="AH25" i="16"/>
  <c r="AI25" i="16"/>
  <c r="AJ25" i="16"/>
  <c r="AK25" i="16"/>
  <c r="AL25" i="16"/>
  <c r="X25" i="16"/>
  <c r="Y25" i="16"/>
  <c r="Z25" i="16"/>
  <c r="AA25" i="16"/>
  <c r="AB25" i="16"/>
  <c r="AC25" i="16"/>
  <c r="W25" i="16"/>
  <c r="W197" i="16"/>
  <c r="G188" i="4"/>
  <c r="T101" i="12" l="1"/>
  <c r="I123" i="12" s="1"/>
  <c r="U101" i="12"/>
  <c r="I13" i="29"/>
  <c r="I14" i="29"/>
  <c r="I15" i="29"/>
  <c r="I16" i="29"/>
  <c r="I17" i="29"/>
  <c r="I18" i="29"/>
  <c r="I19" i="29"/>
  <c r="I12" i="29"/>
  <c r="BU112" i="13"/>
  <c r="BT124" i="13" s="1"/>
  <c r="I108" i="12"/>
  <c r="J102" i="12"/>
  <c r="O5" i="29"/>
  <c r="Z5" i="29" s="1"/>
  <c r="C63" i="20"/>
  <c r="E63" i="20" s="1"/>
  <c r="AJ58" i="20"/>
  <c r="AJ57" i="20"/>
  <c r="AJ56" i="20"/>
  <c r="AJ55" i="20"/>
  <c r="AJ54" i="20"/>
  <c r="AJ53" i="20"/>
  <c r="AJ52" i="20"/>
  <c r="Y58" i="20"/>
  <c r="Y57" i="20"/>
  <c r="Y56" i="20"/>
  <c r="Y55" i="20"/>
  <c r="Y54" i="20"/>
  <c r="Y53" i="20"/>
  <c r="Y52" i="20"/>
  <c r="N58" i="20"/>
  <c r="N57" i="20"/>
  <c r="N56" i="20"/>
  <c r="N55" i="20"/>
  <c r="N54" i="20"/>
  <c r="N53" i="20"/>
  <c r="N52" i="20"/>
  <c r="B75" i="20"/>
  <c r="C75" i="20"/>
  <c r="D75" i="20"/>
  <c r="B76" i="20"/>
  <c r="C76" i="20"/>
  <c r="D76" i="20"/>
  <c r="B77" i="20"/>
  <c r="C77" i="20"/>
  <c r="D77" i="20"/>
  <c r="BC8" i="10"/>
  <c r="BC9" i="10"/>
  <c r="BC10" i="10"/>
  <c r="BC11" i="10"/>
  <c r="BC7" i="10"/>
  <c r="H63" i="20" l="1"/>
  <c r="CN78" i="20"/>
  <c r="J104" i="12"/>
  <c r="O102" i="12"/>
  <c r="S102" i="12"/>
  <c r="P102" i="12"/>
  <c r="T102" i="12"/>
  <c r="Q102" i="12"/>
  <c r="U102" i="12"/>
  <c r="N102" i="12"/>
  <c r="R102" i="12"/>
  <c r="J123" i="12"/>
  <c r="I124" i="12"/>
  <c r="K123" i="12"/>
  <c r="J108" i="12"/>
  <c r="CG124" i="13"/>
  <c r="BW124" i="13"/>
  <c r="BV124" i="13"/>
  <c r="BU124" i="13"/>
  <c r="J111" i="12"/>
  <c r="J105" i="12"/>
  <c r="L104" i="12"/>
  <c r="O8" i="29" s="1"/>
  <c r="Z8" i="29" s="1"/>
  <c r="J110" i="12"/>
  <c r="Z26" i="29"/>
  <c r="J109" i="12"/>
  <c r="J113" i="12"/>
  <c r="J114" i="12"/>
  <c r="J107" i="12"/>
  <c r="L102" i="12"/>
  <c r="O6" i="29" s="1"/>
  <c r="Z6" i="29" s="1"/>
  <c r="J103" i="12"/>
  <c r="J112" i="12"/>
  <c r="J106" i="12"/>
  <c r="CH124" i="13"/>
  <c r="CP78" i="20" l="1"/>
  <c r="CN85" i="20"/>
  <c r="CO78" i="20"/>
  <c r="L106" i="12"/>
  <c r="O10" i="29" s="1"/>
  <c r="O106" i="12"/>
  <c r="P106" i="12"/>
  <c r="Q106" i="12"/>
  <c r="N106" i="12"/>
  <c r="L112" i="12"/>
  <c r="O16" i="29" s="1"/>
  <c r="O112" i="12"/>
  <c r="P112" i="12"/>
  <c r="Q112" i="12"/>
  <c r="N112" i="12"/>
  <c r="O114" i="12"/>
  <c r="P114" i="12"/>
  <c r="Q114" i="12"/>
  <c r="N114" i="12"/>
  <c r="L110" i="12"/>
  <c r="O14" i="29" s="1"/>
  <c r="Z35" i="29" s="1"/>
  <c r="O110" i="12"/>
  <c r="P110" i="12"/>
  <c r="Q110" i="12"/>
  <c r="N110" i="12"/>
  <c r="L111" i="12"/>
  <c r="O15" i="29" s="1"/>
  <c r="Z15" i="29" s="1"/>
  <c r="O111" i="12"/>
  <c r="P111" i="12"/>
  <c r="Q111" i="12"/>
  <c r="N111" i="12"/>
  <c r="J124" i="12"/>
  <c r="K124" i="12"/>
  <c r="I125" i="12"/>
  <c r="L105" i="12"/>
  <c r="O9" i="29" s="1"/>
  <c r="Z9" i="29" s="1"/>
  <c r="O105" i="12"/>
  <c r="P105" i="12"/>
  <c r="Q105" i="12"/>
  <c r="N105" i="12"/>
  <c r="L103" i="12"/>
  <c r="O7" i="29" s="1"/>
  <c r="Z7" i="29" s="1"/>
  <c r="O103" i="12"/>
  <c r="S103" i="12"/>
  <c r="P103" i="12"/>
  <c r="T103" i="12"/>
  <c r="Q103" i="12"/>
  <c r="U103" i="12"/>
  <c r="N103" i="12"/>
  <c r="R103" i="12"/>
  <c r="L113" i="12"/>
  <c r="O17" i="29" s="1"/>
  <c r="Z17" i="29" s="1"/>
  <c r="O113" i="12"/>
  <c r="P113" i="12"/>
  <c r="Q113" i="12"/>
  <c r="N113" i="12"/>
  <c r="L107" i="12"/>
  <c r="O11" i="29" s="1"/>
  <c r="O107" i="12"/>
  <c r="P107" i="12"/>
  <c r="Q107" i="12"/>
  <c r="N107" i="12"/>
  <c r="L109" i="12"/>
  <c r="O13" i="29" s="1"/>
  <c r="O109" i="12"/>
  <c r="P109" i="12"/>
  <c r="Q109" i="12"/>
  <c r="N109" i="12"/>
  <c r="L108" i="12"/>
  <c r="O12" i="29" s="1"/>
  <c r="Z33" i="29" s="1"/>
  <c r="O108" i="12"/>
  <c r="P108" i="12"/>
  <c r="Q108" i="12"/>
  <c r="N108" i="12"/>
  <c r="J115" i="12"/>
  <c r="O104" i="12"/>
  <c r="S104" i="12"/>
  <c r="P104" i="12"/>
  <c r="T104" i="12"/>
  <c r="Q104" i="12"/>
  <c r="U104" i="12"/>
  <c r="N104" i="12"/>
  <c r="R104" i="12"/>
  <c r="L114" i="12"/>
  <c r="O18" i="29" s="1"/>
  <c r="Z29" i="29"/>
  <c r="Z30" i="29"/>
  <c r="Z31" i="29"/>
  <c r="Z10" i="29"/>
  <c r="Z32" i="29"/>
  <c r="Z11" i="29"/>
  <c r="Z37" i="29"/>
  <c r="Z16" i="29"/>
  <c r="Z27" i="29"/>
  <c r="Z34" i="29"/>
  <c r="Z13" i="29"/>
  <c r="AD5" i="28"/>
  <c r="AD6" i="28"/>
  <c r="AD7" i="28"/>
  <c r="AD8" i="28"/>
  <c r="AD9" i="28"/>
  <c r="AD10" i="28"/>
  <c r="AD11" i="28"/>
  <c r="AD12" i="28"/>
  <c r="AD13" i="28"/>
  <c r="AD14" i="28"/>
  <c r="AD15" i="28"/>
  <c r="AD16" i="28"/>
  <c r="AD17" i="28"/>
  <c r="AD18" i="28"/>
  <c r="AD4" i="28"/>
  <c r="T14" i="14"/>
  <c r="T15" i="14"/>
  <c r="T16" i="14"/>
  <c r="T17" i="14"/>
  <c r="T18" i="14"/>
  <c r="T19" i="14"/>
  <c r="T20" i="14"/>
  <c r="CN92" i="20" l="1"/>
  <c r="CP85" i="20"/>
  <c r="CO85" i="20"/>
  <c r="Z38" i="29"/>
  <c r="Z28" i="29"/>
  <c r="Z14" i="29"/>
  <c r="Z36" i="29"/>
  <c r="Z12" i="29"/>
  <c r="L115" i="12"/>
  <c r="O19" i="29" s="1"/>
  <c r="O115" i="12"/>
  <c r="P115" i="12"/>
  <c r="Q115" i="12"/>
  <c r="N115" i="12"/>
  <c r="I126" i="12"/>
  <c r="J125" i="12"/>
  <c r="K125" i="12"/>
  <c r="Z39" i="29"/>
  <c r="Z18" i="29"/>
  <c r="GN11" i="13"/>
  <c r="GQ11" i="13" s="1"/>
  <c r="GM11" i="13"/>
  <c r="GX22" i="13"/>
  <c r="GN18" i="13" s="1"/>
  <c r="GQ20" i="13"/>
  <c r="GP16" i="13"/>
  <c r="GQ16" i="13" s="1"/>
  <c r="GP15" i="13"/>
  <c r="GQ15" i="13" s="1"/>
  <c r="GP14" i="13"/>
  <c r="GQ14" i="13" s="1"/>
  <c r="GP13" i="13"/>
  <c r="GQ13" i="13" s="1"/>
  <c r="GP12" i="13"/>
  <c r="GP10" i="13"/>
  <c r="GB20" i="13"/>
  <c r="GC20" i="13" s="1"/>
  <c r="FZ11" i="13"/>
  <c r="GC11" i="13" s="1"/>
  <c r="FY11" i="13"/>
  <c r="FL11" i="13"/>
  <c r="FO11" i="13" s="1"/>
  <c r="FK11" i="13"/>
  <c r="GB16" i="13"/>
  <c r="GC16" i="13" s="1"/>
  <c r="GJ15" i="13"/>
  <c r="GJ22" i="13" s="1"/>
  <c r="FZ18" i="13" s="1"/>
  <c r="FZ19" i="13" s="1"/>
  <c r="GB15" i="13"/>
  <c r="GC15" i="13" s="1"/>
  <c r="GB13" i="13"/>
  <c r="GC13" i="13" s="1"/>
  <c r="GB12" i="13"/>
  <c r="GB10" i="13"/>
  <c r="FN20" i="13"/>
  <c r="FO20" i="13" s="1"/>
  <c r="FN16" i="13"/>
  <c r="FO16" i="13" s="1"/>
  <c r="FV15" i="13"/>
  <c r="FV22" i="13" s="1"/>
  <c r="FL18" i="13" s="1"/>
  <c r="FL19" i="13" s="1"/>
  <c r="FN15" i="13"/>
  <c r="FO15" i="13" s="1"/>
  <c r="FN13" i="13"/>
  <c r="FO13" i="13" s="1"/>
  <c r="FN12" i="13"/>
  <c r="FN10" i="13"/>
  <c r="EZ20" i="13"/>
  <c r="FA20" i="13" s="1"/>
  <c r="EM20" i="13"/>
  <c r="EW11" i="13"/>
  <c r="EX11" i="13"/>
  <c r="FA11" i="13" s="1"/>
  <c r="EZ16" i="13"/>
  <c r="FA16" i="13" s="1"/>
  <c r="FH15" i="13"/>
  <c r="FH22" i="13" s="1"/>
  <c r="EX18" i="13" s="1"/>
  <c r="EX19" i="13" s="1"/>
  <c r="EZ15" i="13"/>
  <c r="FA15" i="13" s="1"/>
  <c r="EZ13" i="13"/>
  <c r="FA13" i="13" s="1"/>
  <c r="EZ12" i="13"/>
  <c r="EZ10" i="13"/>
  <c r="EI11" i="13"/>
  <c r="EJ11" i="13"/>
  <c r="EM11" i="13" s="1"/>
  <c r="EL16" i="13"/>
  <c r="EM16" i="13" s="1"/>
  <c r="ET15" i="13"/>
  <c r="ET22" i="13" s="1"/>
  <c r="EJ18" i="13" s="1"/>
  <c r="EL15" i="13"/>
  <c r="EM15" i="13" s="1"/>
  <c r="EL13" i="13"/>
  <c r="EM13" i="13" s="1"/>
  <c r="EL12" i="13"/>
  <c r="EL10" i="13"/>
  <c r="EF15" i="13"/>
  <c r="EF22" i="13" s="1"/>
  <c r="DV18" i="13" s="1"/>
  <c r="DV19" i="13" s="1"/>
  <c r="DV11" i="13"/>
  <c r="DY11" i="13" s="1"/>
  <c r="DH11" i="13"/>
  <c r="DU11" i="13"/>
  <c r="DX20" i="13"/>
  <c r="DY20" i="13" s="1"/>
  <c r="DX16" i="13"/>
  <c r="DY16" i="13" s="1"/>
  <c r="DX15" i="13"/>
  <c r="DY15" i="13" s="1"/>
  <c r="DX13" i="13"/>
  <c r="DY13" i="13" s="1"/>
  <c r="DX12" i="13"/>
  <c r="DX10" i="13"/>
  <c r="DG11" i="13"/>
  <c r="DJ12" i="13"/>
  <c r="CV12" i="13"/>
  <c r="DR22" i="13"/>
  <c r="DH18" i="13" s="1"/>
  <c r="DJ20" i="13"/>
  <c r="DK20" i="13" s="1"/>
  <c r="DJ16" i="13"/>
  <c r="DK16" i="13" s="1"/>
  <c r="DJ15" i="13"/>
  <c r="DK15" i="13" s="1"/>
  <c r="DJ13" i="13"/>
  <c r="DK13" i="13" s="1"/>
  <c r="DJ10" i="13"/>
  <c r="CV13" i="13"/>
  <c r="CW13" i="13" s="1"/>
  <c r="CV15" i="13"/>
  <c r="CW15" i="13" s="1"/>
  <c r="CV16" i="13"/>
  <c r="CW16" i="13" s="1"/>
  <c r="C149" i="1"/>
  <c r="DJ14" i="13" s="1"/>
  <c r="DK14" i="13" s="1"/>
  <c r="C142" i="1"/>
  <c r="C141" i="1"/>
  <c r="CV10" i="13"/>
  <c r="CT11" i="13"/>
  <c r="CW11" i="13" s="1"/>
  <c r="CS11" i="13"/>
  <c r="DD22" i="13"/>
  <c r="CT18" i="13" s="1"/>
  <c r="DM80" i="12"/>
  <c r="DL80" i="12"/>
  <c r="DK80" i="12"/>
  <c r="DJ80" i="12"/>
  <c r="DI80" i="12"/>
  <c r="DH80" i="12"/>
  <c r="DG80" i="12"/>
  <c r="DF80" i="12"/>
  <c r="DE80" i="12"/>
  <c r="DD80" i="12"/>
  <c r="DM52" i="12"/>
  <c r="DM56" i="12" s="1"/>
  <c r="DL52" i="12"/>
  <c r="DL56" i="12" s="1"/>
  <c r="DK52" i="12"/>
  <c r="DK56" i="12" s="1"/>
  <c r="DK60" i="12" s="1"/>
  <c r="DK75" i="12" s="1"/>
  <c r="DK87" i="12" s="1"/>
  <c r="DJ52" i="12"/>
  <c r="DJ56" i="12" s="1"/>
  <c r="DJ60" i="12" s="1"/>
  <c r="DJ75" i="12" s="1"/>
  <c r="DJ87" i="12" s="1"/>
  <c r="DI52" i="12"/>
  <c r="DI56" i="12" s="1"/>
  <c r="DH52" i="12"/>
  <c r="DH56" i="12" s="1"/>
  <c r="DG52" i="12"/>
  <c r="DG56" i="12" s="1"/>
  <c r="DG60" i="12" s="1"/>
  <c r="DG75" i="12" s="1"/>
  <c r="DG87" i="12" s="1"/>
  <c r="DF52" i="12"/>
  <c r="DF56" i="12" s="1"/>
  <c r="DF60" i="12" s="1"/>
  <c r="DF75" i="12" s="1"/>
  <c r="DF87" i="12" s="1"/>
  <c r="DE52" i="12"/>
  <c r="DE56" i="12" s="1"/>
  <c r="DD52" i="12"/>
  <c r="DD56" i="12" s="1"/>
  <c r="K134" i="10"/>
  <c r="W134" i="10" s="1"/>
  <c r="B318" i="16"/>
  <c r="C318" i="16"/>
  <c r="D318" i="16"/>
  <c r="E318" i="16"/>
  <c r="F318" i="16"/>
  <c r="G318" i="16"/>
  <c r="H318" i="16"/>
  <c r="I318" i="16"/>
  <c r="J318" i="16"/>
  <c r="K318" i="16"/>
  <c r="L318" i="16"/>
  <c r="M318" i="16"/>
  <c r="N318" i="16"/>
  <c r="O318" i="16"/>
  <c r="P318" i="16"/>
  <c r="Q318" i="16"/>
  <c r="C316" i="16"/>
  <c r="D316" i="16"/>
  <c r="E316" i="16"/>
  <c r="F316" i="16"/>
  <c r="G316" i="16"/>
  <c r="H316" i="16"/>
  <c r="I316" i="16"/>
  <c r="J316" i="16"/>
  <c r="K316" i="16"/>
  <c r="L316" i="16"/>
  <c r="M316" i="16"/>
  <c r="N316" i="16"/>
  <c r="O316" i="16"/>
  <c r="P316" i="16"/>
  <c r="Q316" i="16"/>
  <c r="B316" i="16"/>
  <c r="H67" i="4"/>
  <c r="HG80" i="12"/>
  <c r="HF80" i="12"/>
  <c r="HE80" i="12"/>
  <c r="HD80" i="12"/>
  <c r="HC80" i="12"/>
  <c r="HB80" i="12"/>
  <c r="HA80" i="12"/>
  <c r="GZ80" i="12"/>
  <c r="GY80" i="12"/>
  <c r="GX80" i="12"/>
  <c r="GS80" i="12"/>
  <c r="GR80" i="12"/>
  <c r="GQ80" i="12"/>
  <c r="GP80" i="12"/>
  <c r="GO80" i="12"/>
  <c r="GN80" i="12"/>
  <c r="GM80" i="12"/>
  <c r="GL80" i="12"/>
  <c r="GK80" i="12"/>
  <c r="GJ80" i="12"/>
  <c r="GE79" i="12"/>
  <c r="GD79" i="12"/>
  <c r="GC79" i="12"/>
  <c r="GB79" i="12"/>
  <c r="GA79" i="12"/>
  <c r="FZ79" i="12"/>
  <c r="FY79" i="12"/>
  <c r="FX79" i="12"/>
  <c r="FW79" i="12"/>
  <c r="FV79" i="12"/>
  <c r="FQ79" i="12"/>
  <c r="FP79" i="12"/>
  <c r="FO79" i="12"/>
  <c r="FN79" i="12"/>
  <c r="FM79" i="12"/>
  <c r="FL79" i="12"/>
  <c r="FK79" i="12"/>
  <c r="FJ79" i="12"/>
  <c r="FI79" i="12"/>
  <c r="FH79" i="12"/>
  <c r="FC80" i="12"/>
  <c r="FB80" i="12"/>
  <c r="FA80" i="12"/>
  <c r="EZ80" i="12"/>
  <c r="EY80" i="12"/>
  <c r="EX80" i="12"/>
  <c r="EW80" i="12"/>
  <c r="EV80" i="12"/>
  <c r="EU80" i="12"/>
  <c r="ET80" i="12"/>
  <c r="EO80" i="12"/>
  <c r="EN80" i="12"/>
  <c r="EM80" i="12"/>
  <c r="EL80" i="12"/>
  <c r="EK80" i="12"/>
  <c r="EJ80" i="12"/>
  <c r="EI80" i="12"/>
  <c r="EH80" i="12"/>
  <c r="EG80" i="12"/>
  <c r="EF80" i="12"/>
  <c r="DZ79" i="12"/>
  <c r="DY79" i="12"/>
  <c r="DX79" i="12"/>
  <c r="DW79" i="12"/>
  <c r="DV79" i="12"/>
  <c r="DU79" i="12"/>
  <c r="DT79" i="12"/>
  <c r="DS79" i="12"/>
  <c r="DR79" i="12"/>
  <c r="DQ79" i="12"/>
  <c r="CY80" i="12"/>
  <c r="CX80" i="12"/>
  <c r="CW80" i="12"/>
  <c r="CV80" i="12"/>
  <c r="CU80" i="12"/>
  <c r="CT80" i="12"/>
  <c r="CS80" i="12"/>
  <c r="CR80" i="12"/>
  <c r="CQ80" i="12"/>
  <c r="CP80" i="12"/>
  <c r="CK80" i="12"/>
  <c r="CJ80" i="12"/>
  <c r="CI80" i="12"/>
  <c r="CH80" i="12"/>
  <c r="CG80" i="12"/>
  <c r="CF80" i="12"/>
  <c r="CE80" i="12"/>
  <c r="CD80" i="12"/>
  <c r="CC80" i="12"/>
  <c r="CB80" i="12"/>
  <c r="BW80" i="12"/>
  <c r="BV80" i="12"/>
  <c r="BU80" i="12"/>
  <c r="BT80" i="12"/>
  <c r="BS80" i="12"/>
  <c r="BR80" i="12"/>
  <c r="BQ80" i="12"/>
  <c r="BP80" i="12"/>
  <c r="BO80" i="12"/>
  <c r="BN80" i="12"/>
  <c r="BI80" i="12"/>
  <c r="BH80" i="12"/>
  <c r="BG80" i="12"/>
  <c r="BF80" i="12"/>
  <c r="BE80" i="12"/>
  <c r="BD80" i="12"/>
  <c r="BC80" i="12"/>
  <c r="BB80" i="12"/>
  <c r="BA80" i="12"/>
  <c r="AZ80" i="12"/>
  <c r="AT80" i="12"/>
  <c r="AS80" i="12"/>
  <c r="AR80" i="12"/>
  <c r="AQ80" i="12"/>
  <c r="AP80" i="12"/>
  <c r="AO80" i="12"/>
  <c r="AN80" i="12"/>
  <c r="AM80" i="12"/>
  <c r="AL80" i="12"/>
  <c r="AK80" i="12"/>
  <c r="AF80" i="12"/>
  <c r="AE80" i="12"/>
  <c r="AD80" i="12"/>
  <c r="AC80" i="12"/>
  <c r="AB80" i="12"/>
  <c r="AA80" i="12"/>
  <c r="Z80" i="12"/>
  <c r="Y80" i="12"/>
  <c r="X80" i="12"/>
  <c r="W80" i="12"/>
  <c r="Q78" i="12"/>
  <c r="P78" i="12"/>
  <c r="O78" i="12"/>
  <c r="N78" i="12"/>
  <c r="M78" i="12"/>
  <c r="L78" i="12"/>
  <c r="K78" i="12"/>
  <c r="J78" i="12"/>
  <c r="I78" i="12"/>
  <c r="H78" i="12"/>
  <c r="HG52" i="12"/>
  <c r="HG56" i="12" s="1"/>
  <c r="HF52" i="12"/>
  <c r="HF56" i="12" s="1"/>
  <c r="HE52" i="12"/>
  <c r="HE56" i="12" s="1"/>
  <c r="HD52" i="12"/>
  <c r="HD56" i="12" s="1"/>
  <c r="HD60" i="12" s="1"/>
  <c r="HD75" i="12" s="1"/>
  <c r="HC52" i="12"/>
  <c r="HC56" i="12" s="1"/>
  <c r="HB52" i="12"/>
  <c r="HB56" i="12" s="1"/>
  <c r="HA52" i="12"/>
  <c r="HA56" i="12" s="1"/>
  <c r="GZ52" i="12"/>
  <c r="GZ56" i="12" s="1"/>
  <c r="GY52" i="12"/>
  <c r="GY56" i="12" s="1"/>
  <c r="GY72" i="12" s="1"/>
  <c r="GY76" i="12" s="1"/>
  <c r="GX52" i="12"/>
  <c r="GX56" i="12" s="1"/>
  <c r="GS52" i="12"/>
  <c r="GS56" i="12" s="1"/>
  <c r="GR52" i="12"/>
  <c r="GR56" i="12" s="1"/>
  <c r="GQ52" i="12"/>
  <c r="GQ56" i="12" s="1"/>
  <c r="GP52" i="12"/>
  <c r="GP56" i="12" s="1"/>
  <c r="GP72" i="12" s="1"/>
  <c r="GP76" i="12" s="1"/>
  <c r="GO52" i="12"/>
  <c r="GO56" i="12" s="1"/>
  <c r="GN52" i="12"/>
  <c r="GN56" i="12" s="1"/>
  <c r="GM52" i="12"/>
  <c r="GM56" i="12" s="1"/>
  <c r="GL52" i="12"/>
  <c r="GL56" i="12" s="1"/>
  <c r="GK52" i="12"/>
  <c r="GK56" i="12" s="1"/>
  <c r="GJ52" i="12"/>
  <c r="GJ56" i="12" s="1"/>
  <c r="GJ60" i="12" s="1"/>
  <c r="GJ75" i="12" s="1"/>
  <c r="GE51" i="12"/>
  <c r="GE55" i="12" s="1"/>
  <c r="GD51" i="12"/>
  <c r="GD55" i="12" s="1"/>
  <c r="GC51" i="12"/>
  <c r="GC55" i="12" s="1"/>
  <c r="GB51" i="12"/>
  <c r="GB55" i="12" s="1"/>
  <c r="GA51" i="12"/>
  <c r="GA55" i="12" s="1"/>
  <c r="GA71" i="12" s="1"/>
  <c r="GA75" i="12" s="1"/>
  <c r="FZ51" i="12"/>
  <c r="FZ55" i="12" s="1"/>
  <c r="FY51" i="12"/>
  <c r="FY55" i="12" s="1"/>
  <c r="FX51" i="12"/>
  <c r="FX55" i="12" s="1"/>
  <c r="FW51" i="12"/>
  <c r="FW55" i="12" s="1"/>
  <c r="FV51" i="12"/>
  <c r="FV55" i="12" s="1"/>
  <c r="FV71" i="12" s="1"/>
  <c r="FV75" i="12" s="1"/>
  <c r="FV76" i="12" s="1"/>
  <c r="FV89" i="12" s="1"/>
  <c r="FQ51" i="12"/>
  <c r="FQ55" i="12" s="1"/>
  <c r="FP51" i="12"/>
  <c r="FP55" i="12" s="1"/>
  <c r="FO51" i="12"/>
  <c r="FO55" i="12" s="1"/>
  <c r="FN51" i="12"/>
  <c r="FN55" i="12" s="1"/>
  <c r="FM51" i="12"/>
  <c r="FM55" i="12" s="1"/>
  <c r="FL51" i="12"/>
  <c r="FL55" i="12" s="1"/>
  <c r="FL59" i="12" s="1"/>
  <c r="FL74" i="12" s="1"/>
  <c r="FK51" i="12"/>
  <c r="FK55" i="12" s="1"/>
  <c r="FJ51" i="12"/>
  <c r="FJ55" i="12" s="1"/>
  <c r="FI51" i="12"/>
  <c r="FI55" i="12" s="1"/>
  <c r="FH51" i="12"/>
  <c r="FH55" i="12" s="1"/>
  <c r="FC52" i="12"/>
  <c r="FC56" i="12" s="1"/>
  <c r="FC72" i="12" s="1"/>
  <c r="FC76" i="12" s="1"/>
  <c r="FB52" i="12"/>
  <c r="FB56" i="12" s="1"/>
  <c r="FA52" i="12"/>
  <c r="FA56" i="12" s="1"/>
  <c r="EZ52" i="12"/>
  <c r="EZ56" i="12" s="1"/>
  <c r="EY52" i="12"/>
  <c r="EY56" i="12" s="1"/>
  <c r="EX52" i="12"/>
  <c r="EX56" i="12" s="1"/>
  <c r="EX72" i="12" s="1"/>
  <c r="EX76" i="12" s="1"/>
  <c r="EW52" i="12"/>
  <c r="EW56" i="12" s="1"/>
  <c r="EV52" i="12"/>
  <c r="EV56" i="12" s="1"/>
  <c r="EU52" i="12"/>
  <c r="EU56" i="12" s="1"/>
  <c r="ET52" i="12"/>
  <c r="ET56" i="12" s="1"/>
  <c r="EO52" i="12"/>
  <c r="EO56" i="12" s="1"/>
  <c r="EN52" i="12"/>
  <c r="EN56" i="12" s="1"/>
  <c r="EN60" i="12" s="1"/>
  <c r="EN75" i="12" s="1"/>
  <c r="EM52" i="12"/>
  <c r="EM56" i="12" s="1"/>
  <c r="EL52" i="12"/>
  <c r="EL56" i="12" s="1"/>
  <c r="EK52" i="12"/>
  <c r="EK56" i="12" s="1"/>
  <c r="EJ52" i="12"/>
  <c r="EJ56" i="12" s="1"/>
  <c r="EI52" i="12"/>
  <c r="EI56" i="12" s="1"/>
  <c r="EI72" i="12" s="1"/>
  <c r="EI76" i="12" s="1"/>
  <c r="EH52" i="12"/>
  <c r="EH56" i="12" s="1"/>
  <c r="EG52" i="12"/>
  <c r="EG56" i="12" s="1"/>
  <c r="EF52" i="12"/>
  <c r="EF56" i="12" s="1"/>
  <c r="DZ51" i="12"/>
  <c r="DZ55" i="12" s="1"/>
  <c r="DZ71" i="12" s="1"/>
  <c r="DZ75" i="12" s="1"/>
  <c r="DY51" i="12"/>
  <c r="DY55" i="12" s="1"/>
  <c r="DX51" i="12"/>
  <c r="DX55" i="12" s="1"/>
  <c r="DW51" i="12"/>
  <c r="DW55" i="12" s="1"/>
  <c r="DV51" i="12"/>
  <c r="DV55" i="12" s="1"/>
  <c r="DV71" i="12" s="1"/>
  <c r="DV75" i="12" s="1"/>
  <c r="DU51" i="12"/>
  <c r="DU55" i="12" s="1"/>
  <c r="DT51" i="12"/>
  <c r="DT55" i="12" s="1"/>
  <c r="DS51" i="12"/>
  <c r="DS55" i="12" s="1"/>
  <c r="DS59" i="12" s="1"/>
  <c r="DS74" i="12" s="1"/>
  <c r="DR51" i="12"/>
  <c r="DR55" i="12" s="1"/>
  <c r="DR71" i="12" s="1"/>
  <c r="DR75" i="12" s="1"/>
  <c r="DQ51" i="12"/>
  <c r="DQ55" i="12" s="1"/>
  <c r="CY52" i="12"/>
  <c r="CY56" i="12" s="1"/>
  <c r="CX52" i="12"/>
  <c r="CX56" i="12" s="1"/>
  <c r="CW52" i="12"/>
  <c r="CW56" i="12" s="1"/>
  <c r="CW60" i="12" s="1"/>
  <c r="CW75" i="12" s="1"/>
  <c r="CV52" i="12"/>
  <c r="CV56" i="12" s="1"/>
  <c r="CU52" i="12"/>
  <c r="CU56" i="12" s="1"/>
  <c r="CT52" i="12"/>
  <c r="CT56" i="12" s="1"/>
  <c r="CS52" i="12"/>
  <c r="CS56" i="12" s="1"/>
  <c r="CS72" i="12" s="1"/>
  <c r="CS76" i="12" s="1"/>
  <c r="CR52" i="12"/>
  <c r="CR56" i="12" s="1"/>
  <c r="CQ52" i="12"/>
  <c r="CQ56" i="12" s="1"/>
  <c r="CP52" i="12"/>
  <c r="CP56" i="12" s="1"/>
  <c r="CK52" i="12"/>
  <c r="CK56" i="12" s="1"/>
  <c r="CK72" i="12" s="1"/>
  <c r="CK76" i="12" s="1"/>
  <c r="CJ52" i="12"/>
  <c r="CJ56" i="12" s="1"/>
  <c r="CI52" i="12"/>
  <c r="CI56" i="12" s="1"/>
  <c r="CH52" i="12"/>
  <c r="CH56" i="12" s="1"/>
  <c r="CG52" i="12"/>
  <c r="CG56" i="12" s="1"/>
  <c r="CG72" i="12" s="1"/>
  <c r="CG76" i="12" s="1"/>
  <c r="CF52" i="12"/>
  <c r="CF56" i="12" s="1"/>
  <c r="CE52" i="12"/>
  <c r="CE56" i="12" s="1"/>
  <c r="CD52" i="12"/>
  <c r="CD56" i="12" s="1"/>
  <c r="CC52" i="12"/>
  <c r="CC56" i="12" s="1"/>
  <c r="CC60" i="12" s="1"/>
  <c r="CC75" i="12" s="1"/>
  <c r="CB52" i="12"/>
  <c r="CB56" i="12" s="1"/>
  <c r="BW52" i="12"/>
  <c r="BW56" i="12" s="1"/>
  <c r="BV52" i="12"/>
  <c r="BV56" i="12" s="1"/>
  <c r="BU52" i="12"/>
  <c r="BU56" i="12" s="1"/>
  <c r="BU72" i="12" s="1"/>
  <c r="BU76" i="12" s="1"/>
  <c r="BT52" i="12"/>
  <c r="BT56" i="12" s="1"/>
  <c r="BS52" i="12"/>
  <c r="BS56" i="12" s="1"/>
  <c r="BR52" i="12"/>
  <c r="BR56" i="12" s="1"/>
  <c r="BQ52" i="12"/>
  <c r="BQ56" i="12" s="1"/>
  <c r="BQ72" i="12" s="1"/>
  <c r="BQ76" i="12" s="1"/>
  <c r="BP52" i="12"/>
  <c r="BP56" i="12" s="1"/>
  <c r="BO52" i="12"/>
  <c r="BO56" i="12" s="1"/>
  <c r="BN52" i="12"/>
  <c r="BN56" i="12" s="1"/>
  <c r="BI52" i="12"/>
  <c r="BI56" i="12" s="1"/>
  <c r="BI72" i="12" s="1"/>
  <c r="BI76" i="12" s="1"/>
  <c r="BH52" i="12"/>
  <c r="BH56" i="12" s="1"/>
  <c r="BG52" i="12"/>
  <c r="BG56" i="12" s="1"/>
  <c r="BF52" i="12"/>
  <c r="BF56" i="12" s="1"/>
  <c r="BE52" i="12"/>
  <c r="BE56" i="12" s="1"/>
  <c r="BE60" i="12" s="1"/>
  <c r="BE75" i="12" s="1"/>
  <c r="BD52" i="12"/>
  <c r="BD56" i="12" s="1"/>
  <c r="BC52" i="12"/>
  <c r="BC56" i="12" s="1"/>
  <c r="BB52" i="12"/>
  <c r="BB56" i="12" s="1"/>
  <c r="BA52" i="12"/>
  <c r="BA56" i="12" s="1"/>
  <c r="BA72" i="12" s="1"/>
  <c r="BA76" i="12" s="1"/>
  <c r="AZ52" i="12"/>
  <c r="AZ56" i="12" s="1"/>
  <c r="AT52" i="12"/>
  <c r="AT56" i="12" s="1"/>
  <c r="AS52" i="12"/>
  <c r="AS56" i="12" s="1"/>
  <c r="AR52" i="12"/>
  <c r="AR56" i="12" s="1"/>
  <c r="AR72" i="12" s="1"/>
  <c r="AR76" i="12" s="1"/>
  <c r="AQ52" i="12"/>
  <c r="AQ56" i="12" s="1"/>
  <c r="AP52" i="12"/>
  <c r="AP56" i="12" s="1"/>
  <c r="AO52" i="12"/>
  <c r="AO56" i="12" s="1"/>
  <c r="AN52" i="12"/>
  <c r="AN56" i="12" s="1"/>
  <c r="AM52" i="12"/>
  <c r="AM56" i="12" s="1"/>
  <c r="AL52" i="12"/>
  <c r="AL56" i="12" s="1"/>
  <c r="AK52" i="12"/>
  <c r="AK56" i="12" s="1"/>
  <c r="AF52" i="12"/>
  <c r="AF56" i="12" s="1"/>
  <c r="AE52" i="12"/>
  <c r="AE56" i="12" s="1"/>
  <c r="AD52" i="12"/>
  <c r="AD56" i="12" s="1"/>
  <c r="AC52" i="12"/>
  <c r="AC56" i="12" s="1"/>
  <c r="AB52" i="12"/>
  <c r="AB56" i="12" s="1"/>
  <c r="AA52" i="12"/>
  <c r="AA56" i="12" s="1"/>
  <c r="Z52" i="12"/>
  <c r="Z56" i="12" s="1"/>
  <c r="Y52" i="12"/>
  <c r="Y56" i="12" s="1"/>
  <c r="X52" i="12"/>
  <c r="X56" i="12" s="1"/>
  <c r="W52" i="12"/>
  <c r="W56" i="12" s="1"/>
  <c r="Q52" i="12"/>
  <c r="Q56" i="12" s="1"/>
  <c r="P52" i="12"/>
  <c r="P56" i="12" s="1"/>
  <c r="O52" i="12"/>
  <c r="O56" i="12" s="1"/>
  <c r="N52" i="12"/>
  <c r="N56" i="12" s="1"/>
  <c r="M52" i="12"/>
  <c r="M56" i="12" s="1"/>
  <c r="M70" i="12" s="1"/>
  <c r="M74" i="12" s="1"/>
  <c r="L56" i="12"/>
  <c r="K52" i="12"/>
  <c r="K56" i="12" s="1"/>
  <c r="J52" i="12"/>
  <c r="J56" i="12" s="1"/>
  <c r="I52" i="12"/>
  <c r="I56" i="12" s="1"/>
  <c r="H52" i="12"/>
  <c r="HG13" i="12"/>
  <c r="HG11" i="12"/>
  <c r="GX12" i="12" s="1"/>
  <c r="GY11" i="12"/>
  <c r="GZ11" i="12" s="1"/>
  <c r="HA11" i="12" s="1"/>
  <c r="GK21" i="12"/>
  <c r="GL21" i="12" s="1"/>
  <c r="GM21" i="12" s="1"/>
  <c r="GS28" i="12"/>
  <c r="GS26" i="12"/>
  <c r="GJ22" i="12" s="1"/>
  <c r="GM22" i="12" s="1"/>
  <c r="GS13" i="12"/>
  <c r="GS11" i="12"/>
  <c r="GJ12" i="12" s="1"/>
  <c r="GK11" i="12"/>
  <c r="GL11" i="12" s="1"/>
  <c r="GM11" i="12" s="1"/>
  <c r="FW20" i="12"/>
  <c r="FX20" i="12" s="1"/>
  <c r="FY20" i="12" s="1"/>
  <c r="GE13" i="12"/>
  <c r="FV7" i="12" s="1"/>
  <c r="GE11" i="12"/>
  <c r="FV8" i="12" s="1"/>
  <c r="FY6" i="12"/>
  <c r="FV6" i="12"/>
  <c r="FV21" i="12" s="1"/>
  <c r="FW5" i="12"/>
  <c r="FX5" i="12" s="1"/>
  <c r="FY5" i="12" s="1"/>
  <c r="FI11" i="12"/>
  <c r="FJ11" i="12" s="1"/>
  <c r="FK11" i="12" s="1"/>
  <c r="EU11" i="12"/>
  <c r="EV11" i="12" s="1"/>
  <c r="EW11" i="12" s="1"/>
  <c r="FH12" i="12"/>
  <c r="FH13" i="12" s="1"/>
  <c r="FQ13" i="12"/>
  <c r="FQ11" i="12"/>
  <c r="FC13" i="12"/>
  <c r="FC11" i="12"/>
  <c r="ET12" i="12" s="1"/>
  <c r="EG20" i="12"/>
  <c r="EH20" i="12" s="1"/>
  <c r="EI20" i="12" s="1"/>
  <c r="EO13" i="12"/>
  <c r="EF7" i="12" s="1"/>
  <c r="EO11" i="12"/>
  <c r="EF8" i="12" s="1"/>
  <c r="EG5" i="12"/>
  <c r="EH5" i="12" s="1"/>
  <c r="EI5" i="12" s="1"/>
  <c r="EA11" i="12"/>
  <c r="DS11" i="12"/>
  <c r="DT11" i="12" s="1"/>
  <c r="DU11" i="12" s="1"/>
  <c r="EA13" i="12"/>
  <c r="DR12" i="12"/>
  <c r="DR13" i="12" s="1"/>
  <c r="DE20" i="12"/>
  <c r="DF20" i="12" s="1"/>
  <c r="DG20" i="12" s="1"/>
  <c r="DM13" i="12"/>
  <c r="DD7" i="12" s="1"/>
  <c r="DM11" i="12"/>
  <c r="DD8" i="12" s="1"/>
  <c r="DD6" i="12"/>
  <c r="DG6" i="12" s="1"/>
  <c r="DE5" i="12"/>
  <c r="DF5" i="12" s="1"/>
  <c r="DG5" i="12" s="1"/>
  <c r="CY13" i="12"/>
  <c r="CP7" i="12"/>
  <c r="CQ20" i="12"/>
  <c r="CR20" i="12" s="1"/>
  <c r="CS20" i="12" s="1"/>
  <c r="CQ5" i="12"/>
  <c r="CR5" i="12" s="1"/>
  <c r="CS5" i="12" s="1"/>
  <c r="CY11" i="12"/>
  <c r="CP8" i="12" s="1"/>
  <c r="CP92" i="20" l="1"/>
  <c r="CO92" i="20"/>
  <c r="CN99" i="20"/>
  <c r="CN103" i="20"/>
  <c r="EF6" i="12"/>
  <c r="I127" i="12"/>
  <c r="K126" i="12"/>
  <c r="J126" i="12"/>
  <c r="Z19" i="29"/>
  <c r="Z40" i="29"/>
  <c r="BI60" i="12"/>
  <c r="BI75" i="12" s="1"/>
  <c r="DX14" i="13"/>
  <c r="DY14" i="13" s="1"/>
  <c r="CV14" i="13"/>
  <c r="CW14" i="13" s="1"/>
  <c r="EZ14" i="13"/>
  <c r="FA14" i="13" s="1"/>
  <c r="EL14" i="13"/>
  <c r="EM14" i="13" s="1"/>
  <c r="FN14" i="13"/>
  <c r="FO14" i="13" s="1"/>
  <c r="GB14" i="13"/>
  <c r="GC14" i="13" s="1"/>
  <c r="FA18" i="13"/>
  <c r="GQ18" i="13"/>
  <c r="GN19" i="13"/>
  <c r="GC18" i="13"/>
  <c r="FO18" i="13"/>
  <c r="EM18" i="13"/>
  <c r="EJ19" i="13"/>
  <c r="DY18" i="13"/>
  <c r="DK18" i="13"/>
  <c r="DH19" i="13"/>
  <c r="CW18" i="13"/>
  <c r="CT19" i="13"/>
  <c r="DD72" i="12"/>
  <c r="DD76" i="12" s="1"/>
  <c r="DD60" i="12"/>
  <c r="DD75" i="12" s="1"/>
  <c r="DD87" i="12" s="1"/>
  <c r="DH72" i="12"/>
  <c r="DH76" i="12" s="1"/>
  <c r="DH60" i="12"/>
  <c r="DH75" i="12" s="1"/>
  <c r="DH87" i="12" s="1"/>
  <c r="DL72" i="12"/>
  <c r="DL76" i="12" s="1"/>
  <c r="DL60" i="12"/>
  <c r="DL75" i="12" s="1"/>
  <c r="DL87" i="12" s="1"/>
  <c r="DE72" i="12"/>
  <c r="DE76" i="12" s="1"/>
  <c r="DE60" i="12"/>
  <c r="DE75" i="12" s="1"/>
  <c r="DE87" i="12" s="1"/>
  <c r="DI72" i="12"/>
  <c r="DI76" i="12" s="1"/>
  <c r="DI60" i="12"/>
  <c r="DI75" i="12" s="1"/>
  <c r="DI87" i="12" s="1"/>
  <c r="DM72" i="12"/>
  <c r="DM76" i="12" s="1"/>
  <c r="DM60" i="12"/>
  <c r="DM75" i="12" s="1"/>
  <c r="DM87" i="12" s="1"/>
  <c r="DF72" i="12"/>
  <c r="DF76" i="12" s="1"/>
  <c r="DJ72" i="12"/>
  <c r="DJ76" i="12" s="1"/>
  <c r="DG72" i="12"/>
  <c r="DG76" i="12" s="1"/>
  <c r="DK72" i="12"/>
  <c r="DK76" i="12" s="1"/>
  <c r="GP60" i="12"/>
  <c r="GP75" i="12" s="1"/>
  <c r="GY60" i="12"/>
  <c r="GY75" i="12" s="1"/>
  <c r="CG60" i="12"/>
  <c r="CG75" i="12" s="1"/>
  <c r="DR59" i="12"/>
  <c r="DR74" i="12" s="1"/>
  <c r="DR87" i="12" s="1"/>
  <c r="CW72" i="12"/>
  <c r="CW76" i="12" s="1"/>
  <c r="FV59" i="12"/>
  <c r="FV74" i="12" s="1"/>
  <c r="FV87" i="12" s="1"/>
  <c r="EN72" i="12"/>
  <c r="EN76" i="12" s="1"/>
  <c r="EN78" i="12" s="1"/>
  <c r="EN90" i="12" s="1"/>
  <c r="X72" i="12"/>
  <c r="X76" i="12" s="1"/>
  <c r="X60" i="12"/>
  <c r="X75" i="12" s="1"/>
  <c r="X87" i="12" s="1"/>
  <c r="AF60" i="12"/>
  <c r="AF75" i="12" s="1"/>
  <c r="AF72" i="12"/>
  <c r="AF76" i="12" s="1"/>
  <c r="AT60" i="12"/>
  <c r="AT75" i="12" s="1"/>
  <c r="AT72" i="12"/>
  <c r="AT76" i="12" s="1"/>
  <c r="BG72" i="12"/>
  <c r="BG76" i="12" s="1"/>
  <c r="BG60" i="12"/>
  <c r="BG75" i="12" s="1"/>
  <c r="BG87" i="12" s="1"/>
  <c r="BW72" i="12"/>
  <c r="BW76" i="12" s="1"/>
  <c r="BW60" i="12"/>
  <c r="BW75" i="12" s="1"/>
  <c r="BW87" i="12" s="1"/>
  <c r="CQ60" i="12"/>
  <c r="CQ75" i="12" s="1"/>
  <c r="CQ72" i="12"/>
  <c r="CQ76" i="12" s="1"/>
  <c r="DT59" i="12"/>
  <c r="DT74" i="12" s="1"/>
  <c r="DT71" i="12"/>
  <c r="DT75" i="12" s="1"/>
  <c r="DX59" i="12"/>
  <c r="DX74" i="12" s="1"/>
  <c r="DX87" i="12" s="1"/>
  <c r="DX71" i="12"/>
  <c r="DX75" i="12" s="1"/>
  <c r="EO72" i="12"/>
  <c r="EO76" i="12" s="1"/>
  <c r="EO60" i="12"/>
  <c r="EO75" i="12" s="1"/>
  <c r="EO87" i="12" s="1"/>
  <c r="FA72" i="12"/>
  <c r="FA76" i="12" s="1"/>
  <c r="FA60" i="12"/>
  <c r="FA75" i="12" s="1"/>
  <c r="FA87" i="12" s="1"/>
  <c r="GS72" i="12"/>
  <c r="GS76" i="12" s="1"/>
  <c r="GS60" i="12"/>
  <c r="GS75" i="12" s="1"/>
  <c r="GS87" i="12" s="1"/>
  <c r="I70" i="12"/>
  <c r="I74" i="12" s="1"/>
  <c r="I58" i="12"/>
  <c r="I73" i="12" s="1"/>
  <c r="Q70" i="12"/>
  <c r="Q74" i="12" s="1"/>
  <c r="Q58" i="12"/>
  <c r="Q73" i="12" s="1"/>
  <c r="Q85" i="12" s="1"/>
  <c r="Z60" i="12"/>
  <c r="Z75" i="12" s="1"/>
  <c r="Z87" i="12" s="1"/>
  <c r="Z72" i="12"/>
  <c r="Z76" i="12" s="1"/>
  <c r="AD72" i="12"/>
  <c r="AD76" i="12" s="1"/>
  <c r="AD60" i="12"/>
  <c r="AD75" i="12" s="1"/>
  <c r="AD87" i="12" s="1"/>
  <c r="AN72" i="12"/>
  <c r="AN76" i="12" s="1"/>
  <c r="AN60" i="12"/>
  <c r="AN75" i="12" s="1"/>
  <c r="AN87" i="12" s="1"/>
  <c r="CG88" i="12"/>
  <c r="CG77" i="12"/>
  <c r="CG89" i="12" s="1"/>
  <c r="CG78" i="12"/>
  <c r="CG90" i="12" s="1"/>
  <c r="EI88" i="12"/>
  <c r="EI78" i="12"/>
  <c r="EI90" i="12" s="1"/>
  <c r="EI77" i="12"/>
  <c r="EI89" i="12" s="1"/>
  <c r="FC88" i="12"/>
  <c r="FC78" i="12"/>
  <c r="FC90" i="12" s="1"/>
  <c r="FC77" i="12"/>
  <c r="FC89" i="12" s="1"/>
  <c r="GA88" i="12"/>
  <c r="GA77" i="12"/>
  <c r="GA90" i="12" s="1"/>
  <c r="GA76" i="12"/>
  <c r="GA89" i="12" s="1"/>
  <c r="J58" i="12"/>
  <c r="J73" i="12" s="1"/>
  <c r="J70" i="12"/>
  <c r="J74" i="12" s="1"/>
  <c r="N70" i="12"/>
  <c r="N74" i="12" s="1"/>
  <c r="N58" i="12"/>
  <c r="N73" i="12" s="1"/>
  <c r="AA72" i="12"/>
  <c r="AA76" i="12" s="1"/>
  <c r="AA60" i="12"/>
  <c r="AA75" i="12" s="1"/>
  <c r="AA87" i="12" s="1"/>
  <c r="AE60" i="12"/>
  <c r="AE75" i="12" s="1"/>
  <c r="AE87" i="12" s="1"/>
  <c r="AE72" i="12"/>
  <c r="AE76" i="12" s="1"/>
  <c r="AK72" i="12"/>
  <c r="AK76" i="12" s="1"/>
  <c r="AK60" i="12"/>
  <c r="AK75" i="12" s="1"/>
  <c r="AO60" i="12"/>
  <c r="AO75" i="12" s="1"/>
  <c r="AO72" i="12"/>
  <c r="AO76" i="12" s="1"/>
  <c r="BB72" i="12"/>
  <c r="BB76" i="12" s="1"/>
  <c r="BB60" i="12"/>
  <c r="BB75" i="12" s="1"/>
  <c r="BN60" i="12"/>
  <c r="BN75" i="12" s="1"/>
  <c r="BN87" i="12" s="1"/>
  <c r="BN72" i="12"/>
  <c r="BN76" i="12" s="1"/>
  <c r="BV72" i="12"/>
  <c r="BV76" i="12" s="1"/>
  <c r="BV60" i="12"/>
  <c r="BV75" i="12" s="1"/>
  <c r="BV87" i="12" s="1"/>
  <c r="CH60" i="12"/>
  <c r="CH75" i="12" s="1"/>
  <c r="CH87" i="12" s="1"/>
  <c r="CH72" i="12"/>
  <c r="CH76" i="12" s="1"/>
  <c r="K58" i="12"/>
  <c r="K73" i="12" s="1"/>
  <c r="K70" i="12"/>
  <c r="K74" i="12" s="1"/>
  <c r="AP60" i="12"/>
  <c r="AP75" i="12" s="1"/>
  <c r="AP87" i="12" s="1"/>
  <c r="AP72" i="12"/>
  <c r="AP76" i="12" s="1"/>
  <c r="BO60" i="12"/>
  <c r="BO75" i="12" s="1"/>
  <c r="BO72" i="12"/>
  <c r="BO76" i="12" s="1"/>
  <c r="CE72" i="12"/>
  <c r="CE76" i="12" s="1"/>
  <c r="CE60" i="12"/>
  <c r="CE75" i="12" s="1"/>
  <c r="CU72" i="12"/>
  <c r="CU76" i="12" s="1"/>
  <c r="CU60" i="12"/>
  <c r="CU75" i="12" s="1"/>
  <c r="CU87" i="12" s="1"/>
  <c r="EG72" i="12"/>
  <c r="EG76" i="12" s="1"/>
  <c r="EG60" i="12"/>
  <c r="EG75" i="12" s="1"/>
  <c r="EG87" i="12" s="1"/>
  <c r="EW60" i="12"/>
  <c r="EW75" i="12" s="1"/>
  <c r="EW72" i="12"/>
  <c r="EW76" i="12" s="1"/>
  <c r="FI71" i="12"/>
  <c r="FI75" i="12" s="1"/>
  <c r="FI59" i="12"/>
  <c r="FI74" i="12" s="1"/>
  <c r="FM71" i="12"/>
  <c r="FM75" i="12" s="1"/>
  <c r="FM59" i="12"/>
  <c r="FM74" i="12" s="1"/>
  <c r="FM87" i="12" s="1"/>
  <c r="FQ59" i="12"/>
  <c r="FQ74" i="12" s="1"/>
  <c r="FQ87" i="12" s="1"/>
  <c r="FQ71" i="12"/>
  <c r="FQ75" i="12" s="1"/>
  <c r="FY71" i="12"/>
  <c r="FY75" i="12" s="1"/>
  <c r="FY59" i="12"/>
  <c r="FY74" i="12" s="1"/>
  <c r="FY87" i="12" s="1"/>
  <c r="GC71" i="12"/>
  <c r="GC75" i="12" s="1"/>
  <c r="GC59" i="12"/>
  <c r="GC74" i="12" s="1"/>
  <c r="GC87" i="12" s="1"/>
  <c r="GK72" i="12"/>
  <c r="GK76" i="12" s="1"/>
  <c r="GK60" i="12"/>
  <c r="GK75" i="12" s="1"/>
  <c r="GK87" i="12" s="1"/>
  <c r="GO60" i="12"/>
  <c r="GO75" i="12" s="1"/>
  <c r="GO87" i="12" s="1"/>
  <c r="GO72" i="12"/>
  <c r="GO76" i="12" s="1"/>
  <c r="HE72" i="12"/>
  <c r="HE76" i="12" s="1"/>
  <c r="HE60" i="12"/>
  <c r="HE75" i="12" s="1"/>
  <c r="HE87" i="12" s="1"/>
  <c r="O58" i="12"/>
  <c r="O73" i="12" s="1"/>
  <c r="O70" i="12"/>
  <c r="O74" i="12" s="1"/>
  <c r="AB72" i="12"/>
  <c r="AB76" i="12" s="1"/>
  <c r="AB60" i="12"/>
  <c r="AB75" i="12" s="1"/>
  <c r="AB87" i="12" s="1"/>
  <c r="AL72" i="12"/>
  <c r="AL76" i="12" s="1"/>
  <c r="AL60" i="12"/>
  <c r="AL75" i="12" s="1"/>
  <c r="AL87" i="12" s="1"/>
  <c r="BC72" i="12"/>
  <c r="BC76" i="12" s="1"/>
  <c r="BC60" i="12"/>
  <c r="BC75" i="12" s="1"/>
  <c r="BC87" i="12" s="1"/>
  <c r="BS60" i="12"/>
  <c r="BS75" i="12" s="1"/>
  <c r="BS87" i="12" s="1"/>
  <c r="BS72" i="12"/>
  <c r="BS76" i="12" s="1"/>
  <c r="CI60" i="12"/>
  <c r="CI75" i="12" s="1"/>
  <c r="CI87" i="12" s="1"/>
  <c r="CI72" i="12"/>
  <c r="CI76" i="12" s="1"/>
  <c r="CY72" i="12"/>
  <c r="CY76" i="12" s="1"/>
  <c r="CY60" i="12"/>
  <c r="CY75" i="12" s="1"/>
  <c r="EK72" i="12"/>
  <c r="EK76" i="12" s="1"/>
  <c r="EK60" i="12"/>
  <c r="EK75" i="12" s="1"/>
  <c r="EK87" i="12" s="1"/>
  <c r="HA72" i="12"/>
  <c r="HA76" i="12" s="1"/>
  <c r="HA60" i="12"/>
  <c r="HA75" i="12" s="1"/>
  <c r="M86" i="12"/>
  <c r="M76" i="12"/>
  <c r="M88" i="12" s="1"/>
  <c r="M75" i="12"/>
  <c r="M87" i="12" s="1"/>
  <c r="W72" i="12"/>
  <c r="W76" i="12" s="1"/>
  <c r="W60" i="12"/>
  <c r="W75" i="12" s="1"/>
  <c r="AS72" i="12"/>
  <c r="AS76" i="12" s="1"/>
  <c r="AS60" i="12"/>
  <c r="AS75" i="12" s="1"/>
  <c r="AS87" i="12" s="1"/>
  <c r="BF72" i="12"/>
  <c r="BF76" i="12" s="1"/>
  <c r="BF60" i="12"/>
  <c r="BF75" i="12" s="1"/>
  <c r="BR72" i="12"/>
  <c r="BR76" i="12" s="1"/>
  <c r="BR60" i="12"/>
  <c r="BR75" i="12" s="1"/>
  <c r="BR87" i="12" s="1"/>
  <c r="CD72" i="12"/>
  <c r="CD76" i="12" s="1"/>
  <c r="CD60" i="12"/>
  <c r="CD75" i="12" s="1"/>
  <c r="CD87" i="12" s="1"/>
  <c r="CW88" i="12"/>
  <c r="CW78" i="12"/>
  <c r="CW90" i="12" s="1"/>
  <c r="EN88" i="12"/>
  <c r="GY88" i="12"/>
  <c r="GY78" i="12"/>
  <c r="GY90" i="12" s="1"/>
  <c r="BU88" i="12"/>
  <c r="BU77" i="12"/>
  <c r="BU89" i="12" s="1"/>
  <c r="GY77" i="12"/>
  <c r="GY89" i="12" s="1"/>
  <c r="H74" i="12"/>
  <c r="H73" i="12"/>
  <c r="H85" i="12" s="1"/>
  <c r="L70" i="12"/>
  <c r="L74" i="12" s="1"/>
  <c r="L73" i="12"/>
  <c r="L85" i="12" s="1"/>
  <c r="P70" i="12"/>
  <c r="P74" i="12" s="1"/>
  <c r="P58" i="12"/>
  <c r="P73" i="12" s="1"/>
  <c r="Y72" i="12"/>
  <c r="Y76" i="12" s="1"/>
  <c r="Y60" i="12"/>
  <c r="Y75" i="12" s="1"/>
  <c r="Y87" i="12" s="1"/>
  <c r="AC72" i="12"/>
  <c r="AC76" i="12" s="1"/>
  <c r="AC60" i="12"/>
  <c r="AC75" i="12" s="1"/>
  <c r="AC87" i="12" s="1"/>
  <c r="AM72" i="12"/>
  <c r="AM76" i="12" s="1"/>
  <c r="AM60" i="12"/>
  <c r="AM75" i="12" s="1"/>
  <c r="AM87" i="12" s="1"/>
  <c r="AQ72" i="12"/>
  <c r="AQ76" i="12" s="1"/>
  <c r="AQ60" i="12"/>
  <c r="AQ75" i="12" s="1"/>
  <c r="AZ72" i="12"/>
  <c r="AZ76" i="12" s="1"/>
  <c r="AZ60" i="12"/>
  <c r="AZ75" i="12" s="1"/>
  <c r="BD72" i="12"/>
  <c r="BD76" i="12" s="1"/>
  <c r="BD60" i="12"/>
  <c r="BD75" i="12" s="1"/>
  <c r="BH72" i="12"/>
  <c r="BH76" i="12" s="1"/>
  <c r="BH60" i="12"/>
  <c r="BH75" i="12" s="1"/>
  <c r="BH87" i="12" s="1"/>
  <c r="BP72" i="12"/>
  <c r="BP76" i="12" s="1"/>
  <c r="BP60" i="12"/>
  <c r="BP75" i="12" s="1"/>
  <c r="BT72" i="12"/>
  <c r="BT76" i="12" s="1"/>
  <c r="BT60" i="12"/>
  <c r="BT75" i="12" s="1"/>
  <c r="BT87" i="12" s="1"/>
  <c r="CB72" i="12"/>
  <c r="CB76" i="12" s="1"/>
  <c r="CB60" i="12"/>
  <c r="CB75" i="12" s="1"/>
  <c r="CF72" i="12"/>
  <c r="CF76" i="12" s="1"/>
  <c r="CF60" i="12"/>
  <c r="CF75" i="12" s="1"/>
  <c r="CF87" i="12" s="1"/>
  <c r="CJ72" i="12"/>
  <c r="CJ76" i="12" s="1"/>
  <c r="CJ60" i="12"/>
  <c r="CJ75" i="12" s="1"/>
  <c r="CR72" i="12"/>
  <c r="CR76" i="12" s="1"/>
  <c r="CR60" i="12"/>
  <c r="CR75" i="12" s="1"/>
  <c r="CR87" i="12" s="1"/>
  <c r="CV72" i="12"/>
  <c r="CV76" i="12" s="1"/>
  <c r="CV60" i="12"/>
  <c r="CV75" i="12" s="1"/>
  <c r="CV87" i="12" s="1"/>
  <c r="DQ71" i="12"/>
  <c r="DQ75" i="12" s="1"/>
  <c r="DQ59" i="12"/>
  <c r="DQ74" i="12" s="1"/>
  <c r="DQ87" i="12" s="1"/>
  <c r="DU71" i="12"/>
  <c r="DU75" i="12" s="1"/>
  <c r="DU59" i="12"/>
  <c r="DU74" i="12" s="1"/>
  <c r="DY71" i="12"/>
  <c r="DY75" i="12" s="1"/>
  <c r="DY59" i="12"/>
  <c r="DY74" i="12" s="1"/>
  <c r="DY87" i="12" s="1"/>
  <c r="EH72" i="12"/>
  <c r="EH76" i="12" s="1"/>
  <c r="EH60" i="12"/>
  <c r="EH75" i="12" s="1"/>
  <c r="EH87" i="12" s="1"/>
  <c r="EL72" i="12"/>
  <c r="EL76" i="12" s="1"/>
  <c r="EL60" i="12"/>
  <c r="EL75" i="12" s="1"/>
  <c r="EL87" i="12" s="1"/>
  <c r="ET72" i="12"/>
  <c r="ET76" i="12" s="1"/>
  <c r="ET60" i="12"/>
  <c r="ET75" i="12" s="1"/>
  <c r="ET87" i="12" s="1"/>
  <c r="EX88" i="12"/>
  <c r="EX78" i="12"/>
  <c r="EX90" i="12" s="1"/>
  <c r="EX77" i="12"/>
  <c r="EX89" i="12" s="1"/>
  <c r="FB72" i="12"/>
  <c r="FB76" i="12" s="1"/>
  <c r="FB60" i="12"/>
  <c r="FB75" i="12" s="1"/>
  <c r="FJ71" i="12"/>
  <c r="FJ75" i="12" s="1"/>
  <c r="FJ59" i="12"/>
  <c r="FJ74" i="12" s="1"/>
  <c r="FJ87" i="12" s="1"/>
  <c r="FN71" i="12"/>
  <c r="FN75" i="12" s="1"/>
  <c r="FN59" i="12"/>
  <c r="FN74" i="12" s="1"/>
  <c r="FV88" i="12"/>
  <c r="FV77" i="12"/>
  <c r="FV90" i="12" s="1"/>
  <c r="FZ71" i="12"/>
  <c r="FZ75" i="12" s="1"/>
  <c r="FZ59" i="12"/>
  <c r="FZ74" i="12" s="1"/>
  <c r="GD71" i="12"/>
  <c r="GD75" i="12" s="1"/>
  <c r="GD59" i="12"/>
  <c r="GD74" i="12" s="1"/>
  <c r="GD87" i="12" s="1"/>
  <c r="GL72" i="12"/>
  <c r="GL76" i="12" s="1"/>
  <c r="GL60" i="12"/>
  <c r="GL75" i="12" s="1"/>
  <c r="GX72" i="12"/>
  <c r="GX76" i="12" s="1"/>
  <c r="GX60" i="12"/>
  <c r="GX75" i="12" s="1"/>
  <c r="HB72" i="12"/>
  <c r="HB76" i="12" s="1"/>
  <c r="HB60" i="12"/>
  <c r="HB75" i="12" s="1"/>
  <c r="HB87" i="12" s="1"/>
  <c r="HF72" i="12"/>
  <c r="HF76" i="12" s="1"/>
  <c r="HF60" i="12"/>
  <c r="HF75" i="12" s="1"/>
  <c r="HF87" i="12" s="1"/>
  <c r="M58" i="12"/>
  <c r="M73" i="12" s="1"/>
  <c r="AR60" i="12"/>
  <c r="AR75" i="12" s="1"/>
  <c r="BQ60" i="12"/>
  <c r="BQ75" i="12" s="1"/>
  <c r="BQ87" i="12" s="1"/>
  <c r="CK60" i="12"/>
  <c r="CK75" i="12" s="1"/>
  <c r="CK87" i="12" s="1"/>
  <c r="DV59" i="12"/>
  <c r="DV74" i="12" s="1"/>
  <c r="DV87" i="12" s="1"/>
  <c r="EX60" i="12"/>
  <c r="EX75" i="12" s="1"/>
  <c r="GA59" i="12"/>
  <c r="GA74" i="12" s="1"/>
  <c r="GA87" i="12" s="1"/>
  <c r="CC72" i="12"/>
  <c r="CC76" i="12" s="1"/>
  <c r="DS71" i="12"/>
  <c r="DS75" i="12" s="1"/>
  <c r="HD72" i="12"/>
  <c r="HD76" i="12" s="1"/>
  <c r="CW77" i="12"/>
  <c r="CW89" i="12" s="1"/>
  <c r="BU78" i="12"/>
  <c r="BU90" i="12" s="1"/>
  <c r="AR88" i="12"/>
  <c r="AR77" i="12"/>
  <c r="AR89" i="12" s="1"/>
  <c r="AR78" i="12"/>
  <c r="AR90" i="12" s="1"/>
  <c r="BA88" i="12"/>
  <c r="BA77" i="12"/>
  <c r="BA89" i="12" s="1"/>
  <c r="BA78" i="12"/>
  <c r="BA90" i="12" s="1"/>
  <c r="BI88" i="12"/>
  <c r="BI77" i="12"/>
  <c r="BI89" i="12" s="1"/>
  <c r="BI78" i="12"/>
  <c r="BI90" i="12" s="1"/>
  <c r="BQ77" i="12"/>
  <c r="BQ89" i="12" s="1"/>
  <c r="BQ78" i="12"/>
  <c r="BQ90" i="12" s="1"/>
  <c r="BQ88" i="12"/>
  <c r="BQ92" i="12" s="1"/>
  <c r="CK88" i="12"/>
  <c r="CK77" i="12"/>
  <c r="CK89" i="12" s="1"/>
  <c r="CK78" i="12"/>
  <c r="CK90" i="12" s="1"/>
  <c r="CS88" i="12"/>
  <c r="CS77" i="12"/>
  <c r="CS89" i="12" s="1"/>
  <c r="CS78" i="12"/>
  <c r="CS90" i="12" s="1"/>
  <c r="DR88" i="12"/>
  <c r="DR76" i="12"/>
  <c r="DR89" i="12" s="1"/>
  <c r="DR77" i="12"/>
  <c r="DR90" i="12" s="1"/>
  <c r="DV76" i="12"/>
  <c r="DV89" i="12" s="1"/>
  <c r="DV77" i="12"/>
  <c r="DV90" i="12" s="1"/>
  <c r="DV88" i="12"/>
  <c r="DV92" i="12" s="1"/>
  <c r="W175" i="10" s="1"/>
  <c r="DZ88" i="12"/>
  <c r="DZ76" i="12"/>
  <c r="DZ89" i="12" s="1"/>
  <c r="DZ77" i="12"/>
  <c r="DZ90" i="12" s="1"/>
  <c r="EM72" i="12"/>
  <c r="EM76" i="12" s="1"/>
  <c r="EM60" i="12"/>
  <c r="EM75" i="12" s="1"/>
  <c r="EM87" i="12" s="1"/>
  <c r="EU72" i="12"/>
  <c r="EU76" i="12" s="1"/>
  <c r="EU60" i="12"/>
  <c r="EU75" i="12" s="1"/>
  <c r="EU87" i="12" s="1"/>
  <c r="EY72" i="12"/>
  <c r="EY76" i="12" s="1"/>
  <c r="EY60" i="12"/>
  <c r="EY75" i="12" s="1"/>
  <c r="FK71" i="12"/>
  <c r="FK75" i="12" s="1"/>
  <c r="FK59" i="12"/>
  <c r="FK74" i="12" s="1"/>
  <c r="FK87" i="12" s="1"/>
  <c r="FO71" i="12"/>
  <c r="FO75" i="12" s="1"/>
  <c r="FO59" i="12"/>
  <c r="FO74" i="12" s="1"/>
  <c r="FO87" i="12" s="1"/>
  <c r="FW71" i="12"/>
  <c r="FW75" i="12" s="1"/>
  <c r="FW59" i="12"/>
  <c r="FW74" i="12" s="1"/>
  <c r="FW87" i="12" s="1"/>
  <c r="GE71" i="12"/>
  <c r="GE75" i="12" s="1"/>
  <c r="GE59" i="12"/>
  <c r="GE74" i="12" s="1"/>
  <c r="GE87" i="12" s="1"/>
  <c r="GM72" i="12"/>
  <c r="GM76" i="12" s="1"/>
  <c r="GM60" i="12"/>
  <c r="GM75" i="12" s="1"/>
  <c r="GM87" i="12" s="1"/>
  <c r="GQ72" i="12"/>
  <c r="GQ76" i="12" s="1"/>
  <c r="GQ60" i="12"/>
  <c r="GQ75" i="12" s="1"/>
  <c r="GQ87" i="12" s="1"/>
  <c r="HC72" i="12"/>
  <c r="HC76" i="12" s="1"/>
  <c r="HC60" i="12"/>
  <c r="HC75" i="12" s="1"/>
  <c r="HC87" i="12" s="1"/>
  <c r="HG72" i="12"/>
  <c r="HG76" i="12" s="1"/>
  <c r="HG60" i="12"/>
  <c r="HG75" i="12" s="1"/>
  <c r="HG87" i="12" s="1"/>
  <c r="BA60" i="12"/>
  <c r="BA75" i="12" s="1"/>
  <c r="BA87" i="12" s="1"/>
  <c r="BU60" i="12"/>
  <c r="BU75" i="12" s="1"/>
  <c r="CS60" i="12"/>
  <c r="CS75" i="12" s="1"/>
  <c r="CS87" i="12" s="1"/>
  <c r="DZ59" i="12"/>
  <c r="DZ74" i="12" s="1"/>
  <c r="FC60" i="12"/>
  <c r="FC75" i="12" s="1"/>
  <c r="BE72" i="12"/>
  <c r="BE76" i="12" s="1"/>
  <c r="GJ72" i="12"/>
  <c r="GJ76" i="12" s="1"/>
  <c r="CP72" i="12"/>
  <c r="CP76" i="12" s="1"/>
  <c r="CP60" i="12"/>
  <c r="CP75" i="12" s="1"/>
  <c r="CT72" i="12"/>
  <c r="CT76" i="12" s="1"/>
  <c r="CT60" i="12"/>
  <c r="CT75" i="12" s="1"/>
  <c r="CT87" i="12" s="1"/>
  <c r="CX72" i="12"/>
  <c r="CX76" i="12" s="1"/>
  <c r="CX60" i="12"/>
  <c r="CX75" i="12" s="1"/>
  <c r="DW71" i="12"/>
  <c r="DW75" i="12" s="1"/>
  <c r="DW59" i="12"/>
  <c r="DW74" i="12" s="1"/>
  <c r="DW87" i="12" s="1"/>
  <c r="EF72" i="12"/>
  <c r="EF76" i="12" s="1"/>
  <c r="EF60" i="12"/>
  <c r="EF75" i="12" s="1"/>
  <c r="EJ60" i="12"/>
  <c r="EJ75" i="12" s="1"/>
  <c r="EJ87" i="12" s="1"/>
  <c r="EJ72" i="12"/>
  <c r="EJ76" i="12" s="1"/>
  <c r="EV60" i="12"/>
  <c r="EV75" i="12" s="1"/>
  <c r="EV72" i="12"/>
  <c r="EV76" i="12" s="1"/>
  <c r="EZ60" i="12"/>
  <c r="EZ75" i="12" s="1"/>
  <c r="EZ87" i="12" s="1"/>
  <c r="EZ72" i="12"/>
  <c r="EZ76" i="12" s="1"/>
  <c r="FH59" i="12"/>
  <c r="FH74" i="12" s="1"/>
  <c r="FH87" i="12" s="1"/>
  <c r="FH71" i="12"/>
  <c r="FH75" i="12" s="1"/>
  <c r="FP59" i="12"/>
  <c r="FP74" i="12" s="1"/>
  <c r="FP87" i="12" s="1"/>
  <c r="FP71" i="12"/>
  <c r="FP75" i="12" s="1"/>
  <c r="FX59" i="12"/>
  <c r="FX74" i="12" s="1"/>
  <c r="FX87" i="12" s="1"/>
  <c r="FX71" i="12"/>
  <c r="FX75" i="12" s="1"/>
  <c r="GB59" i="12"/>
  <c r="GB74" i="12" s="1"/>
  <c r="GB87" i="12" s="1"/>
  <c r="GB71" i="12"/>
  <c r="GB75" i="12" s="1"/>
  <c r="GN60" i="12"/>
  <c r="GN75" i="12" s="1"/>
  <c r="GN87" i="12" s="1"/>
  <c r="GN72" i="12"/>
  <c r="GN76" i="12" s="1"/>
  <c r="GR60" i="12"/>
  <c r="GR75" i="12" s="1"/>
  <c r="GR87" i="12" s="1"/>
  <c r="GR72" i="12"/>
  <c r="GR76" i="12" s="1"/>
  <c r="GZ60" i="12"/>
  <c r="GZ75" i="12" s="1"/>
  <c r="GZ72" i="12"/>
  <c r="GZ76" i="12" s="1"/>
  <c r="EI60" i="12"/>
  <c r="EI75" i="12" s="1"/>
  <c r="EI87" i="12" s="1"/>
  <c r="FL71" i="12"/>
  <c r="FL75" i="12" s="1"/>
  <c r="GP88" i="12"/>
  <c r="GP78" i="12"/>
  <c r="GP90" i="12" s="1"/>
  <c r="GP77" i="12"/>
  <c r="GP89" i="12" s="1"/>
  <c r="O85" i="12"/>
  <c r="I85" i="12"/>
  <c r="M85" i="12"/>
  <c r="AF87" i="12"/>
  <c r="BO87" i="12"/>
  <c r="DT87" i="12"/>
  <c r="J85" i="12"/>
  <c r="N85" i="12"/>
  <c r="AR87" i="12"/>
  <c r="BE87" i="12"/>
  <c r="BI87" i="12"/>
  <c r="BU87" i="12"/>
  <c r="CC87" i="12"/>
  <c r="CG87" i="12"/>
  <c r="CW87" i="12"/>
  <c r="DZ87" i="12"/>
  <c r="EY87" i="12"/>
  <c r="FC87" i="12"/>
  <c r="GY87" i="12"/>
  <c r="K85" i="12"/>
  <c r="W87" i="12"/>
  <c r="AK87" i="12"/>
  <c r="AO87" i="12"/>
  <c r="BB87" i="12"/>
  <c r="BF87" i="12"/>
  <c r="CP87" i="12"/>
  <c r="CX87" i="12"/>
  <c r="DS87" i="12"/>
  <c r="EF87" i="12"/>
  <c r="P85" i="12"/>
  <c r="AT87" i="12"/>
  <c r="CE87" i="12"/>
  <c r="CQ87" i="12"/>
  <c r="CY87" i="12"/>
  <c r="EW87" i="12"/>
  <c r="FI87" i="12"/>
  <c r="HA87" i="12"/>
  <c r="AQ87" i="12"/>
  <c r="AZ87" i="12"/>
  <c r="BD87" i="12"/>
  <c r="BP87" i="12"/>
  <c r="CB87" i="12"/>
  <c r="CJ87" i="12"/>
  <c r="DU87" i="12"/>
  <c r="EX87" i="12"/>
  <c r="FB87" i="12"/>
  <c r="FN87" i="12"/>
  <c r="FZ87" i="12"/>
  <c r="GL87" i="12"/>
  <c r="GP87" i="12"/>
  <c r="GX87" i="12"/>
  <c r="EN87" i="12"/>
  <c r="EV87" i="12"/>
  <c r="FL87" i="12"/>
  <c r="GJ87" i="12"/>
  <c r="GZ87" i="12"/>
  <c r="HD87" i="12"/>
  <c r="GX13" i="12"/>
  <c r="HA12" i="12"/>
  <c r="GJ23" i="12"/>
  <c r="GM12" i="12"/>
  <c r="GJ13" i="12"/>
  <c r="FV22" i="12"/>
  <c r="FY21" i="12"/>
  <c r="FK12" i="12"/>
  <c r="EW12" i="12"/>
  <c r="ET13" i="12"/>
  <c r="DD21" i="12"/>
  <c r="DD22" i="12" s="1"/>
  <c r="DG21" i="12"/>
  <c r="CP6" i="12"/>
  <c r="CP99" i="20" l="1"/>
  <c r="CP103" i="20" s="1"/>
  <c r="CO99" i="20"/>
  <c r="CO103" i="20" s="1"/>
  <c r="GP92" i="12"/>
  <c r="W271" i="10" s="1"/>
  <c r="DZ92" i="12"/>
  <c r="W179" i="10" s="1"/>
  <c r="CK92" i="12"/>
  <c r="AR92" i="12"/>
  <c r="BU92" i="12"/>
  <c r="FC92" i="12"/>
  <c r="W217" i="10" s="1"/>
  <c r="CS92" i="12"/>
  <c r="BA92" i="12"/>
  <c r="CW92" i="12"/>
  <c r="GA92" i="12"/>
  <c r="W251" i="10" s="1"/>
  <c r="DR92" i="12"/>
  <c r="W171" i="10" s="1"/>
  <c r="BI92" i="12"/>
  <c r="FV92" i="12"/>
  <c r="W246" i="10" s="1"/>
  <c r="GY92" i="12"/>
  <c r="W285" i="10" s="1"/>
  <c r="M92" i="12"/>
  <c r="CG92" i="12"/>
  <c r="I128" i="12"/>
  <c r="K127" i="12"/>
  <c r="J127" i="12"/>
  <c r="EX92" i="12"/>
  <c r="W212" i="10" s="1"/>
  <c r="EI92" i="12"/>
  <c r="W192" i="10" s="1"/>
  <c r="EI6" i="12"/>
  <c r="EF21" i="12"/>
  <c r="DF88" i="12"/>
  <c r="DF77" i="12"/>
  <c r="DF89" i="12" s="1"/>
  <c r="DF78" i="12"/>
  <c r="DF90" i="12" s="1"/>
  <c r="DM78" i="12"/>
  <c r="DM90" i="12" s="1"/>
  <c r="DM88" i="12"/>
  <c r="DM77" i="12"/>
  <c r="DM89" i="12" s="1"/>
  <c r="DE78" i="12"/>
  <c r="DE90" i="12" s="1"/>
  <c r="DE88" i="12"/>
  <c r="DE92" i="12" s="1"/>
  <c r="W152" i="10" s="1"/>
  <c r="DE77" i="12"/>
  <c r="DE89" i="12" s="1"/>
  <c r="DH78" i="12"/>
  <c r="DH90" i="12" s="1"/>
  <c r="DH88" i="12"/>
  <c r="DH77" i="12"/>
  <c r="DH89" i="12" s="1"/>
  <c r="DJ88" i="12"/>
  <c r="DJ77" i="12"/>
  <c r="DJ89" i="12" s="1"/>
  <c r="DJ78" i="12"/>
  <c r="DJ90" i="12" s="1"/>
  <c r="DK88" i="12"/>
  <c r="DK77" i="12"/>
  <c r="DK89" i="12" s="1"/>
  <c r="DK78" i="12"/>
  <c r="DK90" i="12" s="1"/>
  <c r="DG88" i="12"/>
  <c r="DG77" i="12"/>
  <c r="DG89" i="12" s="1"/>
  <c r="DG78" i="12"/>
  <c r="DG90" i="12" s="1"/>
  <c r="DI78" i="12"/>
  <c r="DI90" i="12" s="1"/>
  <c r="DI88" i="12"/>
  <c r="DI77" i="12"/>
  <c r="DI89" i="12" s="1"/>
  <c r="DL78" i="12"/>
  <c r="DL90" i="12" s="1"/>
  <c r="DL88" i="12"/>
  <c r="DL77" i="12"/>
  <c r="DL89" i="12" s="1"/>
  <c r="DD78" i="12"/>
  <c r="DD90" i="12" s="1"/>
  <c r="DD88" i="12"/>
  <c r="DD77" i="12"/>
  <c r="DD89" i="12" s="1"/>
  <c r="EN77" i="12"/>
  <c r="EN89" i="12" s="1"/>
  <c r="EN92" i="12" s="1"/>
  <c r="W197" i="10" s="1"/>
  <c r="DW88" i="12"/>
  <c r="DW92" i="12" s="1"/>
  <c r="W176" i="10" s="1"/>
  <c r="DW76" i="12"/>
  <c r="DW89" i="12" s="1"/>
  <c r="DW77" i="12"/>
  <c r="DW90" i="12" s="1"/>
  <c r="ET88" i="12"/>
  <c r="ET78" i="12"/>
  <c r="ET90" i="12" s="1"/>
  <c r="ET77" i="12"/>
  <c r="ET89" i="12" s="1"/>
  <c r="CV88" i="12"/>
  <c r="CV78" i="12"/>
  <c r="CV90" i="12" s="1"/>
  <c r="CV77" i="12"/>
  <c r="CV89" i="12" s="1"/>
  <c r="BP88" i="12"/>
  <c r="BP78" i="12"/>
  <c r="BP90" i="12" s="1"/>
  <c r="BP77" i="12"/>
  <c r="BP89" i="12" s="1"/>
  <c r="AS88" i="12"/>
  <c r="AS92" i="12" s="1"/>
  <c r="AS77" i="12"/>
  <c r="AS89" i="12" s="1"/>
  <c r="AS78" i="12"/>
  <c r="AS90" i="12" s="1"/>
  <c r="BO88" i="12"/>
  <c r="BO78" i="12"/>
  <c r="BO90" i="12" s="1"/>
  <c r="BO77" i="12"/>
  <c r="BO89" i="12" s="1"/>
  <c r="CH88" i="12"/>
  <c r="CH77" i="12"/>
  <c r="CH89" i="12" s="1"/>
  <c r="CH78" i="12"/>
  <c r="CH90" i="12" s="1"/>
  <c r="AF88" i="12"/>
  <c r="AF78" i="12"/>
  <c r="AF90" i="12" s="1"/>
  <c r="AF77" i="12"/>
  <c r="AF89" i="12" s="1"/>
  <c r="GZ88" i="12"/>
  <c r="GZ92" i="12" s="1"/>
  <c r="W286" i="10" s="1"/>
  <c r="GZ77" i="12"/>
  <c r="GZ89" i="12" s="1"/>
  <c r="GZ78" i="12"/>
  <c r="GZ90" i="12" s="1"/>
  <c r="GN88" i="12"/>
  <c r="GN77" i="12"/>
  <c r="GN89" i="12" s="1"/>
  <c r="GN78" i="12"/>
  <c r="GN90" i="12" s="1"/>
  <c r="FX76" i="12"/>
  <c r="FX89" i="12" s="1"/>
  <c r="FX88" i="12"/>
  <c r="FX77" i="12"/>
  <c r="FX90" i="12" s="1"/>
  <c r="FH88" i="12"/>
  <c r="FH76" i="12"/>
  <c r="FH89" i="12" s="1"/>
  <c r="FH77" i="12"/>
  <c r="FH90" i="12" s="1"/>
  <c r="EV88" i="12"/>
  <c r="EV92" i="12" s="1"/>
  <c r="W210" i="10" s="1"/>
  <c r="EV77" i="12"/>
  <c r="EV89" i="12" s="1"/>
  <c r="EV78" i="12"/>
  <c r="EV90" i="12" s="1"/>
  <c r="HC88" i="12"/>
  <c r="HC77" i="12"/>
  <c r="HC89" i="12" s="1"/>
  <c r="HC78" i="12"/>
  <c r="HC90" i="12" s="1"/>
  <c r="GM88" i="12"/>
  <c r="GM77" i="12"/>
  <c r="GM89" i="12" s="1"/>
  <c r="GM78" i="12"/>
  <c r="GM90" i="12" s="1"/>
  <c r="FW88" i="12"/>
  <c r="FW76" i="12"/>
  <c r="FW89" i="12" s="1"/>
  <c r="FW77" i="12"/>
  <c r="FW90" i="12" s="1"/>
  <c r="FK88" i="12"/>
  <c r="FK92" i="12" s="1"/>
  <c r="W230" i="10" s="1"/>
  <c r="FK76" i="12"/>
  <c r="FK89" i="12" s="1"/>
  <c r="FK77" i="12"/>
  <c r="FK90" i="12" s="1"/>
  <c r="EU88" i="12"/>
  <c r="EU77" i="12"/>
  <c r="EU89" i="12" s="1"/>
  <c r="EU78" i="12"/>
  <c r="EU90" i="12" s="1"/>
  <c r="HD88" i="12"/>
  <c r="HD77" i="12"/>
  <c r="HD89" i="12" s="1"/>
  <c r="HD78" i="12"/>
  <c r="HD90" i="12" s="1"/>
  <c r="HF88" i="12"/>
  <c r="HF92" i="12" s="1"/>
  <c r="W292" i="10" s="1"/>
  <c r="HF78" i="12"/>
  <c r="HF90" i="12" s="1"/>
  <c r="HF77" i="12"/>
  <c r="HF89" i="12" s="1"/>
  <c r="GX88" i="12"/>
  <c r="GX92" i="12" s="1"/>
  <c r="W284" i="10" s="1"/>
  <c r="GX78" i="12"/>
  <c r="GX90" i="12" s="1"/>
  <c r="GX77" i="12"/>
  <c r="GX89" i="12" s="1"/>
  <c r="GD88" i="12"/>
  <c r="GD77" i="12"/>
  <c r="GD90" i="12" s="1"/>
  <c r="GD76" i="12"/>
  <c r="GD89" i="12" s="1"/>
  <c r="FJ88" i="12"/>
  <c r="FJ77" i="12"/>
  <c r="FJ90" i="12" s="1"/>
  <c r="FJ76" i="12"/>
  <c r="FJ89" i="12" s="1"/>
  <c r="EK88" i="12"/>
  <c r="EK92" i="12" s="1"/>
  <c r="W194" i="10" s="1"/>
  <c r="EK78" i="12"/>
  <c r="EK90" i="12" s="1"/>
  <c r="EK77" i="12"/>
  <c r="EK89" i="12" s="1"/>
  <c r="BC88" i="12"/>
  <c r="BC92" i="12" s="1"/>
  <c r="BC78" i="12"/>
  <c r="BC90" i="12" s="1"/>
  <c r="BC77" i="12"/>
  <c r="BC89" i="12" s="1"/>
  <c r="AB88" i="12"/>
  <c r="AB78" i="12"/>
  <c r="AB90" i="12" s="1"/>
  <c r="AB77" i="12"/>
  <c r="AB89" i="12" s="1"/>
  <c r="HE88" i="12"/>
  <c r="HE78" i="12"/>
  <c r="HE90" i="12" s="1"/>
  <c r="HE77" i="12"/>
  <c r="HE89" i="12" s="1"/>
  <c r="GK88" i="12"/>
  <c r="GK92" i="12" s="1"/>
  <c r="W266" i="10" s="1"/>
  <c r="GK78" i="12"/>
  <c r="GK90" i="12" s="1"/>
  <c r="GK77" i="12"/>
  <c r="GK89" i="12" s="1"/>
  <c r="FY88" i="12"/>
  <c r="FY92" i="12" s="1"/>
  <c r="W249" i="10" s="1"/>
  <c r="FY77" i="12"/>
  <c r="FY90" i="12" s="1"/>
  <c r="FY76" i="12"/>
  <c r="FY89" i="12" s="1"/>
  <c r="FM88" i="12"/>
  <c r="FM77" i="12"/>
  <c r="FM90" i="12" s="1"/>
  <c r="FM76" i="12"/>
  <c r="FM89" i="12" s="1"/>
  <c r="CU88" i="12"/>
  <c r="CU78" i="12"/>
  <c r="CU90" i="12" s="1"/>
  <c r="CU77" i="12"/>
  <c r="CU89" i="12" s="1"/>
  <c r="AA88" i="12"/>
  <c r="AA92" i="12" s="1"/>
  <c r="AA77" i="12"/>
  <c r="AA89" i="12" s="1"/>
  <c r="AA78" i="12"/>
  <c r="AA90" i="12" s="1"/>
  <c r="AD88" i="12"/>
  <c r="AD92" i="12" s="1"/>
  <c r="AD78" i="12"/>
  <c r="AD90" i="12" s="1"/>
  <c r="AD77" i="12"/>
  <c r="AD89" i="12" s="1"/>
  <c r="Q86" i="12"/>
  <c r="Q76" i="12"/>
  <c r="Q88" i="12" s="1"/>
  <c r="Q75" i="12"/>
  <c r="Q87" i="12" s="1"/>
  <c r="GS88" i="12"/>
  <c r="GS78" i="12"/>
  <c r="GS90" i="12" s="1"/>
  <c r="GS77" i="12"/>
  <c r="GS89" i="12" s="1"/>
  <c r="EO88" i="12"/>
  <c r="EO92" i="12" s="1"/>
  <c r="W198" i="10" s="1"/>
  <c r="EO78" i="12"/>
  <c r="EO90" i="12" s="1"/>
  <c r="EO77" i="12"/>
  <c r="EO89" i="12" s="1"/>
  <c r="BW88" i="12"/>
  <c r="BW92" i="12" s="1"/>
  <c r="BW78" i="12"/>
  <c r="BW90" i="12" s="1"/>
  <c r="BW77" i="12"/>
  <c r="BW89" i="12" s="1"/>
  <c r="CT88" i="12"/>
  <c r="CT77" i="12"/>
  <c r="CT89" i="12" s="1"/>
  <c r="CT78" i="12"/>
  <c r="CT90" i="12" s="1"/>
  <c r="EH88" i="12"/>
  <c r="EH78" i="12"/>
  <c r="EH90" i="12" s="1"/>
  <c r="EH77" i="12"/>
  <c r="EH89" i="12" s="1"/>
  <c r="CJ88" i="12"/>
  <c r="CJ92" i="12" s="1"/>
  <c r="CJ78" i="12"/>
  <c r="CJ90" i="12" s="1"/>
  <c r="CJ77" i="12"/>
  <c r="CJ89" i="12" s="1"/>
  <c r="BD88" i="12"/>
  <c r="BD92" i="12" s="1"/>
  <c r="BD78" i="12"/>
  <c r="BD90" i="12" s="1"/>
  <c r="BD77" i="12"/>
  <c r="BD89" i="12" s="1"/>
  <c r="L86" i="12"/>
  <c r="L76" i="12"/>
  <c r="L88" i="12" s="1"/>
  <c r="L75" i="12"/>
  <c r="L87" i="12" s="1"/>
  <c r="BR88" i="12"/>
  <c r="BR77" i="12"/>
  <c r="BR89" i="12" s="1"/>
  <c r="BR78" i="12"/>
  <c r="BR90" i="12" s="1"/>
  <c r="BN88" i="12"/>
  <c r="BN92" i="12" s="1"/>
  <c r="BN77" i="12"/>
  <c r="BN89" i="12" s="1"/>
  <c r="BN78" i="12"/>
  <c r="BN90" i="12" s="1"/>
  <c r="J75" i="12"/>
  <c r="J87" i="12" s="1"/>
  <c r="J86" i="12"/>
  <c r="J76" i="12"/>
  <c r="J88" i="12" s="1"/>
  <c r="AT88" i="12"/>
  <c r="AT78" i="12"/>
  <c r="AT90" i="12" s="1"/>
  <c r="AT77" i="12"/>
  <c r="AT89" i="12" s="1"/>
  <c r="FL88" i="12"/>
  <c r="FL76" i="12"/>
  <c r="FL89" i="12" s="1"/>
  <c r="FL77" i="12"/>
  <c r="FL90" i="12" s="1"/>
  <c r="EF88" i="12"/>
  <c r="EF92" i="12" s="1"/>
  <c r="W189" i="10" s="1"/>
  <c r="EF77" i="12"/>
  <c r="EF89" i="12" s="1"/>
  <c r="EF78" i="12"/>
  <c r="EF90" i="12" s="1"/>
  <c r="CX88" i="12"/>
  <c r="CX92" i="12" s="1"/>
  <c r="CX77" i="12"/>
  <c r="CX89" i="12" s="1"/>
  <c r="CX78" i="12"/>
  <c r="CX90" i="12" s="1"/>
  <c r="CP88" i="12"/>
  <c r="CP77" i="12"/>
  <c r="CP89" i="12" s="1"/>
  <c r="CP78" i="12"/>
  <c r="CP90" i="12" s="1"/>
  <c r="DS88" i="12"/>
  <c r="DS76" i="12"/>
  <c r="DS89" i="12" s="1"/>
  <c r="DS77" i="12"/>
  <c r="DS90" i="12" s="1"/>
  <c r="EL88" i="12"/>
  <c r="EL92" i="12" s="1"/>
  <c r="W195" i="10" s="1"/>
  <c r="EL78" i="12"/>
  <c r="EL90" i="12" s="1"/>
  <c r="EL77" i="12"/>
  <c r="EL89" i="12" s="1"/>
  <c r="DY88" i="12"/>
  <c r="DY92" i="12" s="1"/>
  <c r="W178" i="10" s="1"/>
  <c r="DY77" i="12"/>
  <c r="DY90" i="12" s="1"/>
  <c r="DY76" i="12"/>
  <c r="DY89" i="12" s="1"/>
  <c r="DQ88" i="12"/>
  <c r="DQ77" i="12"/>
  <c r="DQ90" i="12" s="1"/>
  <c r="DQ76" i="12"/>
  <c r="DQ89" i="12" s="1"/>
  <c r="CR88" i="12"/>
  <c r="CR78" i="12"/>
  <c r="CR90" i="12" s="1"/>
  <c r="CR77" i="12"/>
  <c r="CR89" i="12" s="1"/>
  <c r="CF88" i="12"/>
  <c r="CF92" i="12" s="1"/>
  <c r="CF78" i="12"/>
  <c r="CF90" i="12" s="1"/>
  <c r="CF77" i="12"/>
  <c r="CF89" i="12" s="1"/>
  <c r="BT88" i="12"/>
  <c r="BT92" i="12" s="1"/>
  <c r="BT78" i="12"/>
  <c r="BT90" i="12" s="1"/>
  <c r="BT77" i="12"/>
  <c r="BT89" i="12" s="1"/>
  <c r="BH88" i="12"/>
  <c r="BH78" i="12"/>
  <c r="BH90" i="12" s="1"/>
  <c r="BH77" i="12"/>
  <c r="BH89" i="12" s="1"/>
  <c r="AZ88" i="12"/>
  <c r="AZ78" i="12"/>
  <c r="AZ90" i="12" s="1"/>
  <c r="AZ77" i="12"/>
  <c r="AZ89" i="12" s="1"/>
  <c r="AM88" i="12"/>
  <c r="AM92" i="12" s="1"/>
  <c r="AM78" i="12"/>
  <c r="AM90" i="12" s="1"/>
  <c r="AM77" i="12"/>
  <c r="AM89" i="12" s="1"/>
  <c r="AC88" i="12"/>
  <c r="AC92" i="12" s="1"/>
  <c r="AC78" i="12"/>
  <c r="AC90" i="12" s="1"/>
  <c r="AC77" i="12"/>
  <c r="AC89" i="12" s="1"/>
  <c r="P86" i="12"/>
  <c r="P76" i="12"/>
  <c r="P88" i="12" s="1"/>
  <c r="P75" i="12"/>
  <c r="P87" i="12" s="1"/>
  <c r="H86" i="12"/>
  <c r="H76" i="12"/>
  <c r="H88" i="12" s="1"/>
  <c r="CD88" i="12"/>
  <c r="CD92" i="12" s="1"/>
  <c r="CD77" i="12"/>
  <c r="CD89" i="12" s="1"/>
  <c r="CD78" i="12"/>
  <c r="CD90" i="12" s="1"/>
  <c r="BF88" i="12"/>
  <c r="BF92" i="12" s="1"/>
  <c r="BF77" i="12"/>
  <c r="BF89" i="12" s="1"/>
  <c r="BF78" i="12"/>
  <c r="BF90" i="12" s="1"/>
  <c r="W88" i="12"/>
  <c r="W77" i="12"/>
  <c r="W89" i="12" s="1"/>
  <c r="W78" i="12"/>
  <c r="W90" i="12" s="1"/>
  <c r="BS88" i="12"/>
  <c r="BS78" i="12"/>
  <c r="BS90" i="12" s="1"/>
  <c r="BS77" i="12"/>
  <c r="BS89" i="12" s="1"/>
  <c r="O86" i="12"/>
  <c r="O75" i="12"/>
  <c r="O87" i="12" s="1"/>
  <c r="O76" i="12"/>
  <c r="O88" i="12" s="1"/>
  <c r="GO88" i="12"/>
  <c r="GO92" i="12" s="1"/>
  <c r="W270" i="10" s="1"/>
  <c r="GO78" i="12"/>
  <c r="GO90" i="12" s="1"/>
  <c r="GO77" i="12"/>
  <c r="GO89" i="12" s="1"/>
  <c r="FQ88" i="12"/>
  <c r="FQ77" i="12"/>
  <c r="FQ90" i="12" s="1"/>
  <c r="FQ76" i="12"/>
  <c r="FQ89" i="12" s="1"/>
  <c r="AP88" i="12"/>
  <c r="AP77" i="12"/>
  <c r="AP89" i="12" s="1"/>
  <c r="AP78" i="12"/>
  <c r="AP90" i="12" s="1"/>
  <c r="K86" i="12"/>
  <c r="K76" i="12"/>
  <c r="K88" i="12" s="1"/>
  <c r="K75" i="12"/>
  <c r="K87" i="12" s="1"/>
  <c r="AE88" i="12"/>
  <c r="AE92" i="12" s="1"/>
  <c r="AE77" i="12"/>
  <c r="AE89" i="12" s="1"/>
  <c r="AE78" i="12"/>
  <c r="AE90" i="12" s="1"/>
  <c r="Z88" i="12"/>
  <c r="Z78" i="12"/>
  <c r="Z90" i="12" s="1"/>
  <c r="Z77" i="12"/>
  <c r="Z89" i="12" s="1"/>
  <c r="DX88" i="12"/>
  <c r="DX77" i="12"/>
  <c r="DX90" i="12" s="1"/>
  <c r="DX76" i="12"/>
  <c r="DX89" i="12" s="1"/>
  <c r="CQ88" i="12"/>
  <c r="CQ92" i="12" s="1"/>
  <c r="CQ78" i="12"/>
  <c r="CQ90" i="12" s="1"/>
  <c r="CQ77" i="12"/>
  <c r="CQ89" i="12" s="1"/>
  <c r="BE88" i="12"/>
  <c r="BE92" i="12" s="1"/>
  <c r="BE78" i="12"/>
  <c r="BE90" i="12" s="1"/>
  <c r="BE77" i="12"/>
  <c r="BE89" i="12" s="1"/>
  <c r="DU88" i="12"/>
  <c r="DU77" i="12"/>
  <c r="DU90" i="12" s="1"/>
  <c r="DU76" i="12"/>
  <c r="DU89" i="12" s="1"/>
  <c r="CB88" i="12"/>
  <c r="CB78" i="12"/>
  <c r="CB90" i="12" s="1"/>
  <c r="CB77" i="12"/>
  <c r="CB89" i="12" s="1"/>
  <c r="AQ88" i="12"/>
  <c r="AQ92" i="12" s="1"/>
  <c r="AQ78" i="12"/>
  <c r="AQ90" i="12" s="1"/>
  <c r="AQ77" i="12"/>
  <c r="AQ89" i="12" s="1"/>
  <c r="Y88" i="12"/>
  <c r="Y92" i="12" s="1"/>
  <c r="Y78" i="12"/>
  <c r="Y90" i="12" s="1"/>
  <c r="Y77" i="12"/>
  <c r="Y89" i="12" s="1"/>
  <c r="CI88" i="12"/>
  <c r="CI78" i="12"/>
  <c r="CI90" i="12" s="1"/>
  <c r="CI77" i="12"/>
  <c r="CI89" i="12" s="1"/>
  <c r="EW88" i="12"/>
  <c r="EW78" i="12"/>
  <c r="EW90" i="12" s="1"/>
  <c r="EW77" i="12"/>
  <c r="EW89" i="12" s="1"/>
  <c r="AO88" i="12"/>
  <c r="AO92" i="12" s="1"/>
  <c r="AO77" i="12"/>
  <c r="AO89" i="12" s="1"/>
  <c r="AO78" i="12"/>
  <c r="AO90" i="12" s="1"/>
  <c r="DT88" i="12"/>
  <c r="DT92" i="12" s="1"/>
  <c r="W173" i="10" s="1"/>
  <c r="DT77" i="12"/>
  <c r="DT90" i="12" s="1"/>
  <c r="DT76" i="12"/>
  <c r="DT89" i="12" s="1"/>
  <c r="GR88" i="12"/>
  <c r="GR77" i="12"/>
  <c r="GR89" i="12" s="1"/>
  <c r="GR78" i="12"/>
  <c r="GR90" i="12" s="1"/>
  <c r="GB88" i="12"/>
  <c r="GB76" i="12"/>
  <c r="GB89" i="12" s="1"/>
  <c r="GB77" i="12"/>
  <c r="GB90" i="12" s="1"/>
  <c r="FP88" i="12"/>
  <c r="FP92" i="12" s="1"/>
  <c r="W235" i="10" s="1"/>
  <c r="FP76" i="12"/>
  <c r="FP89" i="12" s="1"/>
  <c r="FP77" i="12"/>
  <c r="FP90" i="12" s="1"/>
  <c r="EZ88" i="12"/>
  <c r="EZ92" i="12" s="1"/>
  <c r="W214" i="10" s="1"/>
  <c r="EZ77" i="12"/>
  <c r="EZ89" i="12" s="1"/>
  <c r="EZ78" i="12"/>
  <c r="EZ90" i="12" s="1"/>
  <c r="EJ88" i="12"/>
  <c r="EJ77" i="12"/>
  <c r="EJ89" i="12" s="1"/>
  <c r="EJ78" i="12"/>
  <c r="EJ90" i="12" s="1"/>
  <c r="GJ88" i="12"/>
  <c r="GJ77" i="12"/>
  <c r="GJ89" i="12" s="1"/>
  <c r="GJ78" i="12"/>
  <c r="GJ90" i="12" s="1"/>
  <c r="HG88" i="12"/>
  <c r="HG92" i="12" s="1"/>
  <c r="W293" i="10" s="1"/>
  <c r="HG77" i="12"/>
  <c r="HG89" i="12" s="1"/>
  <c r="HG78" i="12"/>
  <c r="HG90" i="12" s="1"/>
  <c r="GQ88" i="12"/>
  <c r="GQ92" i="12" s="1"/>
  <c r="W272" i="10" s="1"/>
  <c r="GQ77" i="12"/>
  <c r="GQ89" i="12" s="1"/>
  <c r="GQ78" i="12"/>
  <c r="GQ90" i="12" s="1"/>
  <c r="GE88" i="12"/>
  <c r="GE76" i="12"/>
  <c r="GE89" i="12" s="1"/>
  <c r="GE77" i="12"/>
  <c r="GE90" i="12" s="1"/>
  <c r="FO88" i="12"/>
  <c r="FO76" i="12"/>
  <c r="FO89" i="12" s="1"/>
  <c r="FO77" i="12"/>
  <c r="FO90" i="12" s="1"/>
  <c r="EY88" i="12"/>
  <c r="EY92" i="12" s="1"/>
  <c r="W213" i="10" s="1"/>
  <c r="EY77" i="12"/>
  <c r="EY89" i="12" s="1"/>
  <c r="EY78" i="12"/>
  <c r="EY90" i="12" s="1"/>
  <c r="EM88" i="12"/>
  <c r="EM92" i="12" s="1"/>
  <c r="W196" i="10" s="1"/>
  <c r="EM77" i="12"/>
  <c r="EM89" i="12" s="1"/>
  <c r="EM78" i="12"/>
  <c r="EM90" i="12" s="1"/>
  <c r="CC78" i="12"/>
  <c r="CC90" i="12" s="1"/>
  <c r="CC88" i="12"/>
  <c r="CC92" i="12" s="1"/>
  <c r="CC77" i="12"/>
  <c r="CC89" i="12" s="1"/>
  <c r="HB88" i="12"/>
  <c r="HB78" i="12"/>
  <c r="HB90" i="12" s="1"/>
  <c r="HB77" i="12"/>
  <c r="HB89" i="12" s="1"/>
  <c r="GL88" i="12"/>
  <c r="GL92" i="12" s="1"/>
  <c r="W267" i="10" s="1"/>
  <c r="GL78" i="12"/>
  <c r="GL90" i="12" s="1"/>
  <c r="GL77" i="12"/>
  <c r="GL89" i="12" s="1"/>
  <c r="FZ88" i="12"/>
  <c r="FZ92" i="12" s="1"/>
  <c r="W250" i="10" s="1"/>
  <c r="FZ77" i="12"/>
  <c r="FZ90" i="12" s="1"/>
  <c r="FZ76" i="12"/>
  <c r="FZ89" i="12" s="1"/>
  <c r="FN88" i="12"/>
  <c r="FN77" i="12"/>
  <c r="FN90" i="12" s="1"/>
  <c r="FN76" i="12"/>
  <c r="FN89" i="12" s="1"/>
  <c r="FB88" i="12"/>
  <c r="FB78" i="12"/>
  <c r="FB90" i="12" s="1"/>
  <c r="FB77" i="12"/>
  <c r="FB89" i="12" s="1"/>
  <c r="HA88" i="12"/>
  <c r="HA92" i="12" s="1"/>
  <c r="W287" i="10" s="1"/>
  <c r="HA78" i="12"/>
  <c r="HA90" i="12" s="1"/>
  <c r="HA77" i="12"/>
  <c r="HA89" i="12" s="1"/>
  <c r="CY88" i="12"/>
  <c r="CY92" i="12" s="1"/>
  <c r="CY78" i="12"/>
  <c r="CY90" i="12" s="1"/>
  <c r="CY77" i="12"/>
  <c r="CY89" i="12" s="1"/>
  <c r="AL88" i="12"/>
  <c r="AL78" i="12"/>
  <c r="AL90" i="12" s="1"/>
  <c r="AL77" i="12"/>
  <c r="AL89" i="12" s="1"/>
  <c r="GC88" i="12"/>
  <c r="GC77" i="12"/>
  <c r="GC90" i="12" s="1"/>
  <c r="GC76" i="12"/>
  <c r="GC89" i="12" s="1"/>
  <c r="FI88" i="12"/>
  <c r="FI92" i="12" s="1"/>
  <c r="W228" i="10" s="1"/>
  <c r="FI77" i="12"/>
  <c r="FI90" i="12" s="1"/>
  <c r="FI76" i="12"/>
  <c r="FI89" i="12" s="1"/>
  <c r="EG88" i="12"/>
  <c r="EG92" i="12" s="1"/>
  <c r="W190" i="10" s="1"/>
  <c r="EG78" i="12"/>
  <c r="EG90" i="12" s="1"/>
  <c r="EG77" i="12"/>
  <c r="EG89" i="12" s="1"/>
  <c r="CE88" i="12"/>
  <c r="CE78" i="12"/>
  <c r="CE90" i="12" s="1"/>
  <c r="CE77" i="12"/>
  <c r="CE89" i="12" s="1"/>
  <c r="BV88" i="12"/>
  <c r="BV77" i="12"/>
  <c r="BV89" i="12" s="1"/>
  <c r="BV78" i="12"/>
  <c r="BV90" i="12" s="1"/>
  <c r="BB88" i="12"/>
  <c r="BB92" i="12" s="1"/>
  <c r="BB77" i="12"/>
  <c r="BB89" i="12" s="1"/>
  <c r="BB78" i="12"/>
  <c r="BB90" i="12" s="1"/>
  <c r="AK88" i="12"/>
  <c r="AK92" i="12" s="1"/>
  <c r="AK77" i="12"/>
  <c r="AK89" i="12" s="1"/>
  <c r="AK78" i="12"/>
  <c r="AK90" i="12" s="1"/>
  <c r="N86" i="12"/>
  <c r="N75" i="12"/>
  <c r="N87" i="12" s="1"/>
  <c r="N76" i="12"/>
  <c r="N88" i="12" s="1"/>
  <c r="AN88" i="12"/>
  <c r="AN77" i="12"/>
  <c r="AN89" i="12" s="1"/>
  <c r="AN78" i="12"/>
  <c r="AN90" i="12" s="1"/>
  <c r="I86" i="12"/>
  <c r="I92" i="12" s="1"/>
  <c r="I76" i="12"/>
  <c r="I88" i="12" s="1"/>
  <c r="I75" i="12"/>
  <c r="I87" i="12" s="1"/>
  <c r="FA88" i="12"/>
  <c r="FA92" i="12" s="1"/>
  <c r="W215" i="10" s="1"/>
  <c r="FA78" i="12"/>
  <c r="FA90" i="12" s="1"/>
  <c r="FA77" i="12"/>
  <c r="FA89" i="12" s="1"/>
  <c r="BG88" i="12"/>
  <c r="BG78" i="12"/>
  <c r="BG90" i="12" s="1"/>
  <c r="BG77" i="12"/>
  <c r="BG89" i="12" s="1"/>
  <c r="X88" i="12"/>
  <c r="X78" i="12"/>
  <c r="X90" i="12" s="1"/>
  <c r="X77" i="12"/>
  <c r="X89" i="12" s="1"/>
  <c r="DU12" i="12"/>
  <c r="CS6" i="12"/>
  <c r="CP21" i="12"/>
  <c r="CP22" i="12" s="1"/>
  <c r="BG92" i="12" l="1"/>
  <c r="CE92" i="12"/>
  <c r="AL92" i="12"/>
  <c r="FN92" i="12"/>
  <c r="W233" i="10" s="1"/>
  <c r="GE92" i="12"/>
  <c r="W255" i="10" s="1"/>
  <c r="EJ92" i="12"/>
  <c r="W193" i="10" s="1"/>
  <c r="GR92" i="12"/>
  <c r="W273" i="10" s="1"/>
  <c r="CI92" i="12"/>
  <c r="DU92" i="12"/>
  <c r="W174" i="10" s="1"/>
  <c r="Z92" i="12"/>
  <c r="K92" i="12"/>
  <c r="FQ92" i="12"/>
  <c r="W236" i="10" s="1"/>
  <c r="AT229" i="10" s="1"/>
  <c r="W92" i="12"/>
  <c r="P92" i="12"/>
  <c r="BH92" i="12"/>
  <c r="DQ92" i="12"/>
  <c r="W170" i="10" s="1"/>
  <c r="CP92" i="12"/>
  <c r="AT92" i="12"/>
  <c r="L92" i="12"/>
  <c r="CT92" i="12"/>
  <c r="FM92" i="12"/>
  <c r="W232" i="10" s="1"/>
  <c r="AB92" i="12"/>
  <c r="GD92" i="12"/>
  <c r="W254" i="10" s="1"/>
  <c r="EU92" i="12"/>
  <c r="W209" i="10" s="1"/>
  <c r="AT208" i="10" s="1"/>
  <c r="HC92" i="12"/>
  <c r="W289" i="10" s="1"/>
  <c r="FX92" i="12"/>
  <c r="W248" i="10" s="1"/>
  <c r="GN92" i="12"/>
  <c r="W269" i="10" s="1"/>
  <c r="BO92" i="12"/>
  <c r="ET92" i="12"/>
  <c r="W208" i="10" s="1"/>
  <c r="DI92" i="12"/>
  <c r="W156" i="10" s="1"/>
  <c r="X92" i="12"/>
  <c r="AN92" i="12"/>
  <c r="BV92" i="12"/>
  <c r="GC92" i="12"/>
  <c r="W253" i="10" s="1"/>
  <c r="FB92" i="12"/>
  <c r="W216" i="10" s="1"/>
  <c r="AT210" i="10" s="1"/>
  <c r="HB92" i="12"/>
  <c r="W288" i="10" s="1"/>
  <c r="FO92" i="12"/>
  <c r="W234" i="10" s="1"/>
  <c r="GJ92" i="12"/>
  <c r="W265" i="10" s="1"/>
  <c r="GB92" i="12"/>
  <c r="W252" i="10" s="1"/>
  <c r="AT247" i="10" s="1"/>
  <c r="EW92" i="12"/>
  <c r="W211" i="10" s="1"/>
  <c r="AT209" i="10" s="1"/>
  <c r="CB92" i="12"/>
  <c r="DX92" i="12"/>
  <c r="W177" i="10" s="1"/>
  <c r="AP92" i="12"/>
  <c r="BS92" i="12"/>
  <c r="H92" i="12"/>
  <c r="AZ92" i="12"/>
  <c r="CR92" i="12"/>
  <c r="DS92" i="12"/>
  <c r="W172" i="10" s="1"/>
  <c r="FL92" i="12"/>
  <c r="W231" i="10" s="1"/>
  <c r="BR92" i="12"/>
  <c r="EH92" i="12"/>
  <c r="W191" i="10" s="1"/>
  <c r="AT189" i="10" s="1"/>
  <c r="GS92" i="12"/>
  <c r="W274" i="10" s="1"/>
  <c r="AT267" i="10" s="1"/>
  <c r="CU92" i="12"/>
  <c r="HE92" i="12"/>
  <c r="W291" i="10" s="1"/>
  <c r="FJ92" i="12"/>
  <c r="W229" i="10" s="1"/>
  <c r="HD92" i="12"/>
  <c r="W290" i="10" s="1"/>
  <c r="GM92" i="12"/>
  <c r="W268" i="10" s="1"/>
  <c r="CH92" i="12"/>
  <c r="CV92" i="12"/>
  <c r="I129" i="12"/>
  <c r="J128" i="12"/>
  <c r="K128" i="12"/>
  <c r="J92" i="12"/>
  <c r="FW92" i="12"/>
  <c r="W247" i="10" s="1"/>
  <c r="FH92" i="12"/>
  <c r="W227" i="10" s="1"/>
  <c r="AT227" i="10" s="1"/>
  <c r="AF92" i="12"/>
  <c r="BP92" i="12"/>
  <c r="DD92" i="12"/>
  <c r="W151" i="10" s="1"/>
  <c r="EF22" i="12"/>
  <c r="EI21" i="12"/>
  <c r="AT284" i="10"/>
  <c r="AT191" i="10"/>
  <c r="AT171" i="10"/>
  <c r="O92" i="12"/>
  <c r="AT248" i="10"/>
  <c r="AT265" i="10"/>
  <c r="AT246" i="10"/>
  <c r="N92" i="12"/>
  <c r="Q92" i="12"/>
  <c r="AT172" i="10"/>
  <c r="AT190" i="10"/>
  <c r="AT286" i="10"/>
  <c r="J16" i="29"/>
  <c r="J18" i="29"/>
  <c r="J19" i="29"/>
  <c r="J17" i="29"/>
  <c r="J14" i="29"/>
  <c r="J15" i="29"/>
  <c r="J13" i="29"/>
  <c r="DL92" i="12"/>
  <c r="W159" i="10" s="1"/>
  <c r="DH92" i="12"/>
  <c r="W155" i="10" s="1"/>
  <c r="DM92" i="12"/>
  <c r="W160" i="10" s="1"/>
  <c r="DJ92" i="12"/>
  <c r="W157" i="10" s="1"/>
  <c r="DF92" i="12"/>
  <c r="W153" i="10" s="1"/>
  <c r="DG92" i="12"/>
  <c r="W154" i="10" s="1"/>
  <c r="DK92" i="12"/>
  <c r="W158" i="10" s="1"/>
  <c r="CS21" i="12"/>
  <c r="AT228" i="10" l="1"/>
  <c r="AT266" i="10"/>
  <c r="AT285" i="10"/>
  <c r="AT170" i="10"/>
  <c r="I130" i="12"/>
  <c r="J129" i="12"/>
  <c r="K129" i="12"/>
  <c r="AT151" i="10"/>
  <c r="AT152" i="10"/>
  <c r="AT153" i="10"/>
  <c r="AS242" i="16"/>
  <c r="AS243" i="16"/>
  <c r="AS244" i="16"/>
  <c r="AS245" i="16"/>
  <c r="AS246" i="16"/>
  <c r="AS247" i="16"/>
  <c r="AS248" i="16"/>
  <c r="AS249" i="16"/>
  <c r="AS250" i="16"/>
  <c r="AS251" i="16"/>
  <c r="AS241" i="16"/>
  <c r="AS238" i="16"/>
  <c r="AS239" i="16"/>
  <c r="AS240" i="16"/>
  <c r="AS237" i="16"/>
  <c r="G17" i="24"/>
  <c r="G16" i="24"/>
  <c r="G15" i="24"/>
  <c r="G14" i="24"/>
  <c r="R23" i="24"/>
  <c r="R22" i="24"/>
  <c r="R21" i="24"/>
  <c r="R20" i="24"/>
  <c r="R19" i="24"/>
  <c r="R18" i="24"/>
  <c r="R17" i="24"/>
  <c r="R16" i="24"/>
  <c r="R15" i="24"/>
  <c r="S14" i="24"/>
  <c r="R14" i="24"/>
  <c r="N14" i="24"/>
  <c r="N15" i="24"/>
  <c r="N16" i="24"/>
  <c r="N17" i="24"/>
  <c r="N18" i="24"/>
  <c r="N13" i="24"/>
  <c r="M18" i="24"/>
  <c r="M17" i="24"/>
  <c r="M16" i="24"/>
  <c r="M15" i="24"/>
  <c r="CQ95" i="4"/>
  <c r="CQ90" i="4"/>
  <c r="CQ102" i="4"/>
  <c r="AH19" i="24"/>
  <c r="Y6" i="24"/>
  <c r="Z6" i="24"/>
  <c r="AA6" i="24"/>
  <c r="AB6" i="24"/>
  <c r="AC6" i="24"/>
  <c r="AD6" i="24"/>
  <c r="AE6" i="24"/>
  <c r="AF6" i="24"/>
  <c r="AG6" i="24"/>
  <c r="AH6" i="24"/>
  <c r="Y7" i="24"/>
  <c r="Z7" i="24"/>
  <c r="AA7" i="24"/>
  <c r="AB7" i="24"/>
  <c r="AC7" i="24"/>
  <c r="AD7" i="24"/>
  <c r="AE7" i="24"/>
  <c r="AF7" i="24"/>
  <c r="AG7" i="24"/>
  <c r="AH7" i="24"/>
  <c r="Y8" i="24"/>
  <c r="Z8" i="24"/>
  <c r="AA8" i="24"/>
  <c r="AB8" i="24"/>
  <c r="AC8" i="24"/>
  <c r="AD8" i="24"/>
  <c r="AE8" i="24"/>
  <c r="AF8" i="24"/>
  <c r="AG8" i="24"/>
  <c r="AH8" i="24"/>
  <c r="Y9" i="24"/>
  <c r="Z9" i="24"/>
  <c r="AA9" i="24"/>
  <c r="AB9" i="24"/>
  <c r="AC9" i="24"/>
  <c r="AD9" i="24"/>
  <c r="AE9" i="24"/>
  <c r="AF9" i="24"/>
  <c r="AG9" i="24"/>
  <c r="AH9" i="24"/>
  <c r="Z10" i="24"/>
  <c r="AA10" i="24"/>
  <c r="AB10" i="24"/>
  <c r="AC10" i="24"/>
  <c r="AD10" i="24"/>
  <c r="AE10" i="24"/>
  <c r="AF10" i="24"/>
  <c r="AG10" i="24"/>
  <c r="AH10" i="24"/>
  <c r="Y11" i="24"/>
  <c r="Z11" i="24"/>
  <c r="AA11" i="24"/>
  <c r="AB11" i="24"/>
  <c r="AC11" i="24"/>
  <c r="AD11" i="24"/>
  <c r="AE11" i="24"/>
  <c r="AF11" i="24"/>
  <c r="AG11" i="24"/>
  <c r="AH11" i="24"/>
  <c r="Y12" i="24"/>
  <c r="Z12" i="24"/>
  <c r="AA12" i="24"/>
  <c r="AB12" i="24"/>
  <c r="AC12" i="24"/>
  <c r="AD12" i="24"/>
  <c r="AE12" i="24"/>
  <c r="AF12" i="24"/>
  <c r="AG12" i="24"/>
  <c r="AH12" i="24"/>
  <c r="Y13" i="24"/>
  <c r="Z13" i="24"/>
  <c r="AA13" i="24"/>
  <c r="AB13" i="24"/>
  <c r="AC13" i="24"/>
  <c r="AD13" i="24"/>
  <c r="AE13" i="24"/>
  <c r="AF13" i="24"/>
  <c r="AG13" i="24"/>
  <c r="AH13" i="24"/>
  <c r="Y14" i="24"/>
  <c r="Z14" i="24"/>
  <c r="AA14" i="24"/>
  <c r="AB14" i="24"/>
  <c r="AC14" i="24"/>
  <c r="AD14" i="24"/>
  <c r="AE14" i="24"/>
  <c r="AF14" i="24"/>
  <c r="AG14" i="24"/>
  <c r="AH14" i="24"/>
  <c r="Y15" i="24"/>
  <c r="Z15" i="24"/>
  <c r="AA15" i="24"/>
  <c r="AB15" i="24"/>
  <c r="AC15" i="24"/>
  <c r="AD15" i="24"/>
  <c r="AE15" i="24"/>
  <c r="AF15" i="24"/>
  <c r="AG15" i="24"/>
  <c r="AH15" i="24"/>
  <c r="Y16" i="24"/>
  <c r="Z16" i="24"/>
  <c r="AA16" i="24"/>
  <c r="AB16" i="24"/>
  <c r="AC16" i="24"/>
  <c r="AD16" i="24"/>
  <c r="AE16" i="24"/>
  <c r="AF16" i="24"/>
  <c r="AG16" i="24"/>
  <c r="AH16" i="24"/>
  <c r="Y17" i="24"/>
  <c r="Z17" i="24"/>
  <c r="AA17" i="24"/>
  <c r="AB17" i="24"/>
  <c r="AC17" i="24"/>
  <c r="AD17" i="24"/>
  <c r="AE17" i="24"/>
  <c r="AF17" i="24"/>
  <c r="AG17" i="24"/>
  <c r="AH17" i="24"/>
  <c r="Y18" i="24"/>
  <c r="Z18" i="24"/>
  <c r="AA18" i="24"/>
  <c r="AB18" i="24"/>
  <c r="AC18" i="24"/>
  <c r="AD18" i="24"/>
  <c r="AE18" i="24"/>
  <c r="AF18" i="24"/>
  <c r="AG18" i="24"/>
  <c r="AH18" i="24"/>
  <c r="Y19" i="24"/>
  <c r="Z19" i="24"/>
  <c r="AA19" i="24"/>
  <c r="AB19" i="24"/>
  <c r="AC19" i="24"/>
  <c r="AD19" i="24"/>
  <c r="AE19" i="24"/>
  <c r="AF19" i="24"/>
  <c r="AG19" i="24"/>
  <c r="Z5" i="24"/>
  <c r="AA5" i="24"/>
  <c r="AB5" i="24"/>
  <c r="AC5" i="24"/>
  <c r="AD5" i="24"/>
  <c r="AE5" i="24"/>
  <c r="AF5" i="24"/>
  <c r="AG5" i="24"/>
  <c r="AH5" i="24"/>
  <c r="Y5" i="24"/>
  <c r="E11" i="24"/>
  <c r="M14" i="24"/>
  <c r="I131" i="12" l="1"/>
  <c r="K130" i="12"/>
  <c r="J130" i="12"/>
  <c r="AO201" i="3"/>
  <c r="AR201" i="3" s="1"/>
  <c r="AO202" i="3"/>
  <c r="AR202" i="3" s="1"/>
  <c r="AO203" i="3"/>
  <c r="AR203" i="3" s="1"/>
  <c r="AO204" i="3"/>
  <c r="AR204" i="3" s="1"/>
  <c r="AO205" i="3"/>
  <c r="AR205" i="3" s="1"/>
  <c r="AO206" i="3"/>
  <c r="AR206" i="3" s="1"/>
  <c r="AO207" i="3"/>
  <c r="AR207" i="3" s="1"/>
  <c r="AO208" i="3"/>
  <c r="AR208" i="3" s="1"/>
  <c r="AO209" i="3"/>
  <c r="AR209" i="3" s="1"/>
  <c r="AO210" i="3"/>
  <c r="AR210" i="3" s="1"/>
  <c r="AO211" i="3"/>
  <c r="AR211" i="3" s="1"/>
  <c r="AO212" i="3"/>
  <c r="AR212" i="3" s="1"/>
  <c r="AO213" i="3"/>
  <c r="AR213" i="3" s="1"/>
  <c r="AO214" i="3"/>
  <c r="AR214" i="3" s="1"/>
  <c r="AO215" i="3"/>
  <c r="AR215" i="3" s="1"/>
  <c r="AP187" i="3"/>
  <c r="AP189" i="3" s="1"/>
  <c r="AT187" i="3"/>
  <c r="AT189" i="3" s="1"/>
  <c r="AN185" i="3"/>
  <c r="AO187" i="3" s="1"/>
  <c r="AO189" i="3" s="1"/>
  <c r="AV183" i="3"/>
  <c r="AV187" i="3" s="1"/>
  <c r="AV189" i="3" s="1"/>
  <c r="AU183" i="3"/>
  <c r="AU187" i="3" s="1"/>
  <c r="AU189" i="3" s="1"/>
  <c r="AT183" i="3"/>
  <c r="AC226" i="16"/>
  <c r="AD226" i="16"/>
  <c r="AE226" i="16"/>
  <c r="AF226" i="16"/>
  <c r="AG226" i="16"/>
  <c r="AH226" i="16"/>
  <c r="AB226" i="16"/>
  <c r="I132" i="12" l="1"/>
  <c r="K131" i="12"/>
  <c r="J131" i="12"/>
  <c r="AS187" i="3"/>
  <c r="AS189" i="3" s="1"/>
  <c r="AR187" i="3"/>
  <c r="AR189" i="3" s="1"/>
  <c r="AQ187" i="3"/>
  <c r="AQ189" i="3" s="1"/>
  <c r="AS168" i="3"/>
  <c r="AT168" i="3"/>
  <c r="AU168" i="3"/>
  <c r="AV168" i="3"/>
  <c r="AN166" i="3"/>
  <c r="I133" i="12" l="1"/>
  <c r="J132" i="12"/>
  <c r="K132" i="12"/>
  <c r="W191" i="16"/>
  <c r="W193" i="16" s="1"/>
  <c r="W189" i="16"/>
  <c r="W185" i="16"/>
  <c r="H73" i="4"/>
  <c r="H71" i="4"/>
  <c r="I134" i="12" l="1"/>
  <c r="J133" i="12"/>
  <c r="K133" i="12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192" i="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33" i="16"/>
  <c r="Y12" i="25"/>
  <c r="Y13" i="25"/>
  <c r="Y14" i="25"/>
  <c r="Y15" i="25"/>
  <c r="Y16" i="25"/>
  <c r="Y17" i="25"/>
  <c r="Y18" i="25"/>
  <c r="Y19" i="25"/>
  <c r="Y20" i="25"/>
  <c r="Y21" i="25"/>
  <c r="Y22" i="25"/>
  <c r="Y23" i="25"/>
  <c r="Y24" i="25"/>
  <c r="Y25" i="25"/>
  <c r="Y11" i="25"/>
  <c r="W12" i="25"/>
  <c r="W13" i="25"/>
  <c r="W14" i="25"/>
  <c r="W15" i="25"/>
  <c r="W16" i="25"/>
  <c r="W17" i="25"/>
  <c r="W18" i="25"/>
  <c r="W19" i="25"/>
  <c r="W20" i="25"/>
  <c r="W21" i="25"/>
  <c r="W22" i="25"/>
  <c r="W23" i="25"/>
  <c r="W24" i="25"/>
  <c r="W25" i="25"/>
  <c r="W11" i="25"/>
  <c r="V6" i="25"/>
  <c r="U25" i="25"/>
  <c r="U24" i="25"/>
  <c r="U13" i="25"/>
  <c r="U14" i="25" s="1"/>
  <c r="U15" i="25" s="1"/>
  <c r="U16" i="25" s="1"/>
  <c r="U17" i="25" s="1"/>
  <c r="U18" i="25" s="1"/>
  <c r="U19" i="25" s="1"/>
  <c r="U20" i="25" s="1"/>
  <c r="U21" i="25" s="1"/>
  <c r="U22" i="25" s="1"/>
  <c r="U23" i="25" s="1"/>
  <c r="U12" i="25"/>
  <c r="U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11" i="25"/>
  <c r="Q25" i="25"/>
  <c r="Q24" i="25"/>
  <c r="Q23" i="25"/>
  <c r="O25" i="25"/>
  <c r="O24" i="25"/>
  <c r="O11" i="25"/>
  <c r="P11" i="25" s="1"/>
  <c r="Q11" i="25" s="1"/>
  <c r="Q22" i="25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33" i="16"/>
  <c r="P236" i="16"/>
  <c r="P234" i="16"/>
  <c r="P235" i="16"/>
  <c r="P237" i="16"/>
  <c r="P238" i="16"/>
  <c r="P239" i="16"/>
  <c r="P240" i="16"/>
  <c r="P241" i="16"/>
  <c r="P242" i="16"/>
  <c r="P243" i="16"/>
  <c r="P244" i="16"/>
  <c r="P245" i="16"/>
  <c r="P246" i="16"/>
  <c r="P247" i="16"/>
  <c r="P233" i="16"/>
  <c r="G227" i="16"/>
  <c r="C230" i="16"/>
  <c r="C228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K285" i="16"/>
  <c r="K272" i="16"/>
  <c r="K273" i="16"/>
  <c r="K274" i="16"/>
  <c r="K275" i="16"/>
  <c r="K276" i="16"/>
  <c r="K277" i="16"/>
  <c r="K278" i="16"/>
  <c r="K279" i="16"/>
  <c r="K280" i="16"/>
  <c r="K281" i="16"/>
  <c r="K282" i="16"/>
  <c r="K283" i="16"/>
  <c r="K284" i="16"/>
  <c r="K271" i="16"/>
  <c r="J252" i="16"/>
  <c r="K252" i="16"/>
  <c r="J253" i="16"/>
  <c r="K253" i="16"/>
  <c r="J254" i="16"/>
  <c r="K254" i="16"/>
  <c r="J255" i="16"/>
  <c r="K255" i="16"/>
  <c r="J256" i="16"/>
  <c r="K256" i="16"/>
  <c r="J257" i="16"/>
  <c r="K257" i="16"/>
  <c r="J258" i="16"/>
  <c r="K258" i="16"/>
  <c r="J259" i="16"/>
  <c r="K259" i="16"/>
  <c r="J260" i="16"/>
  <c r="K260" i="16"/>
  <c r="J261" i="16"/>
  <c r="K261" i="16"/>
  <c r="J262" i="16"/>
  <c r="K262" i="16"/>
  <c r="J263" i="16"/>
  <c r="K263" i="16"/>
  <c r="J264" i="16"/>
  <c r="K264" i="16"/>
  <c r="J265" i="16"/>
  <c r="K265" i="16"/>
  <c r="J266" i="16"/>
  <c r="K266" i="16"/>
  <c r="D310" i="16"/>
  <c r="L242" i="16" s="1"/>
  <c r="M242" i="16" s="1"/>
  <c r="M261" i="16" s="1"/>
  <c r="I310" i="16"/>
  <c r="I308" i="16"/>
  <c r="I306" i="16"/>
  <c r="I305" i="16"/>
  <c r="I303" i="16"/>
  <c r="I302" i="16"/>
  <c r="I300" i="16"/>
  <c r="I295" i="16"/>
  <c r="I296" i="16"/>
  <c r="I297" i="16"/>
  <c r="I298" i="16"/>
  <c r="B292" i="16"/>
  <c r="D292" i="16"/>
  <c r="B293" i="16"/>
  <c r="C293" i="16"/>
  <c r="D293" i="16"/>
  <c r="F293" i="16"/>
  <c r="H293" i="16"/>
  <c r="I293" i="16"/>
  <c r="B294" i="16"/>
  <c r="C294" i="16"/>
  <c r="D294" i="16"/>
  <c r="L236" i="16" s="1"/>
  <c r="F294" i="16"/>
  <c r="H294" i="16"/>
  <c r="I294" i="16"/>
  <c r="B295" i="16"/>
  <c r="C295" i="16"/>
  <c r="D295" i="16"/>
  <c r="F295" i="16"/>
  <c r="H295" i="16"/>
  <c r="B296" i="16"/>
  <c r="C296" i="16"/>
  <c r="D296" i="16"/>
  <c r="L237" i="16" s="1"/>
  <c r="F296" i="16"/>
  <c r="H296" i="16"/>
  <c r="B297" i="16"/>
  <c r="C297" i="16"/>
  <c r="D297" i="16"/>
  <c r="F297" i="16"/>
  <c r="H297" i="16"/>
  <c r="B298" i="16"/>
  <c r="C298" i="16"/>
  <c r="D298" i="16"/>
  <c r="L245" i="16" s="1"/>
  <c r="F298" i="16"/>
  <c r="H298" i="16"/>
  <c r="B300" i="16"/>
  <c r="C300" i="16"/>
  <c r="D300" i="16"/>
  <c r="F300" i="16"/>
  <c r="H300" i="16"/>
  <c r="B302" i="16"/>
  <c r="C302" i="16"/>
  <c r="D302" i="16"/>
  <c r="F302" i="16"/>
  <c r="H302" i="16"/>
  <c r="B303" i="16"/>
  <c r="C303" i="16"/>
  <c r="D303" i="16"/>
  <c r="F303" i="16"/>
  <c r="H303" i="16"/>
  <c r="B305" i="16"/>
  <c r="C305" i="16"/>
  <c r="D305" i="16"/>
  <c r="L234" i="16" s="1"/>
  <c r="F305" i="16"/>
  <c r="H305" i="16"/>
  <c r="B306" i="16"/>
  <c r="C306" i="16"/>
  <c r="D306" i="16"/>
  <c r="L235" i="16" s="1"/>
  <c r="M235" i="16" s="1"/>
  <c r="F306" i="16"/>
  <c r="H306" i="16"/>
  <c r="B308" i="16"/>
  <c r="C308" i="16"/>
  <c r="D308" i="16"/>
  <c r="L240" i="16" s="1"/>
  <c r="L259" i="16" s="1"/>
  <c r="F308" i="16"/>
  <c r="H308" i="16"/>
  <c r="B310" i="16"/>
  <c r="C310" i="16"/>
  <c r="F310" i="16"/>
  <c r="H310" i="16"/>
  <c r="H234" i="16"/>
  <c r="H235" i="16"/>
  <c r="H236" i="16"/>
  <c r="H237" i="16"/>
  <c r="H238" i="16"/>
  <c r="H239" i="16"/>
  <c r="H233" i="16"/>
  <c r="I135" i="12" l="1"/>
  <c r="K134" i="12"/>
  <c r="J134" i="12"/>
  <c r="O12" i="25"/>
  <c r="L238" i="16"/>
  <c r="M238" i="16" s="1"/>
  <c r="M257" i="16" s="1"/>
  <c r="L243" i="16"/>
  <c r="M243" i="16" s="1"/>
  <c r="M262" i="16" s="1"/>
  <c r="L233" i="16"/>
  <c r="L252" i="16" s="1"/>
  <c r="M254" i="16"/>
  <c r="L273" i="16" s="1"/>
  <c r="M234" i="16"/>
  <c r="L253" i="16"/>
  <c r="M245" i="16"/>
  <c r="L264" i="16"/>
  <c r="M237" i="16"/>
  <c r="L256" i="16"/>
  <c r="M236" i="16"/>
  <c r="L255" i="16"/>
  <c r="L261" i="16"/>
  <c r="L280" i="16"/>
  <c r="L247" i="16"/>
  <c r="L244" i="16"/>
  <c r="L246" i="16"/>
  <c r="L276" i="16"/>
  <c r="M233" i="16"/>
  <c r="M240" i="16"/>
  <c r="L254" i="16"/>
  <c r="L241" i="16"/>
  <c r="L239" i="16"/>
  <c r="I136" i="12" l="1"/>
  <c r="K135" i="12"/>
  <c r="J135" i="12"/>
  <c r="O13" i="25"/>
  <c r="P12" i="25"/>
  <c r="Q12" i="25" s="1"/>
  <c r="L262" i="16"/>
  <c r="L257" i="16"/>
  <c r="L281" i="16"/>
  <c r="M252" i="16"/>
  <c r="L271" i="16"/>
  <c r="M246" i="16"/>
  <c r="L265" i="16"/>
  <c r="M244" i="16"/>
  <c r="L263" i="16"/>
  <c r="L266" i="16"/>
  <c r="M247" i="16"/>
  <c r="M264" i="16"/>
  <c r="L283" i="16"/>
  <c r="M255" i="16"/>
  <c r="L274" i="16" s="1"/>
  <c r="M256" i="16"/>
  <c r="L275" i="16" s="1"/>
  <c r="M259" i="16"/>
  <c r="L278" i="16"/>
  <c r="M253" i="16"/>
  <c r="L272" i="16" s="1"/>
  <c r="M239" i="16"/>
  <c r="L258" i="16"/>
  <c r="M241" i="16"/>
  <c r="L260" i="16"/>
  <c r="I137" i="12" l="1"/>
  <c r="J136" i="12"/>
  <c r="K136" i="12"/>
  <c r="O14" i="25"/>
  <c r="P13" i="25"/>
  <c r="Q13" i="25" s="1"/>
  <c r="M260" i="16"/>
  <c r="L279" i="16" s="1"/>
  <c r="M263" i="16"/>
  <c r="L282" i="16" s="1"/>
  <c r="M266" i="16"/>
  <c r="L285" i="16" s="1"/>
  <c r="M258" i="16"/>
  <c r="L277" i="16"/>
  <c r="M265" i="16"/>
  <c r="L284" i="16" s="1"/>
  <c r="I138" i="12" l="1"/>
  <c r="J137" i="12"/>
  <c r="K137" i="12"/>
  <c r="O15" i="25"/>
  <c r="P14" i="25"/>
  <c r="Q14" i="25" s="1"/>
  <c r="I139" i="12" l="1"/>
  <c r="K138" i="12"/>
  <c r="J138" i="12"/>
  <c r="O16" i="25"/>
  <c r="P15" i="25"/>
  <c r="Q15" i="25" s="1"/>
  <c r="I140" i="12" l="1"/>
  <c r="K139" i="12"/>
  <c r="J139" i="12"/>
  <c r="O17" i="25"/>
  <c r="P16" i="25"/>
  <c r="Q16" i="25" s="1"/>
  <c r="I141" i="12" l="1"/>
  <c r="J140" i="12"/>
  <c r="K140" i="12"/>
  <c r="O18" i="25"/>
  <c r="P17" i="25"/>
  <c r="Q17" i="25" s="1"/>
  <c r="I142" i="12" l="1"/>
  <c r="J141" i="12"/>
  <c r="K141" i="12"/>
  <c r="O19" i="25"/>
  <c r="P18" i="25"/>
  <c r="Q18" i="25" s="1"/>
  <c r="I143" i="12" l="1"/>
  <c r="K142" i="12"/>
  <c r="J142" i="12"/>
  <c r="O20" i="25"/>
  <c r="P19" i="25"/>
  <c r="Q19" i="25" s="1"/>
  <c r="I144" i="12" l="1"/>
  <c r="K143" i="12"/>
  <c r="J143" i="12"/>
  <c r="O21" i="25"/>
  <c r="P20" i="25"/>
  <c r="Q20" i="25" s="1"/>
  <c r="I145" i="12" l="1"/>
  <c r="J144" i="12"/>
  <c r="K144" i="12"/>
  <c r="O22" i="25"/>
  <c r="P21" i="25"/>
  <c r="Q21" i="25" s="1"/>
  <c r="I146" i="12" l="1"/>
  <c r="J145" i="12"/>
  <c r="K145" i="12"/>
  <c r="O23" i="25"/>
  <c r="P22" i="25"/>
  <c r="P23" i="25" s="1"/>
  <c r="P24" i="25" s="1"/>
  <c r="P25" i="25" s="1"/>
  <c r="I147" i="12" l="1"/>
  <c r="K146" i="12"/>
  <c r="J146" i="12"/>
  <c r="C290" i="16"/>
  <c r="E234" i="16"/>
  <c r="E235" i="16"/>
  <c r="E236" i="16"/>
  <c r="E237" i="16"/>
  <c r="E238" i="16"/>
  <c r="E239" i="16"/>
  <c r="E233" i="16"/>
  <c r="C233" i="16"/>
  <c r="C234" i="16"/>
  <c r="C235" i="16"/>
  <c r="C236" i="16"/>
  <c r="C237" i="16"/>
  <c r="C238" i="16"/>
  <c r="C239" i="16"/>
  <c r="I18" i="8"/>
  <c r="I19" i="8"/>
  <c r="I20" i="8"/>
  <c r="I21" i="8"/>
  <c r="I22" i="8"/>
  <c r="I23" i="8"/>
  <c r="I24" i="8"/>
  <c r="I26" i="8"/>
  <c r="C241" i="16" s="1"/>
  <c r="E241" i="16" s="1"/>
  <c r="H241" i="16" s="1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I148" i="12" l="1"/>
  <c r="K147" i="12"/>
  <c r="J147" i="12"/>
  <c r="D11" i="25"/>
  <c r="E11" i="25" s="1"/>
  <c r="D12" i="25"/>
  <c r="E12" i="25" s="1"/>
  <c r="D13" i="25"/>
  <c r="E13" i="25" s="1"/>
  <c r="D14" i="25"/>
  <c r="E14" i="25" s="1"/>
  <c r="D15" i="25"/>
  <c r="E15" i="25" s="1"/>
  <c r="D16" i="25"/>
  <c r="E16" i="25" s="1"/>
  <c r="D17" i="25"/>
  <c r="D19" i="25"/>
  <c r="C12" i="25"/>
  <c r="C22" i="25"/>
  <c r="H22" i="25" s="1"/>
  <c r="I22" i="25" s="1"/>
  <c r="C23" i="25"/>
  <c r="C24" i="25"/>
  <c r="H24" i="25" s="1"/>
  <c r="I24" i="25" s="1"/>
  <c r="H25" i="25"/>
  <c r="I25" i="25" s="1"/>
  <c r="I149" i="12" l="1"/>
  <c r="J148" i="12"/>
  <c r="K148" i="12"/>
  <c r="H12" i="25"/>
  <c r="I12" i="25" s="1"/>
  <c r="C5" i="31"/>
  <c r="E17" i="25"/>
  <c r="F12" i="25"/>
  <c r="G12" i="25" s="1"/>
  <c r="E19" i="25"/>
  <c r="H23" i="25"/>
  <c r="I23" i="25" s="1"/>
  <c r="C190" i="6"/>
  <c r="BF199" i="3"/>
  <c r="BF198" i="3"/>
  <c r="BF197" i="3"/>
  <c r="BF194" i="3"/>
  <c r="BF196" i="3"/>
  <c r="BF195" i="3"/>
  <c r="BF193" i="3"/>
  <c r="CV20" i="13" s="1"/>
  <c r="CW20" i="13" s="1"/>
  <c r="BF200" i="3"/>
  <c r="AZ228" i="3"/>
  <c r="AZ229" i="3"/>
  <c r="AZ227" i="3"/>
  <c r="AZ226" i="3"/>
  <c r="AZ222" i="3"/>
  <c r="AZ225" i="3"/>
  <c r="AZ218" i="3"/>
  <c r="AZ224" i="3"/>
  <c r="AZ221" i="3"/>
  <c r="AZ214" i="3"/>
  <c r="AZ220" i="3"/>
  <c r="AZ217" i="3"/>
  <c r="AZ213" i="3"/>
  <c r="AZ223" i="3"/>
  <c r="AZ216" i="3"/>
  <c r="AZ219" i="3"/>
  <c r="AZ215" i="3"/>
  <c r="Y210" i="3"/>
  <c r="Y211" i="3"/>
  <c r="AY169" i="3"/>
  <c r="AZ169" i="3"/>
  <c r="BA169" i="3"/>
  <c r="BB169" i="3"/>
  <c r="BC169" i="3"/>
  <c r="BD169" i="3"/>
  <c r="BE169" i="3"/>
  <c r="BF169" i="3"/>
  <c r="BG169" i="3"/>
  <c r="I150" i="12" l="1"/>
  <c r="J149" i="12"/>
  <c r="K149" i="12"/>
  <c r="AD142" i="3"/>
  <c r="AD151" i="3" s="1"/>
  <c r="AE142" i="3"/>
  <c r="AE151" i="3" s="1"/>
  <c r="AF142" i="3"/>
  <c r="AF151" i="3" s="1"/>
  <c r="AG142" i="3"/>
  <c r="AG151" i="3" s="1"/>
  <c r="D168" i="3"/>
  <c r="D169" i="3"/>
  <c r="D156" i="3"/>
  <c r="D155" i="3"/>
  <c r="I151" i="12" l="1"/>
  <c r="K150" i="12"/>
  <c r="J150" i="12"/>
  <c r="AC140" i="3"/>
  <c r="AA141" i="3"/>
  <c r="AA146" i="3" s="1"/>
  <c r="AA184" i="3" s="1"/>
  <c r="AA185" i="3" s="1"/>
  <c r="AA186" i="3" s="1"/>
  <c r="AE141" i="3"/>
  <c r="AE146" i="3" s="1"/>
  <c r="AE184" i="3" s="1"/>
  <c r="Z141" i="3"/>
  <c r="AS167" i="3"/>
  <c r="AS170" i="3" s="1"/>
  <c r="AS172" i="3" s="1"/>
  <c r="AS173" i="3" s="1"/>
  <c r="AS175" i="3" s="1"/>
  <c r="AT167" i="3"/>
  <c r="AT170" i="3" s="1"/>
  <c r="AT172" i="3" s="1"/>
  <c r="AT173" i="3" s="1"/>
  <c r="AT175" i="3" s="1"/>
  <c r="AQ167" i="3"/>
  <c r="AU167" i="3"/>
  <c r="AU170" i="3" s="1"/>
  <c r="AU172" i="3" s="1"/>
  <c r="AU173" i="3" s="1"/>
  <c r="AU175" i="3" s="1"/>
  <c r="AU176" i="3" s="1"/>
  <c r="AV167" i="3"/>
  <c r="AV170" i="3" s="1"/>
  <c r="AV172" i="3" s="1"/>
  <c r="AV173" i="3" s="1"/>
  <c r="AV175" i="3" s="1"/>
  <c r="AV176" i="3" s="1"/>
  <c r="AD141" i="3"/>
  <c r="AA191" i="3"/>
  <c r="AA195" i="3" s="1"/>
  <c r="AE191" i="3"/>
  <c r="AE195" i="3" s="1"/>
  <c r="Z140" i="3"/>
  <c r="AF191" i="3"/>
  <c r="AF195" i="3" s="1"/>
  <c r="AD191" i="3"/>
  <c r="AD195" i="3" s="1"/>
  <c r="AG191" i="3"/>
  <c r="AG195" i="3" s="1"/>
  <c r="AG141" i="3"/>
  <c r="AG146" i="3" s="1"/>
  <c r="AG184" i="3" s="1"/>
  <c r="AF141" i="3"/>
  <c r="AF150" i="3" s="1"/>
  <c r="AB141" i="3"/>
  <c r="AB150" i="3" s="1"/>
  <c r="AF146" i="3"/>
  <c r="AF184" i="3" s="1"/>
  <c r="AF185" i="3" s="1"/>
  <c r="AF186" i="3" s="1"/>
  <c r="AG150" i="3"/>
  <c r="AG185" i="3"/>
  <c r="AG186" i="3" s="1"/>
  <c r="BG182" i="3"/>
  <c r="GN10" i="13" s="1"/>
  <c r="GQ10" i="13" s="1"/>
  <c r="AE150" i="3"/>
  <c r="BE182" i="3"/>
  <c r="FL10" i="13" s="1"/>
  <c r="FO10" i="13" s="1"/>
  <c r="AE185" i="3"/>
  <c r="AE186" i="3" s="1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I12" i="8"/>
  <c r="AA140" i="3" s="1"/>
  <c r="AA149" i="3" s="1"/>
  <c r="AA192" i="3" s="1"/>
  <c r="AA196" i="3" s="1"/>
  <c r="AA198" i="3" s="1"/>
  <c r="AA200" i="3" s="1"/>
  <c r="AA204" i="3" s="1"/>
  <c r="BA180" i="3" s="1"/>
  <c r="J12" i="8"/>
  <c r="AB140" i="3" s="1"/>
  <c r="K12" i="8"/>
  <c r="L12" i="8"/>
  <c r="AD140" i="3" s="1"/>
  <c r="AD149" i="3" s="1"/>
  <c r="AD192" i="3" s="1"/>
  <c r="AD196" i="3" s="1"/>
  <c r="M12" i="8"/>
  <c r="AE140" i="3" s="1"/>
  <c r="AE149" i="3" s="1"/>
  <c r="AE192" i="3" s="1"/>
  <c r="AE196" i="3" s="1"/>
  <c r="N12" i="8"/>
  <c r="AF140" i="3" s="1"/>
  <c r="AF149" i="3" s="1"/>
  <c r="AF192" i="3" s="1"/>
  <c r="AF196" i="3" s="1"/>
  <c r="AF198" i="3" s="1"/>
  <c r="AF200" i="3" s="1"/>
  <c r="AF204" i="3" s="1"/>
  <c r="BF180" i="3" s="1"/>
  <c r="O12" i="8"/>
  <c r="Z191" i="3" s="1"/>
  <c r="Z195" i="3" s="1"/>
  <c r="P12" i="8"/>
  <c r="Q12" i="8"/>
  <c r="AB191" i="3" s="1"/>
  <c r="AB195" i="3" s="1"/>
  <c r="R12" i="8"/>
  <c r="AC191" i="3" s="1"/>
  <c r="AC195" i="3" s="1"/>
  <c r="S12" i="8"/>
  <c r="T12" i="8"/>
  <c r="U12" i="8"/>
  <c r="V12" i="8"/>
  <c r="H11" i="8"/>
  <c r="H10" i="8"/>
  <c r="I10" i="8"/>
  <c r="J10" i="8"/>
  <c r="L10" i="8"/>
  <c r="M10" i="8"/>
  <c r="N10" i="8"/>
  <c r="O10" i="8"/>
  <c r="AO167" i="3" s="1"/>
  <c r="P10" i="8"/>
  <c r="AP167" i="3" s="1"/>
  <c r="Q10" i="8"/>
  <c r="R10" i="8"/>
  <c r="AR167" i="3" s="1"/>
  <c r="S10" i="8"/>
  <c r="T10" i="8"/>
  <c r="U10" i="8"/>
  <c r="V10" i="8"/>
  <c r="C13" i="8"/>
  <c r="AA128" i="3"/>
  <c r="AB128" i="3"/>
  <c r="AB129" i="3" s="1"/>
  <c r="AB133" i="3" s="1"/>
  <c r="AD128" i="3"/>
  <c r="AD129" i="3" s="1"/>
  <c r="AD133" i="3" s="1"/>
  <c r="AE128" i="3"/>
  <c r="AF128" i="3"/>
  <c r="AG128" i="3"/>
  <c r="AA125" i="3"/>
  <c r="AA126" i="3" s="1"/>
  <c r="AD125" i="3"/>
  <c r="AD157" i="3" s="1"/>
  <c r="AD163" i="3" s="1"/>
  <c r="AE125" i="3"/>
  <c r="AE126" i="3" s="1"/>
  <c r="AF125" i="3"/>
  <c r="AF167" i="3" s="1"/>
  <c r="AF168" i="3" s="1"/>
  <c r="V6" i="8"/>
  <c r="Q6" i="8"/>
  <c r="AB125" i="3" s="1"/>
  <c r="AB167" i="3" s="1"/>
  <c r="AB168" i="3" s="1"/>
  <c r="R6" i="8"/>
  <c r="AC125" i="3" s="1"/>
  <c r="AC126" i="3" s="1"/>
  <c r="S6" i="8"/>
  <c r="T6" i="8"/>
  <c r="U6" i="8"/>
  <c r="O6" i="8"/>
  <c r="Z125" i="3" s="1"/>
  <c r="P7" i="8"/>
  <c r="C19" i="25" s="1"/>
  <c r="Q7" i="8"/>
  <c r="C20" i="25" s="1"/>
  <c r="R7" i="8"/>
  <c r="C21" i="25" s="1"/>
  <c r="S7" i="8"/>
  <c r="T7" i="8"/>
  <c r="U7" i="8"/>
  <c r="V7" i="8"/>
  <c r="O7" i="8"/>
  <c r="C18" i="25" s="1"/>
  <c r="S4" i="8"/>
  <c r="T4" i="8"/>
  <c r="U4" i="8"/>
  <c r="V4" i="8"/>
  <c r="I152" i="12" l="1"/>
  <c r="K151" i="12"/>
  <c r="J151" i="12"/>
  <c r="I31" i="8"/>
  <c r="C246" i="16" s="1"/>
  <c r="E246" i="16" s="1"/>
  <c r="H246" i="16" s="1"/>
  <c r="D24" i="25"/>
  <c r="I30" i="8"/>
  <c r="C245" i="16" s="1"/>
  <c r="E245" i="16" s="1"/>
  <c r="H245" i="16" s="1"/>
  <c r="D23" i="25"/>
  <c r="I32" i="8"/>
  <c r="C247" i="16" s="1"/>
  <c r="E247" i="16" s="1"/>
  <c r="H247" i="16" s="1"/>
  <c r="D25" i="25"/>
  <c r="I29" i="8"/>
  <c r="C244" i="16" s="1"/>
  <c r="E244" i="16" s="1"/>
  <c r="H244" i="16" s="1"/>
  <c r="D22" i="25"/>
  <c r="AG125" i="3"/>
  <c r="AG126" i="3" s="1"/>
  <c r="AO170" i="3"/>
  <c r="BA182" i="3"/>
  <c r="DH10" i="13" s="1"/>
  <c r="DK10" i="13" s="1"/>
  <c r="AC141" i="3"/>
  <c r="AO168" i="3"/>
  <c r="Z142" i="3"/>
  <c r="Z151" i="3" s="1"/>
  <c r="Z157" i="3" s="1"/>
  <c r="Z163" i="3" s="1"/>
  <c r="AC149" i="3"/>
  <c r="H20" i="25"/>
  <c r="I20" i="25" s="1"/>
  <c r="C13" i="31"/>
  <c r="Z128" i="3"/>
  <c r="AR168" i="3"/>
  <c r="AR170" i="3" s="1"/>
  <c r="AR172" i="3" s="1"/>
  <c r="AR173" i="3" s="1"/>
  <c r="AR175" i="3" s="1"/>
  <c r="AR192" i="3" s="1"/>
  <c r="AC142" i="3"/>
  <c r="AC151" i="3" s="1"/>
  <c r="AA150" i="3"/>
  <c r="AA156" i="3" s="1"/>
  <c r="AA162" i="3" s="1"/>
  <c r="H18" i="25"/>
  <c r="I18" i="25" s="1"/>
  <c r="C11" i="31"/>
  <c r="I25" i="8"/>
  <c r="C240" i="16" s="1"/>
  <c r="E240" i="16" s="1"/>
  <c r="H240" i="16" s="1"/>
  <c r="D18" i="25"/>
  <c r="E18" i="25" s="1"/>
  <c r="AP168" i="3"/>
  <c r="AP170" i="3" s="1"/>
  <c r="AP172" i="3" s="1"/>
  <c r="AP173" i="3" s="1"/>
  <c r="AP175" i="3" s="1"/>
  <c r="AP192" i="3" s="1"/>
  <c r="AA142" i="3"/>
  <c r="AA151" i="3" s="1"/>
  <c r="AQ170" i="3"/>
  <c r="AQ172" i="3" s="1"/>
  <c r="AQ173" i="3" s="1"/>
  <c r="AQ175" i="3" s="1"/>
  <c r="AQ192" i="3" s="1"/>
  <c r="H21" i="25"/>
  <c r="I21" i="25" s="1"/>
  <c r="C14" i="31"/>
  <c r="I27" i="8"/>
  <c r="C242" i="16" s="1"/>
  <c r="E242" i="16" s="1"/>
  <c r="H242" i="16" s="1"/>
  <c r="D20" i="25"/>
  <c r="E20" i="25" s="1"/>
  <c r="H19" i="25"/>
  <c r="I19" i="25" s="1"/>
  <c r="C12" i="31"/>
  <c r="F19" i="25"/>
  <c r="G19" i="25" s="1"/>
  <c r="AC128" i="3"/>
  <c r="AC129" i="3" s="1"/>
  <c r="AC133" i="3" s="1"/>
  <c r="AQ168" i="3"/>
  <c r="AB142" i="3"/>
  <c r="AB151" i="3" s="1"/>
  <c r="Z149" i="3"/>
  <c r="Z192" i="3" s="1"/>
  <c r="Z196" i="3" s="1"/>
  <c r="Z198" i="3" s="1"/>
  <c r="Z200" i="3" s="1"/>
  <c r="Z204" i="3" s="1"/>
  <c r="AZ180" i="3" s="1"/>
  <c r="CU114" i="13" s="1"/>
  <c r="AG140" i="3"/>
  <c r="AG149" i="3" s="1"/>
  <c r="AG192" i="3" s="1"/>
  <c r="AG196" i="3" s="1"/>
  <c r="AG198" i="3" s="1"/>
  <c r="AG200" i="3" s="1"/>
  <c r="AG204" i="3" s="1"/>
  <c r="BG180" i="3" s="1"/>
  <c r="I28" i="8"/>
  <c r="C243" i="16" s="1"/>
  <c r="E243" i="16" s="1"/>
  <c r="H243" i="16" s="1"/>
  <c r="D21" i="25"/>
  <c r="E21" i="25" s="1"/>
  <c r="Z155" i="3"/>
  <c r="Z161" i="3" s="1"/>
  <c r="AD198" i="3"/>
  <c r="AD200" i="3" s="1"/>
  <c r="AD204" i="3" s="1"/>
  <c r="BD180" i="3" s="1"/>
  <c r="AE198" i="3"/>
  <c r="AE200" i="3" s="1"/>
  <c r="AE204" i="3" s="1"/>
  <c r="BE180" i="3" s="1"/>
  <c r="AD150" i="3"/>
  <c r="AD146" i="3"/>
  <c r="AD184" i="3" s="1"/>
  <c r="Z169" i="3"/>
  <c r="BG175" i="3"/>
  <c r="GX5" i="13" s="1"/>
  <c r="AG225" i="3"/>
  <c r="AG227" i="3" s="1"/>
  <c r="BF175" i="3"/>
  <c r="GJ5" i="13" s="1"/>
  <c r="AF225" i="3"/>
  <c r="AF227" i="3" s="1"/>
  <c r="Z146" i="3"/>
  <c r="Z184" i="3" s="1"/>
  <c r="Z150" i="3"/>
  <c r="Z156" i="3" s="1"/>
  <c r="Z162" i="3" s="1"/>
  <c r="Z167" i="3"/>
  <c r="Z168" i="3" s="1"/>
  <c r="BA175" i="3"/>
  <c r="AA225" i="3"/>
  <c r="AA227" i="3" s="1"/>
  <c r="DH12" i="13" s="1"/>
  <c r="DK12" i="13" s="1"/>
  <c r="AB146" i="3"/>
  <c r="AB184" i="3" s="1"/>
  <c r="AB149" i="3"/>
  <c r="AB192" i="3" s="1"/>
  <c r="AB196" i="3" s="1"/>
  <c r="AB198" i="3" s="1"/>
  <c r="AB200" i="3" s="1"/>
  <c r="AB204" i="3" s="1"/>
  <c r="BB180" i="3" s="1"/>
  <c r="BE175" i="3"/>
  <c r="FV5" i="13" s="1"/>
  <c r="AE225" i="3"/>
  <c r="AE227" i="3" s="1"/>
  <c r="AO172" i="3"/>
  <c r="AO173" i="3" s="1"/>
  <c r="AO175" i="3" s="1"/>
  <c r="AO192" i="3" s="1"/>
  <c r="AF169" i="3"/>
  <c r="BF182" i="3"/>
  <c r="FZ10" i="13" s="1"/>
  <c r="GC10" i="13" s="1"/>
  <c r="AA167" i="3"/>
  <c r="AA168" i="3" s="1"/>
  <c r="AD167" i="3"/>
  <c r="AD168" i="3" s="1"/>
  <c r="AD156" i="3"/>
  <c r="AD162" i="3" s="1"/>
  <c r="Z126" i="3"/>
  <c r="AF157" i="3"/>
  <c r="AF163" i="3" s="1"/>
  <c r="AD126" i="3"/>
  <c r="AD137" i="3" s="1"/>
  <c r="Z129" i="3"/>
  <c r="Z132" i="3" s="1"/>
  <c r="AD211" i="3"/>
  <c r="AE167" i="3"/>
  <c r="AE168" i="3" s="1"/>
  <c r="AF126" i="3"/>
  <c r="AB169" i="3"/>
  <c r="AA155" i="3"/>
  <c r="AA161" i="3" s="1"/>
  <c r="AC157" i="3"/>
  <c r="AC163" i="3" s="1"/>
  <c r="AA129" i="3"/>
  <c r="AA133" i="3" s="1"/>
  <c r="AA169" i="3"/>
  <c r="AB126" i="3"/>
  <c r="AG167" i="3"/>
  <c r="AG168" i="3" s="1"/>
  <c r="AB156" i="3"/>
  <c r="AB162" i="3" s="1"/>
  <c r="AE157" i="3"/>
  <c r="AE163" i="3" s="1"/>
  <c r="AD155" i="3"/>
  <c r="AD161" i="3" s="1"/>
  <c r="AG129" i="3"/>
  <c r="AG133" i="3" s="1"/>
  <c r="AE156" i="3"/>
  <c r="AE162" i="3" s="1"/>
  <c r="AB155" i="3"/>
  <c r="AB161" i="3" s="1"/>
  <c r="AA157" i="3"/>
  <c r="AA163" i="3" s="1"/>
  <c r="AE129" i="3"/>
  <c r="AE133" i="3" s="1"/>
  <c r="AE169" i="3"/>
  <c r="AF155" i="3"/>
  <c r="AF161" i="3" s="1"/>
  <c r="AB157" i="3"/>
  <c r="AB163" i="3" s="1"/>
  <c r="AB211" i="3"/>
  <c r="AD169" i="3"/>
  <c r="AF129" i="3"/>
  <c r="AF133" i="3" s="1"/>
  <c r="AC167" i="3"/>
  <c r="AC168" i="3" s="1"/>
  <c r="AE155" i="3"/>
  <c r="AE161" i="3" s="1"/>
  <c r="AF156" i="3"/>
  <c r="AF162" i="3" s="1"/>
  <c r="AG156" i="3"/>
  <c r="AG162" i="3" s="1"/>
  <c r="AD132" i="3"/>
  <c r="AB132" i="3"/>
  <c r="K152" i="12" l="1"/>
  <c r="K154" i="12" s="1"/>
  <c r="J152" i="12"/>
  <c r="J154" i="12" s="1"/>
  <c r="BA154" i="12"/>
  <c r="AM154" i="12"/>
  <c r="I154" i="12"/>
  <c r="F22" i="25"/>
  <c r="G22" i="25" s="1"/>
  <c r="E22" i="25"/>
  <c r="E23" i="25"/>
  <c r="F23" i="25"/>
  <c r="G23" i="25" s="1"/>
  <c r="AG157" i="3"/>
  <c r="AG163" i="3" s="1"/>
  <c r="AG169" i="3"/>
  <c r="F20" i="25"/>
  <c r="G20" i="25" s="1"/>
  <c r="E25" i="25"/>
  <c r="F25" i="25"/>
  <c r="G25" i="25" s="1"/>
  <c r="E24" i="25"/>
  <c r="F24" i="25"/>
  <c r="G24" i="25" s="1"/>
  <c r="AG155" i="3"/>
  <c r="AG161" i="3" s="1"/>
  <c r="AC169" i="3"/>
  <c r="AC171" i="3" s="1"/>
  <c r="F21" i="25"/>
  <c r="G21" i="25" s="1"/>
  <c r="F18" i="25"/>
  <c r="G18" i="25" s="1"/>
  <c r="AC146" i="3"/>
  <c r="AC184" i="3" s="1"/>
  <c r="AC150" i="3"/>
  <c r="AC156" i="3" s="1"/>
  <c r="AC162" i="3" s="1"/>
  <c r="DR5" i="13"/>
  <c r="J251" i="3"/>
  <c r="J255" i="3" s="1"/>
  <c r="AC155" i="3"/>
  <c r="AC161" i="3" s="1"/>
  <c r="AC192" i="3"/>
  <c r="AC196" i="3" s="1"/>
  <c r="AC198" i="3" s="1"/>
  <c r="AC200" i="3" s="1"/>
  <c r="AC204" i="3" s="1"/>
  <c r="BC180" i="3" s="1"/>
  <c r="Z175" i="3"/>
  <c r="AZ184" i="3" s="1"/>
  <c r="Z165" i="3"/>
  <c r="BD182" i="3"/>
  <c r="EX10" i="13" s="1"/>
  <c r="FA10" i="13" s="1"/>
  <c r="AD185" i="3"/>
  <c r="AD186" i="3" s="1"/>
  <c r="BB182" i="3"/>
  <c r="DV10" i="13" s="1"/>
  <c r="DY10" i="13" s="1"/>
  <c r="AB185" i="3"/>
  <c r="AB186" i="3" s="1"/>
  <c r="Z185" i="3"/>
  <c r="Z186" i="3" s="1"/>
  <c r="AZ175" i="3" s="1"/>
  <c r="AZ182" i="3"/>
  <c r="CT10" i="13" s="1"/>
  <c r="CW10" i="13" s="1"/>
  <c r="AB171" i="3"/>
  <c r="AF171" i="3"/>
  <c r="AC132" i="3"/>
  <c r="AC210" i="3" s="1"/>
  <c r="AE171" i="3"/>
  <c r="AD171" i="3"/>
  <c r="AA132" i="3"/>
  <c r="AA210" i="3" s="1"/>
  <c r="AA214" i="3" s="1"/>
  <c r="AA215" i="3" s="1"/>
  <c r="Z133" i="3"/>
  <c r="Z137" i="3" s="1"/>
  <c r="AE132" i="3"/>
  <c r="AE210" i="3" s="1"/>
  <c r="AE214" i="3" s="1"/>
  <c r="AE215" i="3" s="1"/>
  <c r="AG171" i="3"/>
  <c r="AA171" i="3"/>
  <c r="AF132" i="3"/>
  <c r="AF136" i="3" s="1"/>
  <c r="AG211" i="3"/>
  <c r="AG219" i="3" s="1"/>
  <c r="AG220" i="3" s="1"/>
  <c r="AG137" i="3"/>
  <c r="AB210" i="3"/>
  <c r="AB136" i="3"/>
  <c r="AE211" i="3"/>
  <c r="AE219" i="3" s="1"/>
  <c r="AE220" i="3" s="1"/>
  <c r="AE137" i="3"/>
  <c r="AG132" i="3"/>
  <c r="AD210" i="3"/>
  <c r="AD136" i="3"/>
  <c r="AB137" i="3"/>
  <c r="AC211" i="3"/>
  <c r="AC137" i="3"/>
  <c r="Z210" i="3"/>
  <c r="Z136" i="3"/>
  <c r="AA211" i="3"/>
  <c r="AA219" i="3" s="1"/>
  <c r="AA220" i="3" s="1"/>
  <c r="AA137" i="3"/>
  <c r="AF211" i="3"/>
  <c r="AF219" i="3" s="1"/>
  <c r="AF220" i="3" s="1"/>
  <c r="AF137" i="3"/>
  <c r="G3" i="12"/>
  <c r="H3" i="12"/>
  <c r="I3" i="12"/>
  <c r="K3" i="12"/>
  <c r="G4" i="12"/>
  <c r="G5" i="12"/>
  <c r="H5" i="12"/>
  <c r="I5" i="12"/>
  <c r="J5" i="12"/>
  <c r="K5" i="12"/>
  <c r="G6" i="12"/>
  <c r="H6" i="12"/>
  <c r="G7" i="12"/>
  <c r="H7" i="12"/>
  <c r="G8" i="12"/>
  <c r="H8" i="12"/>
  <c r="G9" i="12"/>
  <c r="H9" i="12"/>
  <c r="G12" i="12"/>
  <c r="G16" i="12"/>
  <c r="H16" i="12"/>
  <c r="I16" i="12"/>
  <c r="K16" i="12"/>
  <c r="G18" i="12"/>
  <c r="G19" i="12"/>
  <c r="H19" i="12"/>
  <c r="I19" i="12"/>
  <c r="J19" i="12"/>
  <c r="K19" i="12"/>
  <c r="G20" i="12"/>
  <c r="H20" i="12"/>
  <c r="G21" i="12"/>
  <c r="H21" i="12"/>
  <c r="G22" i="12"/>
  <c r="H22" i="12"/>
  <c r="G25" i="12"/>
  <c r="D5" i="12"/>
  <c r="D6" i="12"/>
  <c r="D7" i="12"/>
  <c r="D8" i="12"/>
  <c r="D9" i="12"/>
  <c r="D10" i="12"/>
  <c r="D11" i="12"/>
  <c r="D12" i="12"/>
  <c r="D1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M124" i="24"/>
  <c r="L124" i="24"/>
  <c r="K124" i="24"/>
  <c r="M123" i="24"/>
  <c r="L123" i="24"/>
  <c r="K123" i="24"/>
  <c r="M122" i="24"/>
  <c r="L122" i="24"/>
  <c r="K122" i="24"/>
  <c r="M121" i="24"/>
  <c r="L121" i="24"/>
  <c r="K121" i="24"/>
  <c r="M120" i="24"/>
  <c r="L120" i="24"/>
  <c r="K120" i="24"/>
  <c r="M119" i="24"/>
  <c r="L119" i="24"/>
  <c r="K119" i="24"/>
  <c r="M118" i="24"/>
  <c r="L118" i="24"/>
  <c r="K118" i="24"/>
  <c r="M117" i="24"/>
  <c r="L117" i="24"/>
  <c r="K117" i="24"/>
  <c r="M116" i="24"/>
  <c r="L116" i="24"/>
  <c r="K116" i="24"/>
  <c r="M115" i="24"/>
  <c r="L115" i="24"/>
  <c r="K115" i="24"/>
  <c r="M114" i="24"/>
  <c r="L114" i="24"/>
  <c r="K114" i="24"/>
  <c r="M113" i="24"/>
  <c r="L113" i="24"/>
  <c r="K113" i="24"/>
  <c r="M112" i="24"/>
  <c r="L112" i="24"/>
  <c r="K112" i="24"/>
  <c r="M111" i="24"/>
  <c r="L111" i="24"/>
  <c r="K111" i="24"/>
  <c r="M110" i="24"/>
  <c r="L110" i="24"/>
  <c r="K110" i="24"/>
  <c r="M109" i="24"/>
  <c r="L109" i="24"/>
  <c r="K109" i="24"/>
  <c r="M108" i="24"/>
  <c r="L108" i="24"/>
  <c r="K108" i="24"/>
  <c r="M107" i="24"/>
  <c r="L107" i="24"/>
  <c r="K107" i="24"/>
  <c r="M106" i="24"/>
  <c r="L106" i="24"/>
  <c r="K106" i="24"/>
  <c r="M105" i="24"/>
  <c r="L105" i="24"/>
  <c r="K105" i="24"/>
  <c r="M104" i="24"/>
  <c r="L104" i="24"/>
  <c r="K104" i="24"/>
  <c r="M103" i="24"/>
  <c r="L103" i="24"/>
  <c r="K103" i="24"/>
  <c r="M102" i="24"/>
  <c r="L102" i="24"/>
  <c r="K102" i="24"/>
  <c r="M101" i="24"/>
  <c r="L101" i="24"/>
  <c r="K101" i="24"/>
  <c r="M100" i="24"/>
  <c r="L100" i="24"/>
  <c r="K100" i="24"/>
  <c r="M99" i="24"/>
  <c r="L99" i="24"/>
  <c r="K99" i="24"/>
  <c r="M98" i="24"/>
  <c r="L98" i="24"/>
  <c r="K98" i="24"/>
  <c r="M97" i="24"/>
  <c r="L97" i="24"/>
  <c r="K97" i="24"/>
  <c r="M96" i="24"/>
  <c r="L96" i="24"/>
  <c r="K96" i="24"/>
  <c r="M95" i="24"/>
  <c r="L95" i="24"/>
  <c r="K95" i="24"/>
  <c r="M94" i="24"/>
  <c r="L94" i="24"/>
  <c r="K94" i="24"/>
  <c r="M93" i="24"/>
  <c r="L93" i="24"/>
  <c r="K93" i="24"/>
  <c r="M92" i="24"/>
  <c r="L92" i="24"/>
  <c r="K92" i="24"/>
  <c r="M91" i="24"/>
  <c r="L91" i="24"/>
  <c r="K91" i="24"/>
  <c r="M90" i="24"/>
  <c r="L90" i="24"/>
  <c r="K90" i="24"/>
  <c r="M89" i="24"/>
  <c r="L89" i="24"/>
  <c r="K89" i="24"/>
  <c r="M88" i="24"/>
  <c r="L88" i="24"/>
  <c r="K88" i="24"/>
  <c r="M87" i="24"/>
  <c r="L87" i="24"/>
  <c r="K87" i="24"/>
  <c r="M86" i="24"/>
  <c r="L86" i="24"/>
  <c r="K86" i="24"/>
  <c r="M85" i="24"/>
  <c r="L85" i="24"/>
  <c r="K85" i="24"/>
  <c r="M84" i="24"/>
  <c r="L84" i="24"/>
  <c r="K84" i="24"/>
  <c r="M83" i="24"/>
  <c r="L83" i="24"/>
  <c r="K83" i="24"/>
  <c r="M82" i="24"/>
  <c r="L82" i="24"/>
  <c r="K82" i="24"/>
  <c r="M81" i="24"/>
  <c r="L81" i="24"/>
  <c r="K81" i="24"/>
  <c r="M80" i="24"/>
  <c r="L80" i="24"/>
  <c r="K80" i="24"/>
  <c r="M79" i="24"/>
  <c r="L79" i="24"/>
  <c r="K79" i="24"/>
  <c r="M78" i="24"/>
  <c r="L78" i="24"/>
  <c r="K78" i="24"/>
  <c r="M77" i="24"/>
  <c r="L77" i="24"/>
  <c r="K77" i="24"/>
  <c r="M76" i="24"/>
  <c r="L76" i="24"/>
  <c r="K76" i="24"/>
  <c r="M75" i="24"/>
  <c r="L75" i="24"/>
  <c r="K75" i="24"/>
  <c r="M74" i="24"/>
  <c r="L74" i="24"/>
  <c r="K74" i="24"/>
  <c r="M73" i="24"/>
  <c r="L73" i="24"/>
  <c r="K73" i="24"/>
  <c r="M72" i="24"/>
  <c r="L72" i="24"/>
  <c r="K72" i="24"/>
  <c r="M71" i="24"/>
  <c r="L71" i="24"/>
  <c r="K71" i="24"/>
  <c r="M70" i="24"/>
  <c r="L70" i="24"/>
  <c r="K70" i="24"/>
  <c r="M69" i="24"/>
  <c r="L69" i="24"/>
  <c r="K69" i="24"/>
  <c r="M68" i="24"/>
  <c r="L68" i="24"/>
  <c r="K68" i="24"/>
  <c r="M67" i="24"/>
  <c r="L67" i="24"/>
  <c r="K67" i="24"/>
  <c r="M66" i="24"/>
  <c r="L66" i="24"/>
  <c r="K66" i="24"/>
  <c r="M65" i="24"/>
  <c r="L65" i="24"/>
  <c r="K65" i="24"/>
  <c r="M64" i="24"/>
  <c r="L64" i="24"/>
  <c r="K64" i="24"/>
  <c r="M63" i="24"/>
  <c r="L63" i="24"/>
  <c r="K63" i="24"/>
  <c r="M62" i="24"/>
  <c r="L62" i="24"/>
  <c r="K62" i="24"/>
  <c r="M61" i="24"/>
  <c r="L61" i="24"/>
  <c r="K61" i="24"/>
  <c r="M60" i="24"/>
  <c r="L60" i="24"/>
  <c r="K60" i="24"/>
  <c r="M59" i="24"/>
  <c r="L59" i="24"/>
  <c r="K59" i="24"/>
  <c r="M58" i="24"/>
  <c r="L58" i="24"/>
  <c r="K58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J15" i="24"/>
  <c r="K15" i="24"/>
  <c r="D15" i="12" s="1"/>
  <c r="J16" i="24"/>
  <c r="K16" i="24"/>
  <c r="D16" i="12" s="1"/>
  <c r="J17" i="24"/>
  <c r="K17" i="24"/>
  <c r="D17" i="12" s="1"/>
  <c r="J18" i="24"/>
  <c r="K18" i="24"/>
  <c r="D18" i="12" s="1"/>
  <c r="J14" i="24"/>
  <c r="K14" i="24"/>
  <c r="D14" i="12" s="1"/>
  <c r="Z214" i="3" l="1"/>
  <c r="Z215" i="3" s="1"/>
  <c r="I251" i="3"/>
  <c r="I255" i="3" s="1"/>
  <c r="AC185" i="3"/>
  <c r="AC186" i="3" s="1"/>
  <c r="BC182" i="3"/>
  <c r="EJ10" i="13" s="1"/>
  <c r="EM10" i="13" s="1"/>
  <c r="Z225" i="3"/>
  <c r="Z227" i="3" s="1"/>
  <c r="CT12" i="13" s="1"/>
  <c r="CW12" i="13" s="1"/>
  <c r="AG173" i="3"/>
  <c r="AG175" i="3" s="1"/>
  <c r="BG184" i="3" s="1"/>
  <c r="AG172" i="3"/>
  <c r="AG165" i="3"/>
  <c r="AD172" i="3"/>
  <c r="AD173" i="3" s="1"/>
  <c r="AD175" i="3" s="1"/>
  <c r="AD165" i="3"/>
  <c r="AF172" i="3"/>
  <c r="AF173" i="3" s="1"/>
  <c r="AF175" i="3" s="1"/>
  <c r="AF165" i="3"/>
  <c r="BD175" i="3"/>
  <c r="AD225" i="3"/>
  <c r="AD227" i="3" s="1"/>
  <c r="AE172" i="3"/>
  <c r="AE173" i="3" s="1"/>
  <c r="AE175" i="3" s="1"/>
  <c r="AE165" i="3"/>
  <c r="AB173" i="3"/>
  <c r="AB175" i="3" s="1"/>
  <c r="AB172" i="3"/>
  <c r="AB165" i="3"/>
  <c r="AC172" i="3"/>
  <c r="AC173" i="3" s="1"/>
  <c r="AC175" i="3" s="1"/>
  <c r="AC165" i="3"/>
  <c r="AA172" i="3"/>
  <c r="AA173" i="3" s="1"/>
  <c r="AA175" i="3" s="1"/>
  <c r="BA184" i="3" s="1"/>
  <c r="AA165" i="3"/>
  <c r="BB175" i="3"/>
  <c r="K251" i="3" s="1"/>
  <c r="K255" i="3" s="1"/>
  <c r="AB225" i="3"/>
  <c r="AB227" i="3" s="1"/>
  <c r="DV12" i="13" s="1"/>
  <c r="DY12" i="13" s="1"/>
  <c r="AD214" i="3"/>
  <c r="AD215" i="3" s="1"/>
  <c r="E17" i="12"/>
  <c r="E18" i="12"/>
  <c r="E15" i="12"/>
  <c r="E14" i="12"/>
  <c r="E13" i="12"/>
  <c r="E16" i="12"/>
  <c r="Z176" i="3"/>
  <c r="AZ186" i="3" s="1"/>
  <c r="AC136" i="3"/>
  <c r="Z211" i="3"/>
  <c r="AA136" i="3"/>
  <c r="AE136" i="3"/>
  <c r="BE174" i="3"/>
  <c r="AF210" i="3"/>
  <c r="AF214" i="3" s="1"/>
  <c r="AF215" i="3" s="1"/>
  <c r="BF174" i="3" s="1"/>
  <c r="BA174" i="3"/>
  <c r="J250" i="3" s="1"/>
  <c r="J254" i="3" s="1"/>
  <c r="J257" i="3" s="1"/>
  <c r="AG210" i="3"/>
  <c r="AG214" i="3" s="1"/>
  <c r="AG215" i="3" s="1"/>
  <c r="BG174" i="3" s="1"/>
  <c r="AG136" i="3"/>
  <c r="HT95" i="4"/>
  <c r="HS95" i="4"/>
  <c r="HR95" i="4"/>
  <c r="HQ95" i="4"/>
  <c r="HP95" i="4"/>
  <c r="HO95" i="4"/>
  <c r="HN95" i="4"/>
  <c r="HM95" i="4"/>
  <c r="HL95" i="4"/>
  <c r="HK95" i="4"/>
  <c r="HT67" i="4"/>
  <c r="HT71" i="4" s="1"/>
  <c r="HS67" i="4"/>
  <c r="HS71" i="4" s="1"/>
  <c r="HR67" i="4"/>
  <c r="HR71" i="4" s="1"/>
  <c r="HQ67" i="4"/>
  <c r="HQ71" i="4" s="1"/>
  <c r="HQ75" i="4" s="1"/>
  <c r="HQ90" i="4" s="1"/>
  <c r="HQ102" i="4" s="1"/>
  <c r="HP67" i="4"/>
  <c r="HP71" i="4" s="1"/>
  <c r="HO67" i="4"/>
  <c r="HO71" i="4" s="1"/>
  <c r="HN67" i="4"/>
  <c r="HN71" i="4" s="1"/>
  <c r="HM67" i="4"/>
  <c r="HM71" i="4" s="1"/>
  <c r="HM87" i="4" s="1"/>
  <c r="HM91" i="4" s="1"/>
  <c r="HL67" i="4"/>
  <c r="HL71" i="4" s="1"/>
  <c r="HK67" i="4"/>
  <c r="HK71" i="4" s="1"/>
  <c r="HF95" i="4"/>
  <c r="HE95" i="4"/>
  <c r="HD95" i="4"/>
  <c r="HC95" i="4"/>
  <c r="HB95" i="4"/>
  <c r="HA95" i="4"/>
  <c r="GZ95" i="4"/>
  <c r="GY95" i="4"/>
  <c r="GX95" i="4"/>
  <c r="GW95" i="4"/>
  <c r="HF67" i="4"/>
  <c r="HF71" i="4" s="1"/>
  <c r="HE67" i="4"/>
  <c r="HE71" i="4" s="1"/>
  <c r="HD67" i="4"/>
  <c r="HD71" i="4" s="1"/>
  <c r="HD75" i="4" s="1"/>
  <c r="HD90" i="4" s="1"/>
  <c r="HD102" i="4" s="1"/>
  <c r="HC67" i="4"/>
  <c r="HC71" i="4" s="1"/>
  <c r="HC75" i="4" s="1"/>
  <c r="HC90" i="4" s="1"/>
  <c r="HC102" i="4" s="1"/>
  <c r="HB67" i="4"/>
  <c r="HB71" i="4" s="1"/>
  <c r="HA67" i="4"/>
  <c r="HA71" i="4" s="1"/>
  <c r="GZ67" i="4"/>
  <c r="GZ71" i="4" s="1"/>
  <c r="GZ75" i="4" s="1"/>
  <c r="GZ90" i="4" s="1"/>
  <c r="GZ102" i="4" s="1"/>
  <c r="GY67" i="4"/>
  <c r="GY71" i="4" s="1"/>
  <c r="GY87" i="4" s="1"/>
  <c r="GY91" i="4" s="1"/>
  <c r="GX67" i="4"/>
  <c r="GX71" i="4" s="1"/>
  <c r="GW67" i="4"/>
  <c r="GW71" i="4" s="1"/>
  <c r="GR95" i="4"/>
  <c r="GQ95" i="4"/>
  <c r="GP95" i="4"/>
  <c r="GO95" i="4"/>
  <c r="GN95" i="4"/>
  <c r="GM95" i="4"/>
  <c r="GL95" i="4"/>
  <c r="GK95" i="4"/>
  <c r="GJ95" i="4"/>
  <c r="GI95" i="4"/>
  <c r="GR67" i="4"/>
  <c r="GR71" i="4" s="1"/>
  <c r="GQ67" i="4"/>
  <c r="GQ71" i="4" s="1"/>
  <c r="GP67" i="4"/>
  <c r="GP71" i="4" s="1"/>
  <c r="GO67" i="4"/>
  <c r="GO71" i="4" s="1"/>
  <c r="GO75" i="4" s="1"/>
  <c r="GO90" i="4" s="1"/>
  <c r="GO102" i="4" s="1"/>
  <c r="GN67" i="4"/>
  <c r="GN71" i="4" s="1"/>
  <c r="GM67" i="4"/>
  <c r="GM71" i="4" s="1"/>
  <c r="GL67" i="4"/>
  <c r="GL71" i="4" s="1"/>
  <c r="GK67" i="4"/>
  <c r="GK71" i="4" s="1"/>
  <c r="GK87" i="4" s="1"/>
  <c r="GK91" i="4" s="1"/>
  <c r="GJ67" i="4"/>
  <c r="GJ71" i="4" s="1"/>
  <c r="GI67" i="4"/>
  <c r="GI71" i="4" s="1"/>
  <c r="GD95" i="4"/>
  <c r="GC95" i="4"/>
  <c r="GB95" i="4"/>
  <c r="GA95" i="4"/>
  <c r="FZ95" i="4"/>
  <c r="FY95" i="4"/>
  <c r="FX95" i="4"/>
  <c r="FW95" i="4"/>
  <c r="FV95" i="4"/>
  <c r="FU95" i="4"/>
  <c r="GD67" i="4"/>
  <c r="GD71" i="4" s="1"/>
  <c r="GC67" i="4"/>
  <c r="GC71" i="4" s="1"/>
  <c r="GB67" i="4"/>
  <c r="GB71" i="4" s="1"/>
  <c r="GA67" i="4"/>
  <c r="GA71" i="4" s="1"/>
  <c r="GA75" i="4" s="1"/>
  <c r="GA90" i="4" s="1"/>
  <c r="GA102" i="4" s="1"/>
  <c r="FZ67" i="4"/>
  <c r="FZ71" i="4" s="1"/>
  <c r="FY67" i="4"/>
  <c r="FY71" i="4" s="1"/>
  <c r="FX67" i="4"/>
  <c r="FX71" i="4" s="1"/>
  <c r="FW67" i="4"/>
  <c r="FW71" i="4" s="1"/>
  <c r="FW87" i="4" s="1"/>
  <c r="FW91" i="4" s="1"/>
  <c r="FV67" i="4"/>
  <c r="FV71" i="4" s="1"/>
  <c r="FU67" i="4"/>
  <c r="FU71" i="4" s="1"/>
  <c r="FP95" i="4"/>
  <c r="FO95" i="4"/>
  <c r="FN95" i="4"/>
  <c r="FM95" i="4"/>
  <c r="FL95" i="4"/>
  <c r="FK95" i="4"/>
  <c r="FJ95" i="4"/>
  <c r="FI95" i="4"/>
  <c r="FH95" i="4"/>
  <c r="FG95" i="4"/>
  <c r="FP67" i="4"/>
  <c r="FP71" i="4" s="1"/>
  <c r="FO67" i="4"/>
  <c r="FO71" i="4" s="1"/>
  <c r="FN67" i="4"/>
  <c r="FN71" i="4" s="1"/>
  <c r="FM67" i="4"/>
  <c r="FM71" i="4" s="1"/>
  <c r="FM75" i="4" s="1"/>
  <c r="FM90" i="4" s="1"/>
  <c r="FM102" i="4" s="1"/>
  <c r="FL67" i="4"/>
  <c r="FL71" i="4" s="1"/>
  <c r="FK67" i="4"/>
  <c r="FK71" i="4" s="1"/>
  <c r="FJ67" i="4"/>
  <c r="FJ71" i="4" s="1"/>
  <c r="FI67" i="4"/>
  <c r="FI71" i="4" s="1"/>
  <c r="FI87" i="4" s="1"/>
  <c r="FI91" i="4" s="1"/>
  <c r="FH67" i="4"/>
  <c r="FH71" i="4" s="1"/>
  <c r="FG67" i="4"/>
  <c r="FG71" i="4" s="1"/>
  <c r="FB95" i="4"/>
  <c r="FA95" i="4"/>
  <c r="EZ95" i="4"/>
  <c r="EY95" i="4"/>
  <c r="EX95" i="4"/>
  <c r="EW95" i="4"/>
  <c r="EV95" i="4"/>
  <c r="EU95" i="4"/>
  <c r="ET95" i="4"/>
  <c r="ES95" i="4"/>
  <c r="FB67" i="4"/>
  <c r="FB71" i="4" s="1"/>
  <c r="FA67" i="4"/>
  <c r="FA71" i="4" s="1"/>
  <c r="EZ67" i="4"/>
  <c r="EZ71" i="4" s="1"/>
  <c r="EZ75" i="4" s="1"/>
  <c r="EZ90" i="4" s="1"/>
  <c r="EZ102" i="4" s="1"/>
  <c r="EY67" i="4"/>
  <c r="EY71" i="4" s="1"/>
  <c r="EY87" i="4" s="1"/>
  <c r="EY91" i="4" s="1"/>
  <c r="EX67" i="4"/>
  <c r="EX71" i="4" s="1"/>
  <c r="EW67" i="4"/>
  <c r="EW71" i="4" s="1"/>
  <c r="EV67" i="4"/>
  <c r="EV71" i="4" s="1"/>
  <c r="EV75" i="4" s="1"/>
  <c r="EV90" i="4" s="1"/>
  <c r="EV102" i="4" s="1"/>
  <c r="EU67" i="4"/>
  <c r="EU71" i="4" s="1"/>
  <c r="EU75" i="4" s="1"/>
  <c r="EU90" i="4" s="1"/>
  <c r="EU102" i="4" s="1"/>
  <c r="ET67" i="4"/>
  <c r="ET71" i="4" s="1"/>
  <c r="ES67" i="4"/>
  <c r="ES71" i="4" s="1"/>
  <c r="EN95" i="4"/>
  <c r="EM95" i="4"/>
  <c r="EL95" i="4"/>
  <c r="EK95" i="4"/>
  <c r="EJ95" i="4"/>
  <c r="EI95" i="4"/>
  <c r="EH95" i="4"/>
  <c r="EG95" i="4"/>
  <c r="EF95" i="4"/>
  <c r="EE95" i="4"/>
  <c r="EN67" i="4"/>
  <c r="EN71" i="4" s="1"/>
  <c r="EN75" i="4" s="1"/>
  <c r="EN90" i="4" s="1"/>
  <c r="EN102" i="4" s="1"/>
  <c r="EM67" i="4"/>
  <c r="EM71" i="4" s="1"/>
  <c r="EL67" i="4"/>
  <c r="EL71" i="4" s="1"/>
  <c r="EK67" i="4"/>
  <c r="EK71" i="4" s="1"/>
  <c r="EJ67" i="4"/>
  <c r="EJ71" i="4" s="1"/>
  <c r="EJ87" i="4" s="1"/>
  <c r="EJ91" i="4" s="1"/>
  <c r="EI67" i="4"/>
  <c r="EI71" i="4" s="1"/>
  <c r="EH67" i="4"/>
  <c r="EH71" i="4" s="1"/>
  <c r="EG67" i="4"/>
  <c r="EG71" i="4" s="1"/>
  <c r="EF67" i="4"/>
  <c r="EF71" i="4" s="1"/>
  <c r="EF75" i="4" s="1"/>
  <c r="EF90" i="4" s="1"/>
  <c r="EF102" i="4" s="1"/>
  <c r="EE67" i="4"/>
  <c r="EE71" i="4" s="1"/>
  <c r="EE87" i="4" s="1"/>
  <c r="CC20" i="12"/>
  <c r="CD20" i="12" s="1"/>
  <c r="CE20" i="12" s="1"/>
  <c r="CK13" i="12"/>
  <c r="CB7" i="12" s="1"/>
  <c r="CK11" i="12"/>
  <c r="CB8" i="12" s="1"/>
  <c r="CC5" i="12"/>
  <c r="CD5" i="12" s="1"/>
  <c r="CE5" i="12" s="1"/>
  <c r="BO20" i="12"/>
  <c r="BP20" i="12" s="1"/>
  <c r="BQ20" i="12" s="1"/>
  <c r="BW13" i="12"/>
  <c r="BN7" i="12" s="1"/>
  <c r="BW11" i="12"/>
  <c r="BN21" i="12" s="1"/>
  <c r="BN22" i="12" s="1"/>
  <c r="BO5" i="12"/>
  <c r="BP5" i="12" s="1"/>
  <c r="BQ5" i="12" s="1"/>
  <c r="AZ6" i="12"/>
  <c r="BC5" i="12"/>
  <c r="BI14" i="12"/>
  <c r="AZ5" i="12" s="1"/>
  <c r="AZ15" i="12" s="1"/>
  <c r="BC15" i="12" s="1"/>
  <c r="BA4" i="12"/>
  <c r="BB4" i="12" s="1"/>
  <c r="AM4" i="12"/>
  <c r="AM14" i="12" s="1"/>
  <c r="AF12" i="12"/>
  <c r="X6" i="12" s="1"/>
  <c r="AL6" i="12"/>
  <c r="AU14" i="12"/>
  <c r="AL5" i="12" s="1"/>
  <c r="Y4" i="12"/>
  <c r="Z4" i="12" s="1"/>
  <c r="AA4" i="12" s="1"/>
  <c r="C23" i="1"/>
  <c r="Y14" i="12" s="1"/>
  <c r="Z14" i="12" s="1"/>
  <c r="AA14" i="12" s="1"/>
  <c r="X5" i="12" l="1"/>
  <c r="X15" i="12" s="1"/>
  <c r="AZ7" i="12"/>
  <c r="AZ16" i="12" s="1"/>
  <c r="J259" i="3"/>
  <c r="DH28" i="13" s="1"/>
  <c r="DK28" i="13" s="1"/>
  <c r="DH27" i="13"/>
  <c r="DK27" i="13" s="1"/>
  <c r="J261" i="3"/>
  <c r="DH29" i="13" s="1"/>
  <c r="DK29" i="13" s="1"/>
  <c r="BC175" i="3"/>
  <c r="AC225" i="3"/>
  <c r="AC227" i="3" s="1"/>
  <c r="EJ12" i="13" s="1"/>
  <c r="EM12" i="13" s="1"/>
  <c r="AB219" i="3"/>
  <c r="AB220" i="3" s="1"/>
  <c r="EF5" i="13"/>
  <c r="FZ12" i="13"/>
  <c r="GC12" i="13" s="1"/>
  <c r="FL12" i="13"/>
  <c r="FO12" i="13" s="1"/>
  <c r="EX12" i="13"/>
  <c r="FA12" i="13" s="1"/>
  <c r="GN12" i="13"/>
  <c r="GQ12" i="13" s="1"/>
  <c r="AD219" i="3"/>
  <c r="AD220" i="3" s="1"/>
  <c r="FH5" i="13"/>
  <c r="BF177" i="3"/>
  <c r="FZ7" i="13" s="1"/>
  <c r="GC7" i="13" s="1"/>
  <c r="GC8" i="13" s="1"/>
  <c r="GJ4" i="13"/>
  <c r="GJ10" i="13" s="1"/>
  <c r="FZ9" i="13" s="1"/>
  <c r="BG177" i="3"/>
  <c r="GN7" i="13" s="1"/>
  <c r="GX4" i="13"/>
  <c r="GX10" i="13" s="1"/>
  <c r="GN9" i="13" s="1"/>
  <c r="BE177" i="3"/>
  <c r="FL7" i="13" s="1"/>
  <c r="FO7" i="13" s="1"/>
  <c r="FO8" i="13" s="1"/>
  <c r="FV4" i="13"/>
  <c r="FV10" i="13" s="1"/>
  <c r="FL9" i="13" s="1"/>
  <c r="BD174" i="3"/>
  <c r="BA177" i="3"/>
  <c r="DR4" i="13"/>
  <c r="DR10" i="13" s="1"/>
  <c r="DH9" i="13" s="1"/>
  <c r="AA15" i="12"/>
  <c r="BE184" i="3"/>
  <c r="AE176" i="3"/>
  <c r="BE186" i="3" s="1"/>
  <c r="AC176" i="3"/>
  <c r="BC186" i="3" s="1"/>
  <c r="BC184" i="3"/>
  <c r="BD184" i="3"/>
  <c r="AD176" i="3"/>
  <c r="BD186" i="3" s="1"/>
  <c r="AB176" i="3"/>
  <c r="BB186" i="3" s="1"/>
  <c r="BB184" i="3"/>
  <c r="AF176" i="3"/>
  <c r="BF186" i="3" s="1"/>
  <c r="BF184" i="3"/>
  <c r="AB214" i="3"/>
  <c r="AB215" i="3" s="1"/>
  <c r="BB174" i="3" s="1"/>
  <c r="K250" i="3" s="1"/>
  <c r="K254" i="3" s="1"/>
  <c r="K257" i="3" s="1"/>
  <c r="Z219" i="3"/>
  <c r="Z220" i="3" s="1"/>
  <c r="AZ174" i="3" s="1"/>
  <c r="AA176" i="3"/>
  <c r="BA186" i="3" s="1"/>
  <c r="AG176" i="3"/>
  <c r="BG186" i="3" s="1"/>
  <c r="DD5" i="13"/>
  <c r="BA14" i="12"/>
  <c r="EE75" i="4"/>
  <c r="EE90" i="4" s="1"/>
  <c r="X16" i="12"/>
  <c r="AA6" i="12"/>
  <c r="AL15" i="12"/>
  <c r="AO15" i="12" s="1"/>
  <c r="AL7" i="12"/>
  <c r="AO5" i="12"/>
  <c r="BC4" i="12"/>
  <c r="BB14" i="12"/>
  <c r="BC14" i="12" s="1"/>
  <c r="BC7" i="12"/>
  <c r="BQ21" i="12"/>
  <c r="HK75" i="4"/>
  <c r="HK90" i="4" s="1"/>
  <c r="HK102" i="4" s="1"/>
  <c r="HK87" i="4"/>
  <c r="HK91" i="4" s="1"/>
  <c r="HL87" i="4"/>
  <c r="HL91" i="4" s="1"/>
  <c r="HL75" i="4"/>
  <c r="HL90" i="4" s="1"/>
  <c r="HL102" i="4" s="1"/>
  <c r="HT87" i="4"/>
  <c r="HT91" i="4" s="1"/>
  <c r="HT75" i="4"/>
  <c r="HT90" i="4" s="1"/>
  <c r="HT102" i="4" s="1"/>
  <c r="HM103" i="4"/>
  <c r="HM92" i="4"/>
  <c r="HM104" i="4" s="1"/>
  <c r="HM93" i="4"/>
  <c r="HM105" i="4" s="1"/>
  <c r="HO87" i="4"/>
  <c r="HO91" i="4" s="1"/>
  <c r="HO75" i="4"/>
  <c r="HO90" i="4" s="1"/>
  <c r="HO102" i="4" s="1"/>
  <c r="HS87" i="4"/>
  <c r="HS91" i="4" s="1"/>
  <c r="HS75" i="4"/>
  <c r="HS90" i="4" s="1"/>
  <c r="HS102" i="4" s="1"/>
  <c r="HN75" i="4"/>
  <c r="HN90" i="4" s="1"/>
  <c r="HN87" i="4"/>
  <c r="HN91" i="4" s="1"/>
  <c r="HR75" i="4"/>
  <c r="HR90" i="4" s="1"/>
  <c r="HR87" i="4"/>
  <c r="HR91" i="4" s="1"/>
  <c r="HN102" i="4"/>
  <c r="HR102" i="4"/>
  <c r="HP87" i="4"/>
  <c r="HP91" i="4" s="1"/>
  <c r="HP75" i="4"/>
  <c r="HP90" i="4" s="1"/>
  <c r="HP102" i="4" s="1"/>
  <c r="HQ87" i="4"/>
  <c r="HQ91" i="4" s="1"/>
  <c r="HM75" i="4"/>
  <c r="HM90" i="4" s="1"/>
  <c r="HM102" i="4" s="1"/>
  <c r="HM107" i="4" s="1"/>
  <c r="GW87" i="4"/>
  <c r="GW91" i="4" s="1"/>
  <c r="GW75" i="4"/>
  <c r="GW90" i="4" s="1"/>
  <c r="GW102" i="4" s="1"/>
  <c r="HA75" i="4"/>
  <c r="HA90" i="4" s="1"/>
  <c r="HA87" i="4"/>
  <c r="HA91" i="4" s="1"/>
  <c r="HE87" i="4"/>
  <c r="HE91" i="4" s="1"/>
  <c r="HE75" i="4"/>
  <c r="HE90" i="4" s="1"/>
  <c r="HE102" i="4" s="1"/>
  <c r="GY93" i="4"/>
  <c r="GY105" i="4" s="1"/>
  <c r="GY103" i="4"/>
  <c r="GY92" i="4"/>
  <c r="GY104" i="4" s="1"/>
  <c r="HA102" i="4"/>
  <c r="GX87" i="4"/>
  <c r="GX91" i="4" s="1"/>
  <c r="GX75" i="4"/>
  <c r="GX90" i="4" s="1"/>
  <c r="GX102" i="4" s="1"/>
  <c r="HB87" i="4"/>
  <c r="HB91" i="4" s="1"/>
  <c r="HB75" i="4"/>
  <c r="HB90" i="4" s="1"/>
  <c r="HB102" i="4" s="1"/>
  <c r="HF87" i="4"/>
  <c r="HF91" i="4" s="1"/>
  <c r="HF75" i="4"/>
  <c r="HF90" i="4" s="1"/>
  <c r="HF102" i="4" s="1"/>
  <c r="HC87" i="4"/>
  <c r="HC91" i="4" s="1"/>
  <c r="GZ87" i="4"/>
  <c r="GZ91" i="4" s="1"/>
  <c r="HD87" i="4"/>
  <c r="HD91" i="4" s="1"/>
  <c r="GY75" i="4"/>
  <c r="GY90" i="4" s="1"/>
  <c r="GY102" i="4" s="1"/>
  <c r="GY107" i="4" s="1"/>
  <c r="GL75" i="4"/>
  <c r="GL90" i="4" s="1"/>
  <c r="GL102" i="4" s="1"/>
  <c r="GL87" i="4"/>
  <c r="GL91" i="4" s="1"/>
  <c r="GP75" i="4"/>
  <c r="GP90" i="4" s="1"/>
  <c r="GP102" i="4" s="1"/>
  <c r="GP87" i="4"/>
  <c r="GP91" i="4" s="1"/>
  <c r="GI87" i="4"/>
  <c r="GI91" i="4" s="1"/>
  <c r="GI75" i="4"/>
  <c r="GI90" i="4" s="1"/>
  <c r="GM75" i="4"/>
  <c r="GM90" i="4" s="1"/>
  <c r="GM102" i="4" s="1"/>
  <c r="GM87" i="4"/>
  <c r="GM91" i="4" s="1"/>
  <c r="GQ87" i="4"/>
  <c r="GQ91" i="4" s="1"/>
  <c r="GQ75" i="4"/>
  <c r="GQ90" i="4" s="1"/>
  <c r="GI102" i="4"/>
  <c r="GQ102" i="4"/>
  <c r="GK103" i="4"/>
  <c r="GK92" i="4"/>
  <c r="GK104" i="4" s="1"/>
  <c r="GK93" i="4"/>
  <c r="GK105" i="4" s="1"/>
  <c r="GJ87" i="4"/>
  <c r="GJ91" i="4" s="1"/>
  <c r="GJ75" i="4"/>
  <c r="GJ90" i="4" s="1"/>
  <c r="GN87" i="4"/>
  <c r="GN91" i="4" s="1"/>
  <c r="GN75" i="4"/>
  <c r="GN90" i="4" s="1"/>
  <c r="GR87" i="4"/>
  <c r="GR91" i="4" s="1"/>
  <c r="GR75" i="4"/>
  <c r="GR90" i="4" s="1"/>
  <c r="GJ102" i="4"/>
  <c r="GN102" i="4"/>
  <c r="GR102" i="4"/>
  <c r="GO87" i="4"/>
  <c r="GO91" i="4" s="1"/>
  <c r="GK75" i="4"/>
  <c r="GK90" i="4" s="1"/>
  <c r="GK102" i="4" s="1"/>
  <c r="FW103" i="4"/>
  <c r="FW92" i="4"/>
  <c r="FW104" i="4" s="1"/>
  <c r="FW93" i="4"/>
  <c r="FW105" i="4" s="1"/>
  <c r="FX75" i="4"/>
  <c r="FX90" i="4" s="1"/>
  <c r="FX102" i="4" s="1"/>
  <c r="FX87" i="4"/>
  <c r="FX91" i="4" s="1"/>
  <c r="GB75" i="4"/>
  <c r="GB90" i="4" s="1"/>
  <c r="GB87" i="4"/>
  <c r="GB91" i="4" s="1"/>
  <c r="GB102" i="4"/>
  <c r="FU87" i="4"/>
  <c r="FU91" i="4" s="1"/>
  <c r="FU75" i="4"/>
  <c r="FU90" i="4" s="1"/>
  <c r="FU102" i="4" s="1"/>
  <c r="FY75" i="4"/>
  <c r="FY90" i="4" s="1"/>
  <c r="FY87" i="4"/>
  <c r="FY91" i="4" s="1"/>
  <c r="GC87" i="4"/>
  <c r="GC91" i="4" s="1"/>
  <c r="GC75" i="4"/>
  <c r="GC90" i="4" s="1"/>
  <c r="GC102" i="4" s="1"/>
  <c r="FY102" i="4"/>
  <c r="FV87" i="4"/>
  <c r="FV91" i="4" s="1"/>
  <c r="FV75" i="4"/>
  <c r="FV90" i="4" s="1"/>
  <c r="FV102" i="4" s="1"/>
  <c r="FZ87" i="4"/>
  <c r="FZ91" i="4" s="1"/>
  <c r="FZ75" i="4"/>
  <c r="FZ90" i="4" s="1"/>
  <c r="GD87" i="4"/>
  <c r="GD91" i="4" s="1"/>
  <c r="GD75" i="4"/>
  <c r="GD90" i="4" s="1"/>
  <c r="GD102" i="4" s="1"/>
  <c r="FZ102" i="4"/>
  <c r="GA87" i="4"/>
  <c r="GA91" i="4" s="1"/>
  <c r="FW75" i="4"/>
  <c r="FW90" i="4" s="1"/>
  <c r="FW102" i="4" s="1"/>
  <c r="FI103" i="4"/>
  <c r="FI92" i="4"/>
  <c r="FI104" i="4" s="1"/>
  <c r="FI93" i="4"/>
  <c r="FI105" i="4" s="1"/>
  <c r="FJ75" i="4"/>
  <c r="FJ90" i="4" s="1"/>
  <c r="FJ102" i="4" s="1"/>
  <c r="FJ87" i="4"/>
  <c r="FJ91" i="4" s="1"/>
  <c r="FN75" i="4"/>
  <c r="FN90" i="4" s="1"/>
  <c r="FN102" i="4" s="1"/>
  <c r="FN87" i="4"/>
  <c r="FN91" i="4" s="1"/>
  <c r="FG75" i="4"/>
  <c r="FG90" i="4" s="1"/>
  <c r="FG87" i="4"/>
  <c r="FG91" i="4" s="1"/>
  <c r="FK87" i="4"/>
  <c r="FK91" i="4" s="1"/>
  <c r="FK75" i="4"/>
  <c r="FK90" i="4" s="1"/>
  <c r="FO87" i="4"/>
  <c r="FO91" i="4" s="1"/>
  <c r="FO75" i="4"/>
  <c r="FO90" i="4" s="1"/>
  <c r="FO102" i="4" s="1"/>
  <c r="FG102" i="4"/>
  <c r="FK102" i="4"/>
  <c r="FH87" i="4"/>
  <c r="FH91" i="4" s="1"/>
  <c r="FH75" i="4"/>
  <c r="FH90" i="4" s="1"/>
  <c r="FH102" i="4" s="1"/>
  <c r="FL87" i="4"/>
  <c r="FL91" i="4" s="1"/>
  <c r="FL75" i="4"/>
  <c r="FL90" i="4" s="1"/>
  <c r="FL102" i="4" s="1"/>
  <c r="FP87" i="4"/>
  <c r="FP91" i="4" s="1"/>
  <c r="FP75" i="4"/>
  <c r="FP90" i="4" s="1"/>
  <c r="FP102" i="4" s="1"/>
  <c r="FM87" i="4"/>
  <c r="FM91" i="4" s="1"/>
  <c r="FI75" i="4"/>
  <c r="FI90" i="4" s="1"/>
  <c r="FI102" i="4" s="1"/>
  <c r="ES75" i="4"/>
  <c r="ES90" i="4" s="1"/>
  <c r="ES102" i="4" s="1"/>
  <c r="ES87" i="4"/>
  <c r="ES91" i="4" s="1"/>
  <c r="EW87" i="4"/>
  <c r="EW91" i="4" s="1"/>
  <c r="EW75" i="4"/>
  <c r="EW90" i="4" s="1"/>
  <c r="EW102" i="4" s="1"/>
  <c r="FA75" i="4"/>
  <c r="FA90" i="4" s="1"/>
  <c r="FA102" i="4" s="1"/>
  <c r="FA87" i="4"/>
  <c r="FA91" i="4" s="1"/>
  <c r="EY93" i="4"/>
  <c r="EY105" i="4" s="1"/>
  <c r="EY103" i="4"/>
  <c r="EY92" i="4"/>
  <c r="EY104" i="4" s="1"/>
  <c r="ET87" i="4"/>
  <c r="ET91" i="4" s="1"/>
  <c r="ET75" i="4"/>
  <c r="ET90" i="4" s="1"/>
  <c r="ET102" i="4" s="1"/>
  <c r="EX87" i="4"/>
  <c r="EX91" i="4" s="1"/>
  <c r="EX75" i="4"/>
  <c r="EX90" i="4" s="1"/>
  <c r="EX102" i="4" s="1"/>
  <c r="FB87" i="4"/>
  <c r="FB91" i="4" s="1"/>
  <c r="FB75" i="4"/>
  <c r="FB90" i="4" s="1"/>
  <c r="FB102" i="4"/>
  <c r="EU87" i="4"/>
  <c r="EU91" i="4" s="1"/>
  <c r="EV87" i="4"/>
  <c r="EV91" i="4" s="1"/>
  <c r="EY75" i="4"/>
  <c r="EY90" i="4" s="1"/>
  <c r="EY102" i="4" s="1"/>
  <c r="EZ87" i="4"/>
  <c r="EZ91" i="4" s="1"/>
  <c r="EH75" i="4"/>
  <c r="EH90" i="4" s="1"/>
  <c r="EH87" i="4"/>
  <c r="EH91" i="4" s="1"/>
  <c r="EL87" i="4"/>
  <c r="EL91" i="4" s="1"/>
  <c r="EL75" i="4"/>
  <c r="EL90" i="4" s="1"/>
  <c r="EL102" i="4" s="1"/>
  <c r="EH102" i="4"/>
  <c r="EJ103" i="4"/>
  <c r="EJ92" i="4"/>
  <c r="EJ104" i="4" s="1"/>
  <c r="EJ93" i="4"/>
  <c r="EJ105" i="4" s="1"/>
  <c r="EE91" i="4"/>
  <c r="EE102" i="4"/>
  <c r="EI87" i="4"/>
  <c r="EI91" i="4" s="1"/>
  <c r="EI75" i="4"/>
  <c r="EI90" i="4" s="1"/>
  <c r="EI102" i="4" s="1"/>
  <c r="EM87" i="4"/>
  <c r="EM91" i="4" s="1"/>
  <c r="EM75" i="4"/>
  <c r="EM90" i="4" s="1"/>
  <c r="EM102" i="4" s="1"/>
  <c r="EG75" i="4"/>
  <c r="EG90" i="4" s="1"/>
  <c r="EG102" i="4" s="1"/>
  <c r="EG87" i="4"/>
  <c r="EG91" i="4" s="1"/>
  <c r="EK75" i="4"/>
  <c r="EK90" i="4" s="1"/>
  <c r="EK102" i="4" s="1"/>
  <c r="EK87" i="4"/>
  <c r="EK91" i="4" s="1"/>
  <c r="EN87" i="4"/>
  <c r="EN91" i="4" s="1"/>
  <c r="EF87" i="4"/>
  <c r="EF91" i="4" s="1"/>
  <c r="EJ75" i="4"/>
  <c r="EJ90" i="4" s="1"/>
  <c r="EJ102" i="4" s="1"/>
  <c r="CB6" i="12"/>
  <c r="CB21" i="12" s="1"/>
  <c r="CB22" i="12" s="1"/>
  <c r="BN6" i="12"/>
  <c r="AN4" i="12"/>
  <c r="AA5" i="12" l="1"/>
  <c r="AA8" i="12" s="1"/>
  <c r="V26" i="10" s="1"/>
  <c r="GQ7" i="13"/>
  <c r="K261" i="3"/>
  <c r="DV29" i="13" s="1"/>
  <c r="DY29" i="13" s="1"/>
  <c r="K259" i="3"/>
  <c r="DV28" i="13" s="1"/>
  <c r="DY28" i="13" s="1"/>
  <c r="DV27" i="13"/>
  <c r="DY27" i="13" s="1"/>
  <c r="DH7" i="13"/>
  <c r="DK7" i="13" s="1"/>
  <c r="DK8" i="13" s="1"/>
  <c r="J266" i="3"/>
  <c r="J268" i="3" s="1"/>
  <c r="DK31" i="13"/>
  <c r="ET5" i="13"/>
  <c r="L251" i="3"/>
  <c r="L255" i="3" s="1"/>
  <c r="AC219" i="3"/>
  <c r="AC220" i="3" s="1"/>
  <c r="AC214" i="3"/>
  <c r="AC215" i="3" s="1"/>
  <c r="BC174" i="3" s="1"/>
  <c r="DD4" i="13"/>
  <c r="DD10" i="13" s="1"/>
  <c r="CT9" i="13" s="1"/>
  <c r="I250" i="3"/>
  <c r="I254" i="3" s="1"/>
  <c r="I257" i="3" s="1"/>
  <c r="BB177" i="3"/>
  <c r="EF4" i="13"/>
  <c r="EF10" i="13" s="1"/>
  <c r="DV9" i="13" s="1"/>
  <c r="BD177" i="3"/>
  <c r="EX7" i="13" s="1"/>
  <c r="FA7" i="13" s="1"/>
  <c r="FA8" i="13" s="1"/>
  <c r="FH4" i="13"/>
  <c r="FH10" i="13" s="1"/>
  <c r="EX9" i="13" s="1"/>
  <c r="AZ177" i="3"/>
  <c r="CE6" i="12"/>
  <c r="BN8" i="12"/>
  <c r="BQ6" i="12"/>
  <c r="CE21" i="12"/>
  <c r="AL16" i="12"/>
  <c r="AO7" i="12"/>
  <c r="GK107" i="4"/>
  <c r="HQ103" i="4"/>
  <c r="HQ92" i="4"/>
  <c r="HQ104" i="4" s="1"/>
  <c r="HQ93" i="4"/>
  <c r="HQ105" i="4" s="1"/>
  <c r="HN103" i="4"/>
  <c r="HN92" i="4"/>
  <c r="HN104" i="4" s="1"/>
  <c r="HN93" i="4"/>
  <c r="HN105" i="4" s="1"/>
  <c r="HS93" i="4"/>
  <c r="HS105" i="4" s="1"/>
  <c r="HS103" i="4"/>
  <c r="HS92" i="4"/>
  <c r="HS104" i="4" s="1"/>
  <c r="HL93" i="4"/>
  <c r="HL105" i="4" s="1"/>
  <c r="HL103" i="4"/>
  <c r="HL92" i="4"/>
  <c r="HL104" i="4" s="1"/>
  <c r="HP93" i="4"/>
  <c r="HP105" i="4" s="1"/>
  <c r="HP103" i="4"/>
  <c r="HP92" i="4"/>
  <c r="HP104" i="4" s="1"/>
  <c r="HR103" i="4"/>
  <c r="HR92" i="4"/>
  <c r="HR104" i="4" s="1"/>
  <c r="HR93" i="4"/>
  <c r="HR105" i="4" s="1"/>
  <c r="HO103" i="4"/>
  <c r="HO93" i="4"/>
  <c r="HO105" i="4" s="1"/>
  <c r="HO92" i="4"/>
  <c r="HO104" i="4" s="1"/>
  <c r="HT93" i="4"/>
  <c r="HT105" i="4" s="1"/>
  <c r="HT103" i="4"/>
  <c r="HT92" i="4"/>
  <c r="HT104" i="4" s="1"/>
  <c r="HK92" i="4"/>
  <c r="HK104" i="4" s="1"/>
  <c r="HK93" i="4"/>
  <c r="HK105" i="4" s="1"/>
  <c r="HK103" i="4"/>
  <c r="HD103" i="4"/>
  <c r="HD92" i="4"/>
  <c r="HD104" i="4" s="1"/>
  <c r="HD93" i="4"/>
  <c r="HD105" i="4" s="1"/>
  <c r="HF93" i="4"/>
  <c r="HF105" i="4" s="1"/>
  <c r="HF103" i="4"/>
  <c r="HF92" i="4"/>
  <c r="HF104" i="4" s="1"/>
  <c r="GX93" i="4"/>
  <c r="GX105" i="4" s="1"/>
  <c r="GX103" i="4"/>
  <c r="GX107" i="4" s="1"/>
  <c r="GX92" i="4"/>
  <c r="GX104" i="4" s="1"/>
  <c r="HA92" i="4"/>
  <c r="HA104" i="4" s="1"/>
  <c r="HA93" i="4"/>
  <c r="HA105" i="4" s="1"/>
  <c r="HA103" i="4"/>
  <c r="GZ103" i="4"/>
  <c r="GZ92" i="4"/>
  <c r="GZ104" i="4" s="1"/>
  <c r="GZ93" i="4"/>
  <c r="GZ105" i="4" s="1"/>
  <c r="HC103" i="4"/>
  <c r="HC92" i="4"/>
  <c r="HC104" i="4" s="1"/>
  <c r="HC93" i="4"/>
  <c r="HC105" i="4" s="1"/>
  <c r="HB93" i="4"/>
  <c r="HB105" i="4" s="1"/>
  <c r="HB103" i="4"/>
  <c r="HB92" i="4"/>
  <c r="HB104" i="4" s="1"/>
  <c r="HE103" i="4"/>
  <c r="HE93" i="4"/>
  <c r="HE105" i="4" s="1"/>
  <c r="HE92" i="4"/>
  <c r="HE104" i="4" s="1"/>
  <c r="GW93" i="4"/>
  <c r="GW105" i="4" s="1"/>
  <c r="GW103" i="4"/>
  <c r="GW92" i="4"/>
  <c r="GW104" i="4" s="1"/>
  <c r="GR93" i="4"/>
  <c r="GR105" i="4" s="1"/>
  <c r="GR103" i="4"/>
  <c r="GR92" i="4"/>
  <c r="GR104" i="4" s="1"/>
  <c r="GJ93" i="4"/>
  <c r="GJ105" i="4" s="1"/>
  <c r="GJ103" i="4"/>
  <c r="GJ107" i="4" s="1"/>
  <c r="GJ92" i="4"/>
  <c r="GJ104" i="4" s="1"/>
  <c r="GI103" i="4"/>
  <c r="GI93" i="4"/>
  <c r="GI105" i="4" s="1"/>
  <c r="GI92" i="4"/>
  <c r="GI104" i="4" s="1"/>
  <c r="GM92" i="4"/>
  <c r="GM104" i="4" s="1"/>
  <c r="GM93" i="4"/>
  <c r="GM105" i="4" s="1"/>
  <c r="GM103" i="4"/>
  <c r="GP103" i="4"/>
  <c r="GP92" i="4"/>
  <c r="GP104" i="4" s="1"/>
  <c r="GP93" i="4"/>
  <c r="GP105" i="4" s="1"/>
  <c r="GN93" i="4"/>
  <c r="GN105" i="4" s="1"/>
  <c r="GN103" i="4"/>
  <c r="GN92" i="4"/>
  <c r="GN104" i="4" s="1"/>
  <c r="GQ93" i="4"/>
  <c r="GQ105" i="4" s="1"/>
  <c r="GQ103" i="4"/>
  <c r="GQ92" i="4"/>
  <c r="GQ104" i="4" s="1"/>
  <c r="GO93" i="4"/>
  <c r="GO105" i="4" s="1"/>
  <c r="GO103" i="4"/>
  <c r="GO92" i="4"/>
  <c r="GO104" i="4" s="1"/>
  <c r="GL103" i="4"/>
  <c r="GL92" i="4"/>
  <c r="GL104" i="4" s="1"/>
  <c r="GL93" i="4"/>
  <c r="GL105" i="4" s="1"/>
  <c r="FW107" i="4"/>
  <c r="GD93" i="4"/>
  <c r="GD105" i="4" s="1"/>
  <c r="GD103" i="4"/>
  <c r="GD92" i="4"/>
  <c r="GD104" i="4" s="1"/>
  <c r="GD107" i="4" s="1"/>
  <c r="GC93" i="4"/>
  <c r="GC105" i="4" s="1"/>
  <c r="GC103" i="4"/>
  <c r="GC92" i="4"/>
  <c r="GC104" i="4" s="1"/>
  <c r="FU103" i="4"/>
  <c r="FU92" i="4"/>
  <c r="FU104" i="4" s="1"/>
  <c r="FU93" i="4"/>
  <c r="FU105" i="4" s="1"/>
  <c r="GB103" i="4"/>
  <c r="GB92" i="4"/>
  <c r="GB104" i="4" s="1"/>
  <c r="GB107" i="4" s="1"/>
  <c r="GB93" i="4"/>
  <c r="GB105" i="4" s="1"/>
  <c r="FZ93" i="4"/>
  <c r="FZ105" i="4" s="1"/>
  <c r="FZ103" i="4"/>
  <c r="FZ92" i="4"/>
  <c r="FZ104" i="4" s="1"/>
  <c r="FY93" i="4"/>
  <c r="FY105" i="4" s="1"/>
  <c r="FY92" i="4"/>
  <c r="FY104" i="4" s="1"/>
  <c r="FY103" i="4"/>
  <c r="FV93" i="4"/>
  <c r="FV105" i="4" s="1"/>
  <c r="FV103" i="4"/>
  <c r="FV92" i="4"/>
  <c r="FV104" i="4" s="1"/>
  <c r="GA93" i="4"/>
  <c r="GA105" i="4" s="1"/>
  <c r="GA103" i="4"/>
  <c r="GA92" i="4"/>
  <c r="GA104" i="4" s="1"/>
  <c r="FX103" i="4"/>
  <c r="FX92" i="4"/>
  <c r="FX104" i="4" s="1"/>
  <c r="FX93" i="4"/>
  <c r="FX105" i="4" s="1"/>
  <c r="FH93" i="4"/>
  <c r="FH105" i="4" s="1"/>
  <c r="FH103" i="4"/>
  <c r="FH92" i="4"/>
  <c r="FH104" i="4" s="1"/>
  <c r="FK103" i="4"/>
  <c r="FK107" i="4" s="1"/>
  <c r="FK93" i="4"/>
  <c r="FK105" i="4" s="1"/>
  <c r="FK92" i="4"/>
  <c r="FK104" i="4" s="1"/>
  <c r="FI107" i="4"/>
  <c r="FL93" i="4"/>
  <c r="FL105" i="4" s="1"/>
  <c r="FL103" i="4"/>
  <c r="FL92" i="4"/>
  <c r="FL104" i="4" s="1"/>
  <c r="FG93" i="4"/>
  <c r="FG105" i="4" s="1"/>
  <c r="FG103" i="4"/>
  <c r="FG107" i="4" s="1"/>
  <c r="FG92" i="4"/>
  <c r="FG104" i="4" s="1"/>
  <c r="FP93" i="4"/>
  <c r="FP105" i="4" s="1"/>
  <c r="FP103" i="4"/>
  <c r="FP92" i="4"/>
  <c r="FP104" i="4" s="1"/>
  <c r="FN103" i="4"/>
  <c r="FN92" i="4"/>
  <c r="FN104" i="4" s="1"/>
  <c r="FN93" i="4"/>
  <c r="FN105" i="4" s="1"/>
  <c r="FM93" i="4"/>
  <c r="FM105" i="4" s="1"/>
  <c r="FM103" i="4"/>
  <c r="FM92" i="4"/>
  <c r="FM104" i="4" s="1"/>
  <c r="FO92" i="4"/>
  <c r="FO104" i="4" s="1"/>
  <c r="FO93" i="4"/>
  <c r="FO105" i="4" s="1"/>
  <c r="FO103" i="4"/>
  <c r="FJ103" i="4"/>
  <c r="FJ92" i="4"/>
  <c r="FJ104" i="4" s="1"/>
  <c r="FJ93" i="4"/>
  <c r="FJ105" i="4" s="1"/>
  <c r="EV103" i="4"/>
  <c r="EV92" i="4"/>
  <c r="EV104" i="4" s="1"/>
  <c r="EV93" i="4"/>
  <c r="EV105" i="4" s="1"/>
  <c r="FB93" i="4"/>
  <c r="FB105" i="4" s="1"/>
  <c r="FB92" i="4"/>
  <c r="FB104" i="4" s="1"/>
  <c r="FB103" i="4"/>
  <c r="FA92" i="4"/>
  <c r="FA104" i="4" s="1"/>
  <c r="FA93" i="4"/>
  <c r="FA105" i="4" s="1"/>
  <c r="FA103" i="4"/>
  <c r="EZ103" i="4"/>
  <c r="EZ92" i="4"/>
  <c r="EZ104" i="4" s="1"/>
  <c r="EZ93" i="4"/>
  <c r="EZ105" i="4" s="1"/>
  <c r="EX93" i="4"/>
  <c r="EX105" i="4" s="1"/>
  <c r="EX103" i="4"/>
  <c r="EX92" i="4"/>
  <c r="EX104" i="4" s="1"/>
  <c r="EX107" i="4" s="1"/>
  <c r="EY107" i="4"/>
  <c r="EW103" i="4"/>
  <c r="EW93" i="4"/>
  <c r="EW105" i="4" s="1"/>
  <c r="EW92" i="4"/>
  <c r="EW104" i="4" s="1"/>
  <c r="EW107" i="4" s="1"/>
  <c r="ET93" i="4"/>
  <c r="ET105" i="4" s="1"/>
  <c r="ET103" i="4"/>
  <c r="ET92" i="4"/>
  <c r="ET104" i="4" s="1"/>
  <c r="ES92" i="4"/>
  <c r="ES104" i="4" s="1"/>
  <c r="ES93" i="4"/>
  <c r="ES105" i="4" s="1"/>
  <c r="ES103" i="4"/>
  <c r="EU103" i="4"/>
  <c r="EU92" i="4"/>
  <c r="EU104" i="4" s="1"/>
  <c r="EU93" i="4"/>
  <c r="EU105" i="4" s="1"/>
  <c r="EF103" i="4"/>
  <c r="EF92" i="4"/>
  <c r="EF104" i="4" s="1"/>
  <c r="EF93" i="4"/>
  <c r="EF105" i="4" s="1"/>
  <c r="EG103" i="4"/>
  <c r="EG92" i="4"/>
  <c r="EG104" i="4" s="1"/>
  <c r="EG93" i="4"/>
  <c r="EG105" i="4" s="1"/>
  <c r="EM93" i="4"/>
  <c r="EM105" i="4" s="1"/>
  <c r="EM103" i="4"/>
  <c r="EM107" i="4" s="1"/>
  <c r="EM92" i="4"/>
  <c r="EM104" i="4" s="1"/>
  <c r="EL92" i="4"/>
  <c r="EL104" i="4" s="1"/>
  <c r="EL93" i="4"/>
  <c r="EL105" i="4" s="1"/>
  <c r="EL103" i="4"/>
  <c r="EH93" i="4"/>
  <c r="EH105" i="4" s="1"/>
  <c r="EH103" i="4"/>
  <c r="EH92" i="4"/>
  <c r="EH104" i="4" s="1"/>
  <c r="EN93" i="4"/>
  <c r="EN105" i="4" s="1"/>
  <c r="EN103" i="4"/>
  <c r="EN92" i="4"/>
  <c r="EN104" i="4" s="1"/>
  <c r="EE93" i="4"/>
  <c r="EE105" i="4" s="1"/>
  <c r="EE103" i="4"/>
  <c r="EE107" i="4" s="1"/>
  <c r="EE92" i="4"/>
  <c r="EE104" i="4" s="1"/>
  <c r="EH107" i="4"/>
  <c r="EJ107" i="4"/>
  <c r="EK103" i="4"/>
  <c r="EK107" i="4" s="1"/>
  <c r="EK92" i="4"/>
  <c r="EK104" i="4" s="1"/>
  <c r="EK93" i="4"/>
  <c r="EK105" i="4" s="1"/>
  <c r="EI93" i="4"/>
  <c r="EI105" i="4" s="1"/>
  <c r="EI103" i="4"/>
  <c r="EI107" i="4" s="1"/>
  <c r="EI92" i="4"/>
  <c r="EI104" i="4" s="1"/>
  <c r="AN14" i="12"/>
  <c r="AO14" i="12" s="1"/>
  <c r="AO4" i="12"/>
  <c r="DY31" i="13" l="1"/>
  <c r="GQ8" i="13"/>
  <c r="L250" i="3"/>
  <c r="L254" i="3" s="1"/>
  <c r="L257" i="3" s="1"/>
  <c r="ET4" i="13"/>
  <c r="ET10" i="13" s="1"/>
  <c r="EJ9" i="13" s="1"/>
  <c r="BC177" i="3"/>
  <c r="CT7" i="13"/>
  <c r="CW7" i="13" s="1"/>
  <c r="CW8" i="13" s="1"/>
  <c r="I266" i="3"/>
  <c r="I268" i="3" s="1"/>
  <c r="DV7" i="13"/>
  <c r="DY7" i="13" s="1"/>
  <c r="DY8" i="13" s="1"/>
  <c r="K266" i="3"/>
  <c r="K268" i="3" s="1"/>
  <c r="CT27" i="13"/>
  <c r="CW27" i="13" s="1"/>
  <c r="I259" i="3"/>
  <c r="CT28" i="13" s="1"/>
  <c r="CW28" i="13" s="1"/>
  <c r="I261" i="3"/>
  <c r="CT29" i="13" s="1"/>
  <c r="CW29" i="13" s="1"/>
  <c r="HR107" i="4"/>
  <c r="HN107" i="4"/>
  <c r="HK107" i="4"/>
  <c r="HT107" i="4"/>
  <c r="HL107" i="4"/>
  <c r="HF107" i="4"/>
  <c r="GL107" i="4"/>
  <c r="GP107" i="4"/>
  <c r="GI107" i="4"/>
  <c r="GR107" i="4"/>
  <c r="GQ107" i="4"/>
  <c r="FY107" i="4"/>
  <c r="GC107" i="4"/>
  <c r="FO107" i="4"/>
  <c r="FJ107" i="4"/>
  <c r="FN107" i="4"/>
  <c r="HP107" i="4"/>
  <c r="HS107" i="4"/>
  <c r="HO107" i="4"/>
  <c r="HE107" i="4"/>
  <c r="HA107" i="4"/>
  <c r="HB107" i="4"/>
  <c r="HD107" i="4"/>
  <c r="GW107" i="4"/>
  <c r="GM107" i="4"/>
  <c r="GN107" i="4"/>
  <c r="HQ107" i="4"/>
  <c r="HC107" i="4"/>
  <c r="GZ107" i="4"/>
  <c r="GO107" i="4"/>
  <c r="FZ107" i="4"/>
  <c r="FX107" i="4"/>
  <c r="FV107" i="4"/>
  <c r="FU107" i="4"/>
  <c r="GA107" i="4"/>
  <c r="FP107" i="4"/>
  <c r="FL107" i="4"/>
  <c r="FH107" i="4"/>
  <c r="FM107" i="4"/>
  <c r="EU107" i="4"/>
  <c r="ET107" i="4"/>
  <c r="EZ107" i="4"/>
  <c r="FA107" i="4"/>
  <c r="FB107" i="4"/>
  <c r="ES107" i="4"/>
  <c r="EV107" i="4"/>
  <c r="EL107" i="4"/>
  <c r="EG107" i="4"/>
  <c r="EN107" i="4"/>
  <c r="EF107" i="4"/>
  <c r="CW31" i="13" l="1"/>
  <c r="EJ7" i="13"/>
  <c r="EM7" i="13" s="1"/>
  <c r="EM8" i="13" s="1"/>
  <c r="L266" i="3"/>
  <c r="L268" i="3" s="1"/>
  <c r="EJ27" i="13"/>
  <c r="EM27" i="13" s="1"/>
  <c r="L261" i="3"/>
  <c r="EJ29" i="13" s="1"/>
  <c r="EM29" i="13" s="1"/>
  <c r="L259" i="3"/>
  <c r="EJ28" i="13" s="1"/>
  <c r="EM28" i="13" s="1"/>
  <c r="J12" i="29"/>
  <c r="AA43" i="22"/>
  <c r="AA44" i="22"/>
  <c r="AA45" i="22"/>
  <c r="AA46" i="22"/>
  <c r="AA47" i="22"/>
  <c r="AA48" i="22"/>
  <c r="AA42" i="22"/>
  <c r="V43" i="22"/>
  <c r="V44" i="22"/>
  <c r="V45" i="22"/>
  <c r="V46" i="22"/>
  <c r="V47" i="22"/>
  <c r="V48" i="22"/>
  <c r="V42" i="22"/>
  <c r="T48" i="22"/>
  <c r="S43" i="22"/>
  <c r="S44" i="22"/>
  <c r="S45" i="22"/>
  <c r="S46" i="22"/>
  <c r="S47" i="22"/>
  <c r="S48" i="22"/>
  <c r="S42" i="22"/>
  <c r="Q62" i="22"/>
  <c r="Q63" i="22"/>
  <c r="Q64" i="22"/>
  <c r="Q65" i="22"/>
  <c r="Q66" i="22"/>
  <c r="Q67" i="22"/>
  <c r="Q61" i="22"/>
  <c r="P62" i="22"/>
  <c r="P63" i="22"/>
  <c r="P64" i="22"/>
  <c r="P65" i="22"/>
  <c r="P66" i="22"/>
  <c r="P67" i="22"/>
  <c r="P61" i="22"/>
  <c r="P52" i="22"/>
  <c r="T52" i="22"/>
  <c r="K79" i="22"/>
  <c r="K80" i="22"/>
  <c r="K81" i="22"/>
  <c r="K78" i="22"/>
  <c r="DE190" i="4"/>
  <c r="DE182" i="4"/>
  <c r="G79" i="22"/>
  <c r="G80" i="22"/>
  <c r="G81" i="22"/>
  <c r="G78" i="22"/>
  <c r="F79" i="22"/>
  <c r="F80" i="22"/>
  <c r="F81" i="22"/>
  <c r="F78" i="22"/>
  <c r="U17" i="23"/>
  <c r="T17" i="23"/>
  <c r="G26" i="23"/>
  <c r="G25" i="23"/>
  <c r="G24" i="23"/>
  <c r="G23" i="23"/>
  <c r="G22" i="23"/>
  <c r="G21" i="23"/>
  <c r="G20" i="23"/>
  <c r="F21" i="23"/>
  <c r="F22" i="23"/>
  <c r="F23" i="23"/>
  <c r="F24" i="23"/>
  <c r="F25" i="23"/>
  <c r="F26" i="23"/>
  <c r="F20" i="23"/>
  <c r="T31" i="23"/>
  <c r="U31" i="23"/>
  <c r="T32" i="23"/>
  <c r="U32" i="23"/>
  <c r="T33" i="23"/>
  <c r="U33" i="23"/>
  <c r="T34" i="23"/>
  <c r="U34" i="23"/>
  <c r="T35" i="23"/>
  <c r="U35" i="23"/>
  <c r="T36" i="23"/>
  <c r="U36" i="23"/>
  <c r="T30" i="23"/>
  <c r="U30" i="23"/>
  <c r="U18" i="23"/>
  <c r="U19" i="23"/>
  <c r="U20" i="23"/>
  <c r="U21" i="23"/>
  <c r="U22" i="23"/>
  <c r="U23" i="23"/>
  <c r="T18" i="23"/>
  <c r="T19" i="23"/>
  <c r="T20" i="23"/>
  <c r="T21" i="23"/>
  <c r="T22" i="23"/>
  <c r="T23" i="23"/>
  <c r="E41" i="23"/>
  <c r="F41" i="23"/>
  <c r="G41" i="23"/>
  <c r="H41" i="23"/>
  <c r="I41" i="23"/>
  <c r="J41" i="23"/>
  <c r="D41" i="23"/>
  <c r="U58" i="22"/>
  <c r="Q48" i="22"/>
  <c r="P48" i="22"/>
  <c r="T58" i="22" s="1"/>
  <c r="W58" i="22" s="1"/>
  <c r="P58" i="22"/>
  <c r="T57" i="22"/>
  <c r="L9" i="22"/>
  <c r="I22" i="22"/>
  <c r="Q58" i="22"/>
  <c r="P43" i="22"/>
  <c r="X58" i="22"/>
  <c r="AA58" i="22" s="1"/>
  <c r="P44" i="22"/>
  <c r="P45" i="22"/>
  <c r="P46" i="22"/>
  <c r="P47" i="22"/>
  <c r="P42" i="22"/>
  <c r="P53" i="22"/>
  <c r="T53" i="22" s="1"/>
  <c r="W53" i="22" s="1"/>
  <c r="Z53" i="22" s="1"/>
  <c r="P54" i="22"/>
  <c r="T54" i="22" s="1"/>
  <c r="W54" i="22" s="1"/>
  <c r="Z54" i="22" s="1"/>
  <c r="P55" i="22"/>
  <c r="P56" i="22"/>
  <c r="P57" i="22"/>
  <c r="W57" i="22" s="1"/>
  <c r="Z57" i="22" s="1"/>
  <c r="W52" i="22"/>
  <c r="Z52" i="22" s="1"/>
  <c r="C43" i="22"/>
  <c r="C44" i="22"/>
  <c r="C45" i="22"/>
  <c r="C46" i="22"/>
  <c r="C47" i="22"/>
  <c r="C48" i="22"/>
  <c r="C42" i="22"/>
  <c r="C52" i="16"/>
  <c r="D52" i="16"/>
  <c r="E52" i="16"/>
  <c r="F52" i="16"/>
  <c r="G52" i="16"/>
  <c r="H52" i="16"/>
  <c r="B52" i="16"/>
  <c r="R22" i="22"/>
  <c r="Q22" i="22"/>
  <c r="P22" i="22"/>
  <c r="O22" i="22"/>
  <c r="N22" i="22"/>
  <c r="M22" i="22"/>
  <c r="L22" i="22"/>
  <c r="R21" i="22"/>
  <c r="Q21" i="22"/>
  <c r="P21" i="22"/>
  <c r="O21" i="22"/>
  <c r="N21" i="22"/>
  <c r="M21" i="22"/>
  <c r="L21" i="22"/>
  <c r="R20" i="22"/>
  <c r="Q20" i="22"/>
  <c r="P20" i="22"/>
  <c r="O20" i="22"/>
  <c r="N20" i="22"/>
  <c r="M20" i="22"/>
  <c r="L20" i="22"/>
  <c r="R19" i="22"/>
  <c r="Q19" i="22"/>
  <c r="P19" i="22"/>
  <c r="O19" i="22"/>
  <c r="N19" i="22"/>
  <c r="M19" i="22"/>
  <c r="L19" i="22"/>
  <c r="M9" i="22"/>
  <c r="N9" i="22"/>
  <c r="O9" i="22"/>
  <c r="P9" i="22"/>
  <c r="Q9" i="22"/>
  <c r="R9" i="22"/>
  <c r="EM31" i="13" l="1"/>
  <c r="Z58" i="22"/>
  <c r="T56" i="22"/>
  <c r="W56" i="22" s="1"/>
  <c r="Z56" i="22" s="1"/>
  <c r="T55" i="22"/>
  <c r="W55" i="22" s="1"/>
  <c r="Z55" i="22" s="1"/>
  <c r="D18" i="22" l="1"/>
  <c r="E18" i="22"/>
  <c r="F18" i="22"/>
  <c r="G18" i="22"/>
  <c r="H18" i="22"/>
  <c r="I18" i="22"/>
  <c r="D19" i="22"/>
  <c r="E19" i="22"/>
  <c r="F19" i="22"/>
  <c r="G19" i="22"/>
  <c r="H19" i="22"/>
  <c r="I19" i="22"/>
  <c r="C18" i="22"/>
  <c r="C19" i="22"/>
  <c r="C22" i="22"/>
  <c r="C21" i="22"/>
  <c r="C20" i="22"/>
  <c r="D20" i="22"/>
  <c r="E20" i="22"/>
  <c r="F20" i="22"/>
  <c r="G20" i="22"/>
  <c r="H20" i="22"/>
  <c r="I20" i="22"/>
  <c r="F10" i="14"/>
  <c r="D22" i="22"/>
  <c r="E22" i="22"/>
  <c r="F22" i="22"/>
  <c r="G22" i="22"/>
  <c r="H22" i="22"/>
  <c r="D21" i="22"/>
  <c r="E21" i="22"/>
  <c r="F21" i="22"/>
  <c r="G21" i="22"/>
  <c r="H21" i="22"/>
  <c r="I21" i="22"/>
  <c r="E58" i="20"/>
  <c r="AK78" i="20" s="1"/>
  <c r="E59" i="20"/>
  <c r="E60" i="20"/>
  <c r="E61" i="20"/>
  <c r="E62" i="20"/>
  <c r="E64" i="20"/>
  <c r="E65" i="20"/>
  <c r="E66" i="20"/>
  <c r="E67" i="20"/>
  <c r="E68" i="20"/>
  <c r="E69" i="20"/>
  <c r="E70" i="20"/>
  <c r="E56" i="20"/>
  <c r="AU110" i="13"/>
  <c r="BI110" i="13"/>
  <c r="BH110" i="13"/>
  <c r="L11" i="13"/>
  <c r="E8" i="13" s="1"/>
  <c r="H64" i="20" l="1"/>
  <c r="CY78" i="20"/>
  <c r="H67" i="20"/>
  <c r="EF78" i="20"/>
  <c r="H62" i="20"/>
  <c r="CC78" i="20"/>
  <c r="AK85" i="20"/>
  <c r="AL78" i="20"/>
  <c r="AM78" i="20"/>
  <c r="H59" i="20"/>
  <c r="AV78" i="20"/>
  <c r="H66" i="20"/>
  <c r="DU78" i="20"/>
  <c r="H61" i="20"/>
  <c r="BR78" i="20"/>
  <c r="H68" i="20"/>
  <c r="U17" i="29" s="1"/>
  <c r="EQ78" i="20"/>
  <c r="O78" i="20"/>
  <c r="N62" i="20"/>
  <c r="H56" i="20"/>
  <c r="H70" i="20"/>
  <c r="FM78" i="20"/>
  <c r="H69" i="20"/>
  <c r="FB78" i="20"/>
  <c r="H65" i="20"/>
  <c r="DJ78" i="20"/>
  <c r="H60" i="20"/>
  <c r="BG78" i="20"/>
  <c r="U18" i="29"/>
  <c r="U19" i="29"/>
  <c r="BJ110" i="13"/>
  <c r="Y62" i="20"/>
  <c r="H58" i="20"/>
  <c r="AJ62" i="2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B41" i="16"/>
  <c r="BB18" i="18"/>
  <c r="BB19" i="18"/>
  <c r="BB20" i="18"/>
  <c r="AX7" i="18"/>
  <c r="AX8" i="18"/>
  <c r="AX9" i="18"/>
  <c r="AX10" i="18"/>
  <c r="AX11" i="18"/>
  <c r="AX12" i="18"/>
  <c r="AX13" i="18"/>
  <c r="AX14" i="18"/>
  <c r="AX15" i="18"/>
  <c r="AX16" i="18"/>
  <c r="AX17" i="18"/>
  <c r="AX18" i="18"/>
  <c r="AX19" i="18"/>
  <c r="AX20" i="18"/>
  <c r="AX6" i="18"/>
  <c r="BR85" i="20" l="1"/>
  <c r="BT78" i="20"/>
  <c r="BS78" i="20"/>
  <c r="AV85" i="20"/>
  <c r="AW78" i="20"/>
  <c r="AX78" i="20"/>
  <c r="EH78" i="20"/>
  <c r="EF85" i="20"/>
  <c r="EG78" i="20"/>
  <c r="DK78" i="20"/>
  <c r="DJ85" i="20"/>
  <c r="DL78" i="20"/>
  <c r="FM85" i="20"/>
  <c r="FO78" i="20"/>
  <c r="FN78" i="20"/>
  <c r="P78" i="20"/>
  <c r="Q78" i="20"/>
  <c r="O85" i="20"/>
  <c r="AK92" i="20"/>
  <c r="AL85" i="20"/>
  <c r="AM85" i="20"/>
  <c r="EQ85" i="20"/>
  <c r="ES78" i="20"/>
  <c r="ER78" i="20"/>
  <c r="DU85" i="20"/>
  <c r="DV78" i="20"/>
  <c r="DW78" i="20"/>
  <c r="CE78" i="20"/>
  <c r="CC85" i="20"/>
  <c r="CD78" i="20"/>
  <c r="CY85" i="20"/>
  <c r="DA78" i="20"/>
  <c r="CZ78" i="20"/>
  <c r="BI78" i="20"/>
  <c r="BG85" i="20"/>
  <c r="BH78" i="20"/>
  <c r="FB85" i="20"/>
  <c r="FC78" i="20"/>
  <c r="FD78" i="20"/>
  <c r="AF19" i="29"/>
  <c r="AF40" i="29"/>
  <c r="AF18" i="29"/>
  <c r="AF39" i="29"/>
  <c r="AF38" i="29"/>
  <c r="AF17" i="29"/>
  <c r="F3" i="27"/>
  <c r="O58" i="20"/>
  <c r="O52" i="20"/>
  <c r="O53" i="20"/>
  <c r="O55" i="20"/>
  <c r="O54" i="20"/>
  <c r="O56" i="20"/>
  <c r="O57" i="20"/>
  <c r="Z52" i="20"/>
  <c r="Z54" i="20"/>
  <c r="Z57" i="20"/>
  <c r="Z55" i="20"/>
  <c r="Z56" i="20"/>
  <c r="Z58" i="20"/>
  <c r="Z53" i="20"/>
  <c r="AK57" i="20"/>
  <c r="AK53" i="20"/>
  <c r="AK54" i="20"/>
  <c r="AK52" i="20"/>
  <c r="AK58" i="20"/>
  <c r="AK56" i="20"/>
  <c r="AK55" i="20"/>
  <c r="D184" i="6"/>
  <c r="C204" i="6" s="1"/>
  <c r="D204" i="6" s="1"/>
  <c r="D185" i="6"/>
  <c r="C205" i="6" s="1"/>
  <c r="D205" i="6" s="1"/>
  <c r="D186" i="6"/>
  <c r="C206" i="6" s="1"/>
  <c r="D206" i="6" s="1"/>
  <c r="AE92" i="18"/>
  <c r="AE93" i="18"/>
  <c r="AE94" i="18"/>
  <c r="AE95" i="18"/>
  <c r="AE91" i="18"/>
  <c r="AE86" i="18"/>
  <c r="AE87" i="18"/>
  <c r="AE88" i="18"/>
  <c r="AE89" i="18"/>
  <c r="AE90" i="18"/>
  <c r="AE85" i="18"/>
  <c r="AE80" i="18"/>
  <c r="AE81" i="18"/>
  <c r="AE82" i="18"/>
  <c r="AE83" i="18"/>
  <c r="AE84" i="18"/>
  <c r="AE79" i="18"/>
  <c r="FL155" i="6"/>
  <c r="FA155" i="6"/>
  <c r="EP155" i="6"/>
  <c r="FM25" i="6"/>
  <c r="FB25" i="6"/>
  <c r="FB92" i="20" l="1"/>
  <c r="FD85" i="20"/>
  <c r="FC85" i="20"/>
  <c r="CY92" i="20"/>
  <c r="DA85" i="20"/>
  <c r="CZ85" i="20"/>
  <c r="DU92" i="20"/>
  <c r="DV85" i="20"/>
  <c r="DW85" i="20"/>
  <c r="EQ92" i="20"/>
  <c r="ER85" i="20"/>
  <c r="ES85" i="20"/>
  <c r="Q85" i="20"/>
  <c r="O92" i="20"/>
  <c r="P85" i="20"/>
  <c r="CC92" i="20"/>
  <c r="CD85" i="20"/>
  <c r="CE85" i="20"/>
  <c r="DJ92" i="20"/>
  <c r="DK85" i="20"/>
  <c r="DL85" i="20"/>
  <c r="EF92" i="20"/>
  <c r="EG85" i="20"/>
  <c r="EH85" i="20"/>
  <c r="BG92" i="20"/>
  <c r="BH85" i="20"/>
  <c r="BI85" i="20"/>
  <c r="AK99" i="20"/>
  <c r="AL92" i="20"/>
  <c r="AM92" i="20"/>
  <c r="FM92" i="20"/>
  <c r="FO85" i="20"/>
  <c r="FN85" i="20"/>
  <c r="AV92" i="20"/>
  <c r="AX85" i="20"/>
  <c r="AW85" i="20"/>
  <c r="BR92" i="20"/>
  <c r="BS85" i="20"/>
  <c r="BT85" i="20"/>
  <c r="K42" i="21"/>
  <c r="J42" i="21" s="1"/>
  <c r="K43" i="21"/>
  <c r="J43" i="21" s="1"/>
  <c r="K44" i="21"/>
  <c r="J44" i="21" s="1"/>
  <c r="K45" i="21"/>
  <c r="J45" i="21" s="1"/>
  <c r="K46" i="21"/>
  <c r="J46" i="21" s="1"/>
  <c r="K47" i="21"/>
  <c r="J47" i="21" s="1"/>
  <c r="K48" i="21"/>
  <c r="J48" i="21" s="1"/>
  <c r="K49" i="21"/>
  <c r="J49" i="21" s="1"/>
  <c r="K50" i="21"/>
  <c r="J50" i="21" s="1"/>
  <c r="K51" i="21"/>
  <c r="J51" i="21" s="1"/>
  <c r="K52" i="21"/>
  <c r="J52" i="21" s="1"/>
  <c r="K53" i="21"/>
  <c r="J53" i="21" s="1"/>
  <c r="K54" i="21"/>
  <c r="J54" i="21" s="1"/>
  <c r="J41" i="21"/>
  <c r="K41" i="21"/>
  <c r="AU23" i="21"/>
  <c r="AN24" i="21"/>
  <c r="AN25" i="21"/>
  <c r="AN26" i="21"/>
  <c r="AN27" i="21"/>
  <c r="AN28" i="21"/>
  <c r="AN29" i="21"/>
  <c r="AN30" i="21"/>
  <c r="AN31" i="21"/>
  <c r="AN32" i="21"/>
  <c r="AN33" i="21"/>
  <c r="AN34" i="21"/>
  <c r="AN35" i="21"/>
  <c r="AN36" i="21"/>
  <c r="AN23" i="21"/>
  <c r="AF75" i="21"/>
  <c r="C47" i="1"/>
  <c r="AW92" i="20" l="1"/>
  <c r="AX92" i="20"/>
  <c r="AV99" i="20"/>
  <c r="AL99" i="20"/>
  <c r="AL103" i="20" s="1"/>
  <c r="AM99" i="20"/>
  <c r="AM103" i="20" s="1"/>
  <c r="BG99" i="20"/>
  <c r="BI92" i="20"/>
  <c r="BH92" i="20"/>
  <c r="CZ92" i="20"/>
  <c r="DA92" i="20"/>
  <c r="CY99" i="20"/>
  <c r="BR99" i="20"/>
  <c r="BT92" i="20"/>
  <c r="BS92" i="20"/>
  <c r="FO92" i="20"/>
  <c r="FM99" i="20"/>
  <c r="FN92" i="20"/>
  <c r="DU99" i="20"/>
  <c r="DU103" i="20" s="1"/>
  <c r="DW92" i="20"/>
  <c r="DV92" i="20"/>
  <c r="AK103" i="20"/>
  <c r="P92" i="20"/>
  <c r="O99" i="20"/>
  <c r="Q92" i="20"/>
  <c r="EQ99" i="20"/>
  <c r="ES92" i="20"/>
  <c r="ER92" i="20"/>
  <c r="EQ103" i="20"/>
  <c r="FM103" i="20"/>
  <c r="DJ99" i="20"/>
  <c r="DL92" i="20"/>
  <c r="DK92" i="20"/>
  <c r="CE92" i="20"/>
  <c r="CC99" i="20"/>
  <c r="CD92" i="20"/>
  <c r="FD92" i="20"/>
  <c r="FB99" i="20"/>
  <c r="FC92" i="20"/>
  <c r="EF99" i="20"/>
  <c r="EG92" i="20"/>
  <c r="EH92" i="20"/>
  <c r="CU19" i="13"/>
  <c r="CV19" i="13" s="1"/>
  <c r="CW19" i="13" s="1"/>
  <c r="DI19" i="13"/>
  <c r="DJ19" i="13" s="1"/>
  <c r="DK19" i="13" s="1"/>
  <c r="EG8" i="12"/>
  <c r="EH8" i="12" s="1"/>
  <c r="EI8" i="12" s="1"/>
  <c r="DE8" i="12"/>
  <c r="DF8" i="12" s="1"/>
  <c r="DG8" i="12" s="1"/>
  <c r="FW8" i="12"/>
  <c r="FX8" i="12" s="1"/>
  <c r="FY8" i="12" s="1"/>
  <c r="CQ8" i="12"/>
  <c r="CR8" i="12" s="1"/>
  <c r="CS8" i="12" s="1"/>
  <c r="BO8" i="12"/>
  <c r="BQ8" i="12" s="1"/>
  <c r="CC8" i="12"/>
  <c r="CE8" i="12" s="1"/>
  <c r="K9" i="5"/>
  <c r="L9" i="5" s="1"/>
  <c r="K24" i="21"/>
  <c r="J24" i="21" s="1"/>
  <c r="K25" i="21"/>
  <c r="J25" i="21" s="1"/>
  <c r="L25" i="21" s="1"/>
  <c r="K26" i="21"/>
  <c r="J26" i="21" s="1"/>
  <c r="L26" i="21" s="1"/>
  <c r="K27" i="21"/>
  <c r="J27" i="21" s="1"/>
  <c r="L27" i="21" s="1"/>
  <c r="K28" i="21"/>
  <c r="J28" i="21" s="1"/>
  <c r="L28" i="21" s="1"/>
  <c r="K29" i="21"/>
  <c r="J29" i="21" s="1"/>
  <c r="L29" i="21" s="1"/>
  <c r="K30" i="21"/>
  <c r="J30" i="21" s="1"/>
  <c r="L30" i="21" s="1"/>
  <c r="K31" i="21"/>
  <c r="J31" i="21" s="1"/>
  <c r="L31" i="21" s="1"/>
  <c r="K32" i="21"/>
  <c r="J32" i="21" s="1"/>
  <c r="L32" i="21" s="1"/>
  <c r="K33" i="21"/>
  <c r="J33" i="21" s="1"/>
  <c r="L33" i="21" s="1"/>
  <c r="K34" i="21"/>
  <c r="J34" i="21" s="1"/>
  <c r="L34" i="21" s="1"/>
  <c r="K35" i="21"/>
  <c r="J35" i="21" s="1"/>
  <c r="L35" i="21" s="1"/>
  <c r="K36" i="21"/>
  <c r="J36" i="21" s="1"/>
  <c r="L36" i="21" s="1"/>
  <c r="K23" i="21"/>
  <c r="J23" i="21"/>
  <c r="AC23" i="21"/>
  <c r="FO23" i="20"/>
  <c r="FN23" i="20"/>
  <c r="FO16" i="20"/>
  <c r="FO15" i="20"/>
  <c r="FO14" i="20"/>
  <c r="FD23" i="20"/>
  <c r="FC23" i="20"/>
  <c r="FD16" i="20"/>
  <c r="FD15" i="20"/>
  <c r="FD14" i="20"/>
  <c r="ES23" i="20"/>
  <c r="ER23" i="20"/>
  <c r="ES16" i="20"/>
  <c r="ES15" i="20"/>
  <c r="ES14" i="20"/>
  <c r="EH23" i="20"/>
  <c r="EG23" i="20"/>
  <c r="EH16" i="20"/>
  <c r="EH15" i="20"/>
  <c r="EH14" i="20"/>
  <c r="DW23" i="20"/>
  <c r="DV23" i="20"/>
  <c r="DW16" i="20"/>
  <c r="DW15" i="20"/>
  <c r="DW14" i="20"/>
  <c r="DL23" i="20"/>
  <c r="DK23" i="20"/>
  <c r="DL16" i="20"/>
  <c r="DL15" i="20"/>
  <c r="DL14" i="20"/>
  <c r="DA23" i="20"/>
  <c r="CZ23" i="20"/>
  <c r="DA16" i="20"/>
  <c r="DA15" i="20"/>
  <c r="DA14" i="20"/>
  <c r="CE23" i="20"/>
  <c r="CD23" i="20"/>
  <c r="CE16" i="20"/>
  <c r="CE15" i="20"/>
  <c r="CE14" i="20"/>
  <c r="BT23" i="20"/>
  <c r="BS23" i="20"/>
  <c r="BT16" i="20"/>
  <c r="BT15" i="20"/>
  <c r="BT14" i="20"/>
  <c r="BI23" i="20"/>
  <c r="BH23" i="20"/>
  <c r="BI16" i="20"/>
  <c r="BI15" i="20"/>
  <c r="BI14" i="20"/>
  <c r="AX23" i="20"/>
  <c r="AW23" i="20"/>
  <c r="AX16" i="20"/>
  <c r="AX15" i="20"/>
  <c r="AX14" i="20"/>
  <c r="AM23" i="20"/>
  <c r="AL23" i="20"/>
  <c r="AM16" i="20"/>
  <c r="AM15" i="20"/>
  <c r="AM14" i="20"/>
  <c r="AB23" i="20"/>
  <c r="AA23" i="20"/>
  <c r="AB16" i="20"/>
  <c r="AB15" i="20"/>
  <c r="AB14" i="20"/>
  <c r="C15" i="11"/>
  <c r="Q16" i="20"/>
  <c r="Q15" i="20"/>
  <c r="Q14" i="20"/>
  <c r="Q23" i="20"/>
  <c r="P23" i="20"/>
  <c r="A11" i="20"/>
  <c r="B11" i="20"/>
  <c r="C11" i="20"/>
  <c r="D11" i="20"/>
  <c r="E11" i="20"/>
  <c r="F11" i="20"/>
  <c r="EP14" i="20" s="1"/>
  <c r="G11" i="20"/>
  <c r="EP15" i="20" s="1"/>
  <c r="H11" i="20"/>
  <c r="EP16" i="20" s="1"/>
  <c r="I11" i="20"/>
  <c r="J11" i="20"/>
  <c r="K11" i="20"/>
  <c r="FL23" i="20" s="1"/>
  <c r="A12" i="20"/>
  <c r="C12" i="20"/>
  <c r="D12" i="20"/>
  <c r="E12" i="20"/>
  <c r="G12" i="20"/>
  <c r="O15" i="20" s="1"/>
  <c r="H12" i="20"/>
  <c r="O16" i="20" s="1"/>
  <c r="A13" i="20"/>
  <c r="C13" i="20"/>
  <c r="D13" i="20"/>
  <c r="E13" i="20"/>
  <c r="A14" i="20"/>
  <c r="C14" i="20"/>
  <c r="D14" i="20"/>
  <c r="E14" i="20"/>
  <c r="A15" i="20"/>
  <c r="C15" i="20"/>
  <c r="D15" i="20"/>
  <c r="E15" i="20"/>
  <c r="A16" i="20"/>
  <c r="C16" i="20"/>
  <c r="D16" i="20"/>
  <c r="E16" i="20"/>
  <c r="A17" i="20"/>
  <c r="C17" i="20"/>
  <c r="D17" i="20"/>
  <c r="E17" i="20"/>
  <c r="A18" i="20"/>
  <c r="C18" i="20"/>
  <c r="D18" i="20"/>
  <c r="E18" i="20"/>
  <c r="A19" i="20"/>
  <c r="C19" i="20"/>
  <c r="D19" i="20"/>
  <c r="E19" i="20"/>
  <c r="A20" i="20"/>
  <c r="C20" i="20"/>
  <c r="D20" i="20"/>
  <c r="E20" i="20"/>
  <c r="A21" i="20"/>
  <c r="C21" i="20"/>
  <c r="D21" i="20"/>
  <c r="E21" i="20"/>
  <c r="A22" i="20"/>
  <c r="C22" i="20"/>
  <c r="D22" i="20"/>
  <c r="E22" i="20"/>
  <c r="A23" i="20"/>
  <c r="C23" i="20"/>
  <c r="D23" i="20"/>
  <c r="E23" i="20"/>
  <c r="A24" i="20"/>
  <c r="C24" i="20"/>
  <c r="D24" i="20"/>
  <c r="E24" i="20"/>
  <c r="A25" i="20"/>
  <c r="C25" i="20"/>
  <c r="D25" i="20"/>
  <c r="E25" i="20"/>
  <c r="AH97" i="21"/>
  <c r="AH75" i="21"/>
  <c r="AG75" i="21"/>
  <c r="J91" i="21"/>
  <c r="J89" i="21"/>
  <c r="AX41" i="21"/>
  <c r="AZ41" i="21" s="1"/>
  <c r="AR41" i="21"/>
  <c r="AT23" i="21"/>
  <c r="AR24" i="21"/>
  <c r="AX23" i="21"/>
  <c r="AZ23" i="21" s="1"/>
  <c r="AR23" i="21"/>
  <c r="AC54" i="21"/>
  <c r="AC53" i="21"/>
  <c r="AC52" i="21"/>
  <c r="AC51" i="21"/>
  <c r="AC50" i="21"/>
  <c r="AC49" i="21"/>
  <c r="AC48" i="21"/>
  <c r="AC47" i="21"/>
  <c r="AC46" i="21"/>
  <c r="AC45" i="21"/>
  <c r="AS45" i="21" s="1"/>
  <c r="AC44" i="21"/>
  <c r="AC43" i="21"/>
  <c r="AC42" i="21"/>
  <c r="AC41" i="21"/>
  <c r="K63" i="21" s="1"/>
  <c r="AC24" i="21"/>
  <c r="AC25" i="21"/>
  <c r="K62" i="21" s="1"/>
  <c r="AC26" i="21"/>
  <c r="AC27" i="21"/>
  <c r="AC28" i="21"/>
  <c r="AC29" i="21"/>
  <c r="AC30" i="21"/>
  <c r="AC31" i="21"/>
  <c r="AC32" i="21"/>
  <c r="AC33" i="21"/>
  <c r="AC34" i="21"/>
  <c r="AC35" i="21"/>
  <c r="AC36" i="21"/>
  <c r="AR19" i="21"/>
  <c r="AS30" i="21" s="1"/>
  <c r="AR20" i="21"/>
  <c r="AN18" i="21"/>
  <c r="AR18" i="21" s="1"/>
  <c r="AI20" i="21"/>
  <c r="C23" i="21"/>
  <c r="M23" i="21" s="1"/>
  <c r="DT23" i="20" l="1"/>
  <c r="EG99" i="20"/>
  <c r="EG103" i="20" s="1"/>
  <c r="EH99" i="20"/>
  <c r="FD99" i="20"/>
  <c r="FD103" i="20" s="1"/>
  <c r="FC99" i="20"/>
  <c r="FC103" i="20" s="1"/>
  <c r="DK99" i="20"/>
  <c r="DK103" i="20" s="1"/>
  <c r="DL99" i="20"/>
  <c r="DL103" i="20" s="1"/>
  <c r="Q99" i="20"/>
  <c r="Q103" i="20" s="1"/>
  <c r="P99" i="20"/>
  <c r="P103" i="20" s="1"/>
  <c r="BH99" i="20"/>
  <c r="BH103" i="20" s="1"/>
  <c r="BI99" i="20"/>
  <c r="BI103" i="20" s="1"/>
  <c r="AW99" i="20"/>
  <c r="AW103" i="20" s="1"/>
  <c r="AX99" i="20"/>
  <c r="AX103" i="20" s="1"/>
  <c r="AJ23" i="20"/>
  <c r="BF14" i="20"/>
  <c r="CB15" i="20"/>
  <c r="EF103" i="20"/>
  <c r="AV103" i="20"/>
  <c r="DJ103" i="20"/>
  <c r="ES99" i="20"/>
  <c r="ES103" i="20" s="1"/>
  <c r="ER99" i="20"/>
  <c r="ER103" i="20" s="1"/>
  <c r="FO99" i="20"/>
  <c r="FO103" i="20" s="1"/>
  <c r="FN99" i="20"/>
  <c r="FN103" i="20" s="1"/>
  <c r="BS99" i="20"/>
  <c r="BS103" i="20" s="1"/>
  <c r="BT99" i="20"/>
  <c r="BT103" i="20" s="1"/>
  <c r="BR103" i="20"/>
  <c r="CC103" i="20"/>
  <c r="CD99" i="20"/>
  <c r="CD103" i="20" s="1"/>
  <c r="CE99" i="20"/>
  <c r="CE103" i="20" s="1"/>
  <c r="DV99" i="20"/>
  <c r="DV103" i="20" s="1"/>
  <c r="DW99" i="20"/>
  <c r="DW103" i="20" s="1"/>
  <c r="CZ99" i="20"/>
  <c r="CZ103" i="20" s="1"/>
  <c r="DA99" i="20"/>
  <c r="DA103" i="20" s="1"/>
  <c r="DI23" i="20"/>
  <c r="FA15" i="20"/>
  <c r="EH103" i="20"/>
  <c r="FB103" i="20"/>
  <c r="O103" i="20"/>
  <c r="BG103" i="20"/>
  <c r="CY103" i="20"/>
  <c r="Y15" i="20"/>
  <c r="EE23" i="20"/>
  <c r="Y23" i="20"/>
  <c r="BQ15" i="20"/>
  <c r="BF15" i="20"/>
  <c r="CB23" i="20"/>
  <c r="DI14" i="20"/>
  <c r="EE15" i="20"/>
  <c r="N15" i="20"/>
  <c r="BQ23" i="20"/>
  <c r="DT15" i="20"/>
  <c r="N23" i="20"/>
  <c r="AJ15" i="20"/>
  <c r="BF23" i="20"/>
  <c r="DI15" i="20"/>
  <c r="FL15" i="20"/>
  <c r="R16" i="20"/>
  <c r="FA16" i="20"/>
  <c r="BF16" i="20"/>
  <c r="DI16" i="20"/>
  <c r="FA14" i="20"/>
  <c r="N14" i="20"/>
  <c r="Y14" i="20"/>
  <c r="Y16" i="20"/>
  <c r="AU15" i="20"/>
  <c r="AU23" i="20"/>
  <c r="BQ14" i="20"/>
  <c r="BQ16" i="20"/>
  <c r="CX15" i="20"/>
  <c r="CX23" i="20"/>
  <c r="DT14" i="20"/>
  <c r="DT16" i="20"/>
  <c r="EP23" i="20"/>
  <c r="FL14" i="20"/>
  <c r="FL16" i="20"/>
  <c r="N16" i="20"/>
  <c r="AJ14" i="20"/>
  <c r="AJ16" i="20"/>
  <c r="CB14" i="20"/>
  <c r="CB16" i="20"/>
  <c r="EE14" i="20"/>
  <c r="EE16" i="20"/>
  <c r="FA23" i="20"/>
  <c r="R15" i="20"/>
  <c r="AU14" i="20"/>
  <c r="AU16" i="20"/>
  <c r="CX14" i="20"/>
  <c r="CX16" i="20"/>
  <c r="AD24" i="21"/>
  <c r="L24" i="21"/>
  <c r="AS23" i="21"/>
  <c r="AS43" i="21"/>
  <c r="AS47" i="21"/>
  <c r="AS51" i="21"/>
  <c r="AS44" i="21"/>
  <c r="AS48" i="21"/>
  <c r="AS52" i="21"/>
  <c r="AS49" i="21"/>
  <c r="AS53" i="21"/>
  <c r="AS42" i="21"/>
  <c r="AS46" i="21"/>
  <c r="AS50" i="21"/>
  <c r="AS54" i="21"/>
  <c r="K61" i="21"/>
  <c r="AS33" i="21"/>
  <c r="AS36" i="21"/>
  <c r="AS32" i="21"/>
  <c r="AS28" i="21"/>
  <c r="AS24" i="21"/>
  <c r="AS29" i="21"/>
  <c r="AS25" i="21"/>
  <c r="AS41" i="21"/>
  <c r="AS35" i="21"/>
  <c r="AS27" i="21"/>
  <c r="AS26" i="21"/>
  <c r="AS31" i="21"/>
  <c r="AS34" i="21"/>
  <c r="M41" i="21"/>
  <c r="E23" i="21" l="1"/>
  <c r="C30" i="21"/>
  <c r="D30" i="21" s="1"/>
  <c r="AD30" i="21" s="1"/>
  <c r="C31" i="21"/>
  <c r="C32" i="21"/>
  <c r="C33" i="21"/>
  <c r="C34" i="21"/>
  <c r="C35" i="21"/>
  <c r="C36" i="21"/>
  <c r="D36" i="21" s="1"/>
  <c r="C24" i="21"/>
  <c r="C25" i="21"/>
  <c r="C26" i="21"/>
  <c r="C27" i="21"/>
  <c r="C28" i="21"/>
  <c r="C29" i="21"/>
  <c r="F23" i="21"/>
  <c r="D23" i="21"/>
  <c r="I105" i="15"/>
  <c r="I106" i="15"/>
  <c r="I107" i="15"/>
  <c r="I108" i="15"/>
  <c r="I109" i="15"/>
  <c r="I110" i="15"/>
  <c r="I111" i="15"/>
  <c r="K88" i="15"/>
  <c r="I104" i="15"/>
  <c r="I103" i="15"/>
  <c r="I102" i="15"/>
  <c r="I101" i="15"/>
  <c r="I100" i="15"/>
  <c r="I99" i="15"/>
  <c r="I98" i="15"/>
  <c r="I68" i="15"/>
  <c r="J6" i="19"/>
  <c r="J7" i="19"/>
  <c r="J5" i="19"/>
  <c r="EE155" i="6"/>
  <c r="DT155" i="6"/>
  <c r="DI155" i="6"/>
  <c r="CX155" i="6"/>
  <c r="CM155" i="6"/>
  <c r="CB155" i="6"/>
  <c r="BQ155" i="6"/>
  <c r="BF155" i="6"/>
  <c r="AU155" i="6"/>
  <c r="AJ155" i="6"/>
  <c r="Y155" i="6"/>
  <c r="M155" i="6"/>
  <c r="C182" i="6"/>
  <c r="D182" i="6" s="1"/>
  <c r="C183" i="6"/>
  <c r="D183" i="6" s="1"/>
  <c r="C181" i="6"/>
  <c r="D181" i="6" s="1"/>
  <c r="C201" i="6" s="1"/>
  <c r="D201" i="6" s="1"/>
  <c r="C180" i="6"/>
  <c r="D180" i="6" s="1"/>
  <c r="C179" i="6"/>
  <c r="D179" i="6" s="1"/>
  <c r="C175" i="6"/>
  <c r="D175" i="6" s="1"/>
  <c r="C176" i="6"/>
  <c r="D176" i="6" s="1"/>
  <c r="C177" i="6"/>
  <c r="D177" i="6" s="1"/>
  <c r="C178" i="6"/>
  <c r="D178" i="6" s="1"/>
  <c r="C174" i="6"/>
  <c r="D174" i="6" s="1"/>
  <c r="C172" i="6"/>
  <c r="D172" i="6" s="1"/>
  <c r="C173" i="6"/>
  <c r="D173" i="6" s="1"/>
  <c r="C150" i="6"/>
  <c r="C151" i="6" s="1"/>
  <c r="Z159" i="6" s="1"/>
  <c r="CI122" i="13"/>
  <c r="CI121" i="13"/>
  <c r="CI120" i="13"/>
  <c r="CI119" i="13"/>
  <c r="CG119" i="13"/>
  <c r="P96" i="18"/>
  <c r="L96" i="18"/>
  <c r="P95" i="18"/>
  <c r="L95" i="18"/>
  <c r="P94" i="18"/>
  <c r="L94" i="18"/>
  <c r="P93" i="18"/>
  <c r="L93" i="18"/>
  <c r="P92" i="18"/>
  <c r="L92" i="18"/>
  <c r="P91" i="18"/>
  <c r="L91" i="18"/>
  <c r="P90" i="18"/>
  <c r="L90" i="18"/>
  <c r="P89" i="18"/>
  <c r="L89" i="18"/>
  <c r="P88" i="18"/>
  <c r="L88" i="18"/>
  <c r="P87" i="18"/>
  <c r="L87" i="18"/>
  <c r="P86" i="18"/>
  <c r="L86" i="18"/>
  <c r="P85" i="18"/>
  <c r="L85" i="18"/>
  <c r="P84" i="18"/>
  <c r="L84" i="18"/>
  <c r="P83" i="18"/>
  <c r="L83" i="18"/>
  <c r="P82" i="18"/>
  <c r="L82" i="18"/>
  <c r="P81" i="18"/>
  <c r="L81" i="18"/>
  <c r="P80" i="18"/>
  <c r="L80" i="18"/>
  <c r="P79" i="18"/>
  <c r="L79" i="18"/>
  <c r="P78" i="18"/>
  <c r="L78" i="18"/>
  <c r="P77" i="18"/>
  <c r="L77" i="18"/>
  <c r="P76" i="18"/>
  <c r="L76" i="18"/>
  <c r="P75" i="18"/>
  <c r="L75" i="18"/>
  <c r="P74" i="18"/>
  <c r="L74" i="18"/>
  <c r="P73" i="18"/>
  <c r="L73" i="18"/>
  <c r="P72" i="18"/>
  <c r="L72" i="18"/>
  <c r="P71" i="18"/>
  <c r="L71" i="18"/>
  <c r="P70" i="18"/>
  <c r="L70" i="18"/>
  <c r="P69" i="18"/>
  <c r="L69" i="18"/>
  <c r="P68" i="18"/>
  <c r="L68" i="18"/>
  <c r="P67" i="18"/>
  <c r="L67" i="18"/>
  <c r="P66" i="18"/>
  <c r="L66" i="18"/>
  <c r="P65" i="18"/>
  <c r="L65" i="18"/>
  <c r="P64" i="18"/>
  <c r="L64" i="18"/>
  <c r="P63" i="18"/>
  <c r="L63" i="18"/>
  <c r="P62" i="18"/>
  <c r="L62" i="18"/>
  <c r="P61" i="18"/>
  <c r="L61" i="18"/>
  <c r="P60" i="18"/>
  <c r="L60" i="18"/>
  <c r="P59" i="18"/>
  <c r="L59" i="18"/>
  <c r="P58" i="18"/>
  <c r="L58" i="18"/>
  <c r="P57" i="18"/>
  <c r="L57" i="18"/>
  <c r="P56" i="18"/>
  <c r="L56" i="18"/>
  <c r="P55" i="18"/>
  <c r="L55" i="18"/>
  <c r="P54" i="18"/>
  <c r="L54" i="18"/>
  <c r="P53" i="18"/>
  <c r="L53" i="18"/>
  <c r="P52" i="18"/>
  <c r="L52" i="18"/>
  <c r="P51" i="18"/>
  <c r="L51" i="18"/>
  <c r="P50" i="18"/>
  <c r="L50" i="18"/>
  <c r="P49" i="18"/>
  <c r="L49" i="18"/>
  <c r="P48" i="18"/>
  <c r="L48" i="18"/>
  <c r="P47" i="18"/>
  <c r="L47" i="18"/>
  <c r="P46" i="18"/>
  <c r="L46" i="18"/>
  <c r="P45" i="18"/>
  <c r="L45" i="18"/>
  <c r="P44" i="18"/>
  <c r="L44" i="18"/>
  <c r="P43" i="18"/>
  <c r="L43" i="18"/>
  <c r="P42" i="18"/>
  <c r="L42" i="18"/>
  <c r="P41" i="18"/>
  <c r="L41" i="18"/>
  <c r="P40" i="18"/>
  <c r="L40" i="18"/>
  <c r="P39" i="18"/>
  <c r="L39" i="18"/>
  <c r="P38" i="18"/>
  <c r="L38" i="18"/>
  <c r="P37" i="18"/>
  <c r="L37" i="18"/>
  <c r="P36" i="18"/>
  <c r="L36" i="18"/>
  <c r="P35" i="18"/>
  <c r="L35" i="18"/>
  <c r="P34" i="18"/>
  <c r="L34" i="18"/>
  <c r="P33" i="18"/>
  <c r="L33" i="18"/>
  <c r="P32" i="18"/>
  <c r="L32" i="18"/>
  <c r="P31" i="18"/>
  <c r="L31" i="18"/>
  <c r="P30" i="18"/>
  <c r="L30" i="18"/>
  <c r="P29" i="18"/>
  <c r="L29" i="18"/>
  <c r="P28" i="18"/>
  <c r="L28" i="18"/>
  <c r="P27" i="18"/>
  <c r="L27" i="18"/>
  <c r="P26" i="18"/>
  <c r="L26" i="18"/>
  <c r="P25" i="18"/>
  <c r="L25" i="18"/>
  <c r="P24" i="18"/>
  <c r="L24" i="18"/>
  <c r="P23" i="18"/>
  <c r="L23" i="18"/>
  <c r="P22" i="18"/>
  <c r="L22" i="18"/>
  <c r="P21" i="18"/>
  <c r="L21" i="18"/>
  <c r="P20" i="18"/>
  <c r="L20" i="18"/>
  <c r="P19" i="18"/>
  <c r="L19" i="18"/>
  <c r="P18" i="18"/>
  <c r="L18" i="18"/>
  <c r="P17" i="18"/>
  <c r="L17" i="18"/>
  <c r="P16" i="18"/>
  <c r="L16" i="18"/>
  <c r="P15" i="18"/>
  <c r="L15" i="18"/>
  <c r="P14" i="18"/>
  <c r="L14" i="18"/>
  <c r="P13" i="18"/>
  <c r="L13" i="18"/>
  <c r="P8" i="18"/>
  <c r="P9" i="18"/>
  <c r="P10" i="18"/>
  <c r="P11" i="18"/>
  <c r="P12" i="18"/>
  <c r="P7" i="18"/>
  <c r="L8" i="18"/>
  <c r="L9" i="18"/>
  <c r="L10" i="18"/>
  <c r="L11" i="18"/>
  <c r="L12" i="18"/>
  <c r="L7" i="18"/>
  <c r="FK163" i="5"/>
  <c r="FL163" i="5" s="1"/>
  <c r="FK160" i="5"/>
  <c r="FL160" i="5" s="1"/>
  <c r="FK158" i="5"/>
  <c r="FL158" i="5" s="1"/>
  <c r="EY163" i="5"/>
  <c r="EZ163" i="5" s="1"/>
  <c r="EY160" i="5"/>
  <c r="EZ160" i="5" s="1"/>
  <c r="EY158" i="5"/>
  <c r="EZ158" i="5" s="1"/>
  <c r="EN163" i="5"/>
  <c r="EO163" i="5" s="1"/>
  <c r="EN160" i="5"/>
  <c r="EO160" i="5" s="1"/>
  <c r="EN158" i="5"/>
  <c r="EO158" i="5" s="1"/>
  <c r="EC163" i="5"/>
  <c r="ED163" i="5" s="1"/>
  <c r="EC160" i="5"/>
  <c r="ED160" i="5" s="1"/>
  <c r="EC158" i="5"/>
  <c r="ED158" i="5" s="1"/>
  <c r="DR163" i="5"/>
  <c r="DS163" i="5" s="1"/>
  <c r="DR160" i="5"/>
  <c r="DS160" i="5" s="1"/>
  <c r="DR158" i="5"/>
  <c r="DS158" i="5" s="1"/>
  <c r="DG163" i="5"/>
  <c r="DH163" i="5" s="1"/>
  <c r="DG160" i="5"/>
  <c r="DH160" i="5" s="1"/>
  <c r="DG158" i="5"/>
  <c r="DH158" i="5" s="1"/>
  <c r="CV163" i="5"/>
  <c r="CW163" i="5" s="1"/>
  <c r="CV160" i="5"/>
  <c r="CW160" i="5" s="1"/>
  <c r="CV158" i="5"/>
  <c r="CW158" i="5" s="1"/>
  <c r="CK163" i="5"/>
  <c r="CL163" i="5" s="1"/>
  <c r="CK160" i="5"/>
  <c r="CL160" i="5" s="1"/>
  <c r="CK158" i="5"/>
  <c r="CL158" i="5" s="1"/>
  <c r="BZ163" i="5"/>
  <c r="CA163" i="5" s="1"/>
  <c r="BZ160" i="5"/>
  <c r="CA160" i="5" s="1"/>
  <c r="BZ158" i="5"/>
  <c r="CA158" i="5" s="1"/>
  <c r="BO163" i="5"/>
  <c r="BP163" i="5" s="1"/>
  <c r="BO160" i="5"/>
  <c r="BP160" i="5" s="1"/>
  <c r="BO158" i="5"/>
  <c r="BP158" i="5" s="1"/>
  <c r="BD163" i="5"/>
  <c r="BE163" i="5" s="1"/>
  <c r="BD160" i="5"/>
  <c r="BE160" i="5" s="1"/>
  <c r="BD158" i="5"/>
  <c r="BE158" i="5" s="1"/>
  <c r="AS163" i="5"/>
  <c r="AT163" i="5" s="1"/>
  <c r="AS160" i="5"/>
  <c r="AT160" i="5" s="1"/>
  <c r="AS158" i="5"/>
  <c r="AT158" i="5" s="1"/>
  <c r="AH163" i="5"/>
  <c r="AI163" i="5" s="1"/>
  <c r="AH160" i="5"/>
  <c r="AI160" i="5" s="1"/>
  <c r="AH158" i="5"/>
  <c r="AI158" i="5" s="1"/>
  <c r="W163" i="5"/>
  <c r="X163" i="5" s="1"/>
  <c r="W160" i="5"/>
  <c r="X160" i="5" s="1"/>
  <c r="W158" i="5"/>
  <c r="X158" i="5" s="1"/>
  <c r="L163" i="5"/>
  <c r="M163" i="5" s="1"/>
  <c r="L160" i="5"/>
  <c r="M160" i="5" s="1"/>
  <c r="L158" i="5"/>
  <c r="M158" i="5" s="1"/>
  <c r="CK135" i="13"/>
  <c r="CK134" i="13"/>
  <c r="CK136" i="13" s="1"/>
  <c r="BY135" i="13"/>
  <c r="BY134" i="13"/>
  <c r="BL135" i="13"/>
  <c r="BL134" i="13"/>
  <c r="AY135" i="13"/>
  <c r="AY134" i="13"/>
  <c r="AK134" i="13"/>
  <c r="AK135" i="13"/>
  <c r="W135" i="13"/>
  <c r="W134" i="13"/>
  <c r="H135" i="13"/>
  <c r="H134" i="13"/>
  <c r="H98" i="3"/>
  <c r="H99" i="3"/>
  <c r="H100" i="3"/>
  <c r="H101" i="3"/>
  <c r="E95" i="3"/>
  <c r="H95" i="3" s="1"/>
  <c r="E96" i="3"/>
  <c r="H96" i="3" s="1"/>
  <c r="E97" i="3"/>
  <c r="H97" i="3" s="1"/>
  <c r="D97" i="3"/>
  <c r="D96" i="3"/>
  <c r="D95" i="3"/>
  <c r="U47" i="17"/>
  <c r="U48" i="17"/>
  <c r="U49" i="17"/>
  <c r="U50" i="17"/>
  <c r="U46" i="17"/>
  <c r="R47" i="17"/>
  <c r="R48" i="17"/>
  <c r="R49" i="17"/>
  <c r="R50" i="17"/>
  <c r="R46" i="17"/>
  <c r="N49" i="17"/>
  <c r="N48" i="17"/>
  <c r="N47" i="17"/>
  <c r="N46" i="17"/>
  <c r="AJ41" i="17"/>
  <c r="C159" i="6" s="1"/>
  <c r="AF41" i="17"/>
  <c r="C157" i="6" s="1"/>
  <c r="AB41" i="17"/>
  <c r="C152" i="6" s="1"/>
  <c r="W31" i="17"/>
  <c r="S31" i="17"/>
  <c r="AJ31" i="17"/>
  <c r="AF31" i="17"/>
  <c r="AB31" i="17"/>
  <c r="AA31" i="17"/>
  <c r="AB22" i="17"/>
  <c r="AB23" i="17"/>
  <c r="AB24" i="17"/>
  <c r="AB25" i="17"/>
  <c r="AB21" i="17"/>
  <c r="L106" i="13"/>
  <c r="AJ42" i="17"/>
  <c r="D159" i="6" s="1"/>
  <c r="C193" i="6" l="1"/>
  <c r="D193" i="6" s="1"/>
  <c r="W155" i="6"/>
  <c r="C197" i="6"/>
  <c r="D197" i="6" s="1"/>
  <c r="BO155" i="6"/>
  <c r="C200" i="6"/>
  <c r="D200" i="6" s="1"/>
  <c r="CV155" i="6"/>
  <c r="C192" i="6"/>
  <c r="D192" i="6" s="1"/>
  <c r="K155" i="6"/>
  <c r="C196" i="6"/>
  <c r="D196" i="6" s="1"/>
  <c r="BD155" i="6"/>
  <c r="BG155" i="6" s="1"/>
  <c r="C194" i="6"/>
  <c r="D194" i="6" s="1"/>
  <c r="AH155" i="6"/>
  <c r="C195" i="6"/>
  <c r="D195" i="6" s="1"/>
  <c r="AS155" i="6"/>
  <c r="AV155" i="6" s="1"/>
  <c r="C203" i="6"/>
  <c r="D203" i="6" s="1"/>
  <c r="EN155" i="6"/>
  <c r="EQ155" i="6" s="1"/>
  <c r="FB155" i="6"/>
  <c r="EC155" i="6"/>
  <c r="C198" i="6"/>
  <c r="D198" i="6" s="1"/>
  <c r="BZ155" i="6"/>
  <c r="CC155" i="6" s="1"/>
  <c r="C199" i="6"/>
  <c r="D199" i="6" s="1"/>
  <c r="CK155" i="6"/>
  <c r="C202" i="6"/>
  <c r="D202" i="6" s="1"/>
  <c r="DR155" i="6"/>
  <c r="DU155" i="6" s="1"/>
  <c r="DG155" i="6"/>
  <c r="N159" i="6"/>
  <c r="AK155" i="6"/>
  <c r="N155" i="6"/>
  <c r="BR155" i="6"/>
  <c r="CN155" i="6"/>
  <c r="DJ155" i="6"/>
  <c r="W136" i="13"/>
  <c r="BY136" i="13"/>
  <c r="BL136" i="13"/>
  <c r="AK136" i="13"/>
  <c r="AY136" i="13"/>
  <c r="C156" i="6"/>
  <c r="CC159" i="6" s="1"/>
  <c r="C155" i="6"/>
  <c r="BR159" i="6" s="1"/>
  <c r="C154" i="6"/>
  <c r="BG159" i="6" s="1"/>
  <c r="AK159" i="6"/>
  <c r="C153" i="6"/>
  <c r="AV159" i="6" s="1"/>
  <c r="CN159" i="6"/>
  <c r="C158" i="6"/>
  <c r="CY159" i="6" s="1"/>
  <c r="C160" i="6"/>
  <c r="DU159" i="6" s="1"/>
  <c r="DJ159" i="6"/>
  <c r="C161" i="6"/>
  <c r="U130" i="13"/>
  <c r="V130" i="13" s="1"/>
  <c r="W130" i="13" s="1"/>
  <c r="BJ130" i="13"/>
  <c r="BK130" i="13" s="1"/>
  <c r="BL130" i="13" s="1"/>
  <c r="E4" i="17"/>
  <c r="E5" i="17" s="1"/>
  <c r="W32" i="17"/>
  <c r="AB42" i="17"/>
  <c r="D152" i="6" s="1"/>
  <c r="D155" i="6" s="1"/>
  <c r="BR160" i="6" s="1"/>
  <c r="BR163" i="6" s="1"/>
  <c r="AI130" i="13"/>
  <c r="AJ130" i="13" s="1"/>
  <c r="AK130" i="13" s="1"/>
  <c r="CI130" i="13"/>
  <c r="CJ130" i="13" s="1"/>
  <c r="CK130" i="13" s="1"/>
  <c r="AF32" i="17"/>
  <c r="AF42" i="17"/>
  <c r="D157" i="6" s="1"/>
  <c r="D158" i="6" s="1"/>
  <c r="CY160" i="6" s="1"/>
  <c r="E157" i="5"/>
  <c r="E158" i="5" s="1"/>
  <c r="BP146" i="6"/>
  <c r="BQ146" i="6" s="1"/>
  <c r="BR146" i="6" s="1"/>
  <c r="BW130" i="13"/>
  <c r="BX130" i="13" s="1"/>
  <c r="BY130" i="13" s="1"/>
  <c r="AB32" i="17"/>
  <c r="F130" i="13"/>
  <c r="G130" i="13" s="1"/>
  <c r="AW130" i="13"/>
  <c r="AX130" i="13" s="1"/>
  <c r="AY130" i="13" s="1"/>
  <c r="S32" i="17"/>
  <c r="D150" i="6" s="1"/>
  <c r="N160" i="6" s="1"/>
  <c r="AJ32" i="17"/>
  <c r="EF155" i="6"/>
  <c r="DJ160" i="6"/>
  <c r="D160" i="6"/>
  <c r="DU160" i="6" s="1"/>
  <c r="D161" i="6"/>
  <c r="Z155" i="6"/>
  <c r="CY155" i="6"/>
  <c r="D27" i="21"/>
  <c r="AD27" i="21" s="1"/>
  <c r="M45" i="21"/>
  <c r="M27" i="21"/>
  <c r="F32" i="21"/>
  <c r="M50" i="21"/>
  <c r="M32" i="21"/>
  <c r="E26" i="21"/>
  <c r="M44" i="21"/>
  <c r="M26" i="21"/>
  <c r="D31" i="21"/>
  <c r="M49" i="21"/>
  <c r="M31" i="21"/>
  <c r="D29" i="21"/>
  <c r="M47" i="21"/>
  <c r="M29" i="21"/>
  <c r="D25" i="21"/>
  <c r="AD25" i="21" s="1"/>
  <c r="M43" i="21"/>
  <c r="M25" i="21"/>
  <c r="E34" i="21"/>
  <c r="M34" i="21"/>
  <c r="M52" i="21"/>
  <c r="E30" i="21"/>
  <c r="AD48" i="21" s="1"/>
  <c r="M48" i="21"/>
  <c r="M30" i="21"/>
  <c r="AD36" i="21"/>
  <c r="BB36" i="21"/>
  <c r="AK88" i="21" s="1"/>
  <c r="K25" i="20" s="1"/>
  <c r="FM23" i="20" s="1"/>
  <c r="FP23" i="20" s="1"/>
  <c r="FP27" i="20" s="1"/>
  <c r="F36" i="21"/>
  <c r="M54" i="21"/>
  <c r="M36" i="21"/>
  <c r="D35" i="21"/>
  <c r="AD35" i="21" s="1"/>
  <c r="M53" i="21"/>
  <c r="M35" i="21"/>
  <c r="D34" i="21"/>
  <c r="AD34" i="21" s="1"/>
  <c r="F28" i="21"/>
  <c r="M46" i="21"/>
  <c r="M28" i="21"/>
  <c r="F24" i="21"/>
  <c r="M42" i="21"/>
  <c r="M24" i="21"/>
  <c r="D33" i="21"/>
  <c r="M51" i="21"/>
  <c r="M33" i="21"/>
  <c r="E29" i="21"/>
  <c r="F26" i="21"/>
  <c r="F35" i="21"/>
  <c r="AD47" i="21"/>
  <c r="BB47" i="21"/>
  <c r="AK103" i="21" s="1"/>
  <c r="F31" i="21"/>
  <c r="D28" i="21"/>
  <c r="AD28" i="21" s="1"/>
  <c r="E25" i="21"/>
  <c r="F30" i="21"/>
  <c r="F25" i="21"/>
  <c r="F29" i="21"/>
  <c r="F34" i="21"/>
  <c r="F27" i="21"/>
  <c r="E33" i="21"/>
  <c r="D24" i="21"/>
  <c r="D32" i="21"/>
  <c r="E35" i="21"/>
  <c r="E31" i="21"/>
  <c r="E27" i="21"/>
  <c r="F33" i="21"/>
  <c r="BB30" i="21"/>
  <c r="AK82" i="21" s="1"/>
  <c r="K19" i="20" s="1"/>
  <c r="CY23" i="20" s="1"/>
  <c r="DB23" i="20" s="1"/>
  <c r="DB27" i="20" s="1"/>
  <c r="E36" i="21"/>
  <c r="E32" i="21"/>
  <c r="E28" i="21"/>
  <c r="E24" i="21"/>
  <c r="D26" i="21"/>
  <c r="N163" i="6" l="1"/>
  <c r="BO170" i="5"/>
  <c r="BP170" i="5" s="1"/>
  <c r="BQ170" i="5" s="1"/>
  <c r="EY170" i="5"/>
  <c r="EZ170" i="5" s="1"/>
  <c r="FA170" i="5" s="1"/>
  <c r="L170" i="5"/>
  <c r="M170" i="5" s="1"/>
  <c r="N170" i="5" s="1"/>
  <c r="AI146" i="6"/>
  <c r="AJ146" i="6" s="1"/>
  <c r="AK146" i="6" s="1"/>
  <c r="CA146" i="6"/>
  <c r="CB146" i="6" s="1"/>
  <c r="CC146" i="6" s="1"/>
  <c r="DU163" i="6"/>
  <c r="DT172" i="6" s="1"/>
  <c r="DJ163" i="6"/>
  <c r="DI173" i="6" s="1"/>
  <c r="EQ159" i="6"/>
  <c r="FB159" i="6"/>
  <c r="FM159" i="6"/>
  <c r="EF159" i="6"/>
  <c r="CW146" i="6"/>
  <c r="CX146" i="6" s="1"/>
  <c r="CY146" i="6" s="1"/>
  <c r="AT146" i="6"/>
  <c r="AU146" i="6" s="1"/>
  <c r="AV146" i="6" s="1"/>
  <c r="CL146" i="6"/>
  <c r="CM146" i="6" s="1"/>
  <c r="CN146" i="6" s="1"/>
  <c r="DS146" i="6"/>
  <c r="DT146" i="6" s="1"/>
  <c r="DU146" i="6" s="1"/>
  <c r="ED146" i="6"/>
  <c r="EE146" i="6" s="1"/>
  <c r="EF146" i="6" s="1"/>
  <c r="BE146" i="6"/>
  <c r="BF146" i="6" s="1"/>
  <c r="BG146" i="6" s="1"/>
  <c r="E166" i="6"/>
  <c r="CA147" i="6" s="1"/>
  <c r="CB147" i="6" s="1"/>
  <c r="CC147" i="6" s="1"/>
  <c r="X146" i="6"/>
  <c r="Y146" i="6" s="1"/>
  <c r="Z146" i="6" s="1"/>
  <c r="DH146" i="6"/>
  <c r="DI146" i="6" s="1"/>
  <c r="DJ146" i="6" s="1"/>
  <c r="D154" i="6"/>
  <c r="BG160" i="6" s="1"/>
  <c r="BG163" i="6" s="1"/>
  <c r="BF168" i="6" s="1"/>
  <c r="AH170" i="5"/>
  <c r="AI170" i="5" s="1"/>
  <c r="AJ170" i="5" s="1"/>
  <c r="AS170" i="5"/>
  <c r="AT170" i="5" s="1"/>
  <c r="AU170" i="5" s="1"/>
  <c r="W170" i="5"/>
  <c r="X170" i="5" s="1"/>
  <c r="Y170" i="5" s="1"/>
  <c r="CK170" i="5"/>
  <c r="CL170" i="5" s="1"/>
  <c r="CM170" i="5" s="1"/>
  <c r="BZ170" i="5"/>
  <c r="CA170" i="5" s="1"/>
  <c r="CB170" i="5" s="1"/>
  <c r="DR170" i="5"/>
  <c r="DS170" i="5" s="1"/>
  <c r="DT170" i="5" s="1"/>
  <c r="BD170" i="5"/>
  <c r="BE170" i="5" s="1"/>
  <c r="BF170" i="5" s="1"/>
  <c r="CV170" i="5"/>
  <c r="CW170" i="5" s="1"/>
  <c r="CX170" i="5" s="1"/>
  <c r="DG170" i="5"/>
  <c r="DH170" i="5" s="1"/>
  <c r="DI170" i="5" s="1"/>
  <c r="FK170" i="5"/>
  <c r="FL170" i="5" s="1"/>
  <c r="FM170" i="5" s="1"/>
  <c r="EC170" i="5"/>
  <c r="ED170" i="5" s="1"/>
  <c r="EE170" i="5" s="1"/>
  <c r="EN170" i="5"/>
  <c r="EO170" i="5" s="1"/>
  <c r="EP170" i="5" s="1"/>
  <c r="BQ173" i="6"/>
  <c r="BQ171" i="6"/>
  <c r="BQ170" i="6"/>
  <c r="D153" i="6"/>
  <c r="AV160" i="6" s="1"/>
  <c r="AV163" i="6" s="1"/>
  <c r="AU172" i="6" s="1"/>
  <c r="AK160" i="6"/>
  <c r="AK163" i="6" s="1"/>
  <c r="AJ169" i="6" s="1"/>
  <c r="D151" i="6"/>
  <c r="Z160" i="6" s="1"/>
  <c r="Z163" i="6" s="1"/>
  <c r="L146" i="6"/>
  <c r="M146" i="6" s="1"/>
  <c r="N146" i="6" s="1"/>
  <c r="FK146" i="6"/>
  <c r="FL146" i="6" s="1"/>
  <c r="FM146" i="6" s="1"/>
  <c r="EO146" i="6"/>
  <c r="EP146" i="6" s="1"/>
  <c r="EQ146" i="6" s="1"/>
  <c r="EZ146" i="6"/>
  <c r="FA146" i="6" s="1"/>
  <c r="FB146" i="6" s="1"/>
  <c r="CN160" i="6"/>
  <c r="CN163" i="6" s="1"/>
  <c r="CM173" i="6" s="1"/>
  <c r="D156" i="6"/>
  <c r="CC160" i="6" s="1"/>
  <c r="CC163" i="6" s="1"/>
  <c r="EF160" i="6"/>
  <c r="FM160" i="6"/>
  <c r="FB160" i="6"/>
  <c r="EQ160" i="6"/>
  <c r="AF48" i="21"/>
  <c r="AB104" i="21" s="1"/>
  <c r="CY163" i="6"/>
  <c r="BB41" i="21"/>
  <c r="AK97" i="21" s="1"/>
  <c r="BB44" i="21"/>
  <c r="AK100" i="21" s="1"/>
  <c r="BB31" i="21"/>
  <c r="AK83" i="21" s="1"/>
  <c r="K20" i="20" s="1"/>
  <c r="DJ23" i="20" s="1"/>
  <c r="DM23" i="20" s="1"/>
  <c r="DM27" i="20" s="1"/>
  <c r="AD33" i="21"/>
  <c r="BB27" i="21"/>
  <c r="AK79" i="21" s="1"/>
  <c r="K16" i="20" s="1"/>
  <c r="BG23" i="20" s="1"/>
  <c r="BJ23" i="20" s="1"/>
  <c r="BJ27" i="20" s="1"/>
  <c r="AD52" i="21"/>
  <c r="AD44" i="21"/>
  <c r="BQ168" i="6"/>
  <c r="BQ172" i="6"/>
  <c r="FK171" i="5"/>
  <c r="FL171" i="5" s="1"/>
  <c r="FM171" i="5" s="1"/>
  <c r="DR171" i="5"/>
  <c r="DS171" i="5" s="1"/>
  <c r="DT171" i="5" s="1"/>
  <c r="AS171" i="5"/>
  <c r="AT171" i="5" s="1"/>
  <c r="AU171" i="5" s="1"/>
  <c r="EY171" i="5"/>
  <c r="EZ171" i="5" s="1"/>
  <c r="FA171" i="5" s="1"/>
  <c r="DG171" i="5"/>
  <c r="DH171" i="5" s="1"/>
  <c r="DI171" i="5" s="1"/>
  <c r="BZ171" i="5"/>
  <c r="CA171" i="5" s="1"/>
  <c r="CB171" i="5" s="1"/>
  <c r="AH171" i="5"/>
  <c r="AI171" i="5" s="1"/>
  <c r="AJ171" i="5" s="1"/>
  <c r="EN171" i="5"/>
  <c r="EO171" i="5" s="1"/>
  <c r="EP171" i="5" s="1"/>
  <c r="CV171" i="5"/>
  <c r="CW171" i="5" s="1"/>
  <c r="CX171" i="5" s="1"/>
  <c r="CK171" i="5"/>
  <c r="CL171" i="5" s="1"/>
  <c r="CM171" i="5" s="1"/>
  <c r="BO171" i="5"/>
  <c r="BP171" i="5" s="1"/>
  <c r="BQ171" i="5" s="1"/>
  <c r="EC171" i="5"/>
  <c r="ED171" i="5" s="1"/>
  <c r="EE171" i="5" s="1"/>
  <c r="EE173" i="5" s="1"/>
  <c r="BD171" i="5"/>
  <c r="BE171" i="5" s="1"/>
  <c r="BF171" i="5" s="1"/>
  <c r="W171" i="5"/>
  <c r="X171" i="5" s="1"/>
  <c r="Y171" i="5" s="1"/>
  <c r="L171" i="5"/>
  <c r="M171" i="5" s="1"/>
  <c r="N171" i="5" s="1"/>
  <c r="BQ169" i="6"/>
  <c r="M173" i="6"/>
  <c r="M170" i="6"/>
  <c r="M172" i="6"/>
  <c r="M169" i="6"/>
  <c r="M171" i="6"/>
  <c r="M168" i="6"/>
  <c r="BB25" i="21"/>
  <c r="AK77" i="21" s="1"/>
  <c r="K14" i="20" s="1"/>
  <c r="AK23" i="20" s="1"/>
  <c r="AN23" i="20" s="1"/>
  <c r="AN27" i="20" s="1"/>
  <c r="N35" i="21"/>
  <c r="O35" i="21" s="1"/>
  <c r="R35" i="21" s="1"/>
  <c r="T35" i="21" s="1"/>
  <c r="AD31" i="21"/>
  <c r="N36" i="21"/>
  <c r="AO36" i="21" s="1"/>
  <c r="N29" i="21"/>
  <c r="AO29" i="21" s="1"/>
  <c r="AE29" i="21"/>
  <c r="BE29" i="21"/>
  <c r="AM29" i="21"/>
  <c r="AT29" i="21" s="1"/>
  <c r="N30" i="21"/>
  <c r="BE30" i="21"/>
  <c r="AM30" i="21"/>
  <c r="AT30" i="21" s="1"/>
  <c r="AE30" i="21"/>
  <c r="AD29" i="21"/>
  <c r="N52" i="21"/>
  <c r="AE52" i="21"/>
  <c r="BE52" i="21"/>
  <c r="AM52" i="21"/>
  <c r="AN52" i="21" s="1"/>
  <c r="AF108" i="21" s="1"/>
  <c r="N44" i="21"/>
  <c r="AE44" i="21"/>
  <c r="BE44" i="21"/>
  <c r="AM44" i="21"/>
  <c r="AN44" i="21" s="1"/>
  <c r="AF100" i="21" s="1"/>
  <c r="AE41" i="21"/>
  <c r="BE41" i="21"/>
  <c r="AM41" i="21"/>
  <c r="AN41" i="21" s="1"/>
  <c r="AE97" i="21" s="1"/>
  <c r="N41" i="21"/>
  <c r="AO41" i="21" s="1"/>
  <c r="AE48" i="21"/>
  <c r="AI104" i="21" s="1"/>
  <c r="AJ104" i="21" s="1"/>
  <c r="BE36" i="21"/>
  <c r="AM36" i="21"/>
  <c r="AT36" i="21" s="1"/>
  <c r="AE36" i="21"/>
  <c r="N31" i="21"/>
  <c r="AO31" i="21" s="1"/>
  <c r="BE31" i="21"/>
  <c r="AM31" i="21"/>
  <c r="AT31" i="21" s="1"/>
  <c r="AE31" i="21"/>
  <c r="AM27" i="21"/>
  <c r="AT27" i="21" s="1"/>
  <c r="AE27" i="21"/>
  <c r="BB34" i="21"/>
  <c r="AK86" i="21" s="1"/>
  <c r="K23" i="20" s="1"/>
  <c r="EQ23" i="20" s="1"/>
  <c r="ET23" i="20" s="1"/>
  <c r="ET27" i="20" s="1"/>
  <c r="N33" i="21"/>
  <c r="AE33" i="21"/>
  <c r="AM33" i="21"/>
  <c r="AT33" i="21" s="1"/>
  <c r="BE33" i="21"/>
  <c r="N25" i="21"/>
  <c r="AE25" i="21"/>
  <c r="AM25" i="21"/>
  <c r="AT25" i="21" s="1"/>
  <c r="BE25" i="21"/>
  <c r="AD41" i="21"/>
  <c r="N47" i="21"/>
  <c r="AM47" i="21"/>
  <c r="AN47" i="21" s="1"/>
  <c r="AF103" i="21" s="1"/>
  <c r="BE47" i="21"/>
  <c r="AE47" i="21"/>
  <c r="AF47" i="21" s="1"/>
  <c r="AB103" i="21" s="1"/>
  <c r="O52" i="21"/>
  <c r="W33" i="21"/>
  <c r="AD54" i="21"/>
  <c r="AD50" i="21"/>
  <c r="AD53" i="21"/>
  <c r="BB53" i="21"/>
  <c r="AK109" i="21" s="1"/>
  <c r="BB42" i="21"/>
  <c r="AK98" i="21" s="1"/>
  <c r="AD42" i="21"/>
  <c r="AD45" i="21"/>
  <c r="BB45" i="21"/>
  <c r="AK101" i="21" s="1"/>
  <c r="AD43" i="21"/>
  <c r="AD46" i="21"/>
  <c r="AD49" i="21"/>
  <c r="AD51" i="21"/>
  <c r="BB51" i="21"/>
  <c r="AK107" i="21" s="1"/>
  <c r="BB28" i="21"/>
  <c r="AK80" i="21" s="1"/>
  <c r="K17" i="20" s="1"/>
  <c r="BR23" i="20" s="1"/>
  <c r="BU23" i="20" s="1"/>
  <c r="BU27" i="20" s="1"/>
  <c r="AD26" i="21"/>
  <c r="BB26" i="21"/>
  <c r="AK78" i="21" s="1"/>
  <c r="K15" i="20" s="1"/>
  <c r="AV23" i="20" s="1"/>
  <c r="AY23" i="20" s="1"/>
  <c r="AY27" i="20" s="1"/>
  <c r="AD32" i="21"/>
  <c r="N173" i="5" l="1"/>
  <c r="EA190" i="5"/>
  <c r="EA197" i="5"/>
  <c r="CB171" i="6"/>
  <c r="CC164" i="6"/>
  <c r="Y170" i="6"/>
  <c r="BQ173" i="5"/>
  <c r="BO183" i="5" s="1"/>
  <c r="F13" i="18"/>
  <c r="FK147" i="6"/>
  <c r="FL147" i="6" s="1"/>
  <c r="FM147" i="6" s="1"/>
  <c r="L147" i="6"/>
  <c r="M147" i="6" s="1"/>
  <c r="N147" i="6" s="1"/>
  <c r="N149" i="6" s="1"/>
  <c r="CB170" i="6"/>
  <c r="EP173" i="5"/>
  <c r="CC149" i="6"/>
  <c r="CA169" i="6" s="1"/>
  <c r="Y173" i="5"/>
  <c r="DT173" i="5"/>
  <c r="FA173" i="5"/>
  <c r="FM173" i="5"/>
  <c r="AT147" i="6"/>
  <c r="AU147" i="6" s="1"/>
  <c r="AV147" i="6" s="1"/>
  <c r="AV149" i="6" s="1"/>
  <c r="AT173" i="6" s="1"/>
  <c r="DT168" i="6"/>
  <c r="AU173" i="5"/>
  <c r="CW147" i="6"/>
  <c r="CX147" i="6" s="1"/>
  <c r="CY147" i="6" s="1"/>
  <c r="CY149" i="6" s="1"/>
  <c r="CW169" i="6" s="1"/>
  <c r="CL147" i="6"/>
  <c r="CM147" i="6" s="1"/>
  <c r="CN147" i="6" s="1"/>
  <c r="CN149" i="6" s="1"/>
  <c r="CL169" i="6" s="1"/>
  <c r="ED147" i="6"/>
  <c r="EE147" i="6" s="1"/>
  <c r="EF147" i="6" s="1"/>
  <c r="EF149" i="6" s="1"/>
  <c r="ED171" i="6" s="1"/>
  <c r="AJ173" i="5"/>
  <c r="EZ147" i="6"/>
  <c r="FA147" i="6" s="1"/>
  <c r="FB147" i="6" s="1"/>
  <c r="FB149" i="6" s="1"/>
  <c r="BE147" i="6"/>
  <c r="BF147" i="6" s="1"/>
  <c r="BG147" i="6" s="1"/>
  <c r="BG149" i="6" s="1"/>
  <c r="BE170" i="6" s="1"/>
  <c r="X147" i="6"/>
  <c r="Y147" i="6" s="1"/>
  <c r="Z147" i="6" s="1"/>
  <c r="X172" i="6" s="1"/>
  <c r="DH147" i="6"/>
  <c r="DI147" i="6" s="1"/>
  <c r="DJ147" i="6" s="1"/>
  <c r="DJ149" i="6" s="1"/>
  <c r="DH173" i="6" s="1"/>
  <c r="CM173" i="5"/>
  <c r="CB173" i="5"/>
  <c r="AU170" i="6"/>
  <c r="BP147" i="6"/>
  <c r="BQ147" i="6" s="1"/>
  <c r="BR147" i="6" s="1"/>
  <c r="BR149" i="6" s="1"/>
  <c r="BP173" i="6" s="1"/>
  <c r="AI147" i="6"/>
  <c r="AJ147" i="6" s="1"/>
  <c r="AK147" i="6" s="1"/>
  <c r="AK149" i="6" s="1"/>
  <c r="AI172" i="6" s="1"/>
  <c r="DS147" i="6"/>
  <c r="DT147" i="6" s="1"/>
  <c r="DU147" i="6" s="1"/>
  <c r="DU149" i="6" s="1"/>
  <c r="DS169" i="6" s="1"/>
  <c r="BF173" i="5"/>
  <c r="CX173" i="5"/>
  <c r="DI173" i="5"/>
  <c r="FM163" i="6"/>
  <c r="FJ212" i="6" s="1"/>
  <c r="DT170" i="6"/>
  <c r="DT169" i="6"/>
  <c r="DT173" i="6"/>
  <c r="DI169" i="6"/>
  <c r="DT171" i="6"/>
  <c r="FB163" i="6"/>
  <c r="CM169" i="6"/>
  <c r="AJ168" i="6"/>
  <c r="EF163" i="6"/>
  <c r="EE172" i="6" s="1"/>
  <c r="CM168" i="6"/>
  <c r="BF172" i="6"/>
  <c r="BF170" i="6"/>
  <c r="BF169" i="6"/>
  <c r="DI172" i="6"/>
  <c r="DI171" i="6"/>
  <c r="DI170" i="6"/>
  <c r="DI168" i="6"/>
  <c r="CM170" i="6"/>
  <c r="BF171" i="6"/>
  <c r="EQ163" i="6"/>
  <c r="BF173" i="6"/>
  <c r="EO147" i="6"/>
  <c r="EP147" i="6" s="1"/>
  <c r="EQ147" i="6" s="1"/>
  <c r="EQ149" i="6" s="1"/>
  <c r="EO170" i="6" s="1"/>
  <c r="AJ173" i="6"/>
  <c r="AJ172" i="6"/>
  <c r="AJ170" i="6"/>
  <c r="AJ171" i="6"/>
  <c r="Y173" i="6"/>
  <c r="Y172" i="6"/>
  <c r="Y171" i="6"/>
  <c r="Y169" i="6"/>
  <c r="Y168" i="6"/>
  <c r="AU173" i="6"/>
  <c r="CB173" i="6"/>
  <c r="CB169" i="6"/>
  <c r="FM149" i="6"/>
  <c r="AU168" i="6"/>
  <c r="AU169" i="6"/>
  <c r="CB172" i="6"/>
  <c r="CM172" i="6"/>
  <c r="AU171" i="6"/>
  <c r="CB168" i="6"/>
  <c r="CM171" i="6"/>
  <c r="AI100" i="21"/>
  <c r="AJ100" i="21" s="1"/>
  <c r="AF44" i="21"/>
  <c r="AB100" i="21" s="1"/>
  <c r="AI108" i="21"/>
  <c r="AJ108" i="21" s="1"/>
  <c r="AF52" i="21"/>
  <c r="AB108" i="21" s="1"/>
  <c r="AI102" i="21"/>
  <c r="AJ102" i="21" s="1"/>
  <c r="AI106" i="21"/>
  <c r="AJ106" i="21" s="1"/>
  <c r="AI103" i="21"/>
  <c r="AJ103" i="21" s="1"/>
  <c r="AF43" i="21"/>
  <c r="AB99" i="21" s="1"/>
  <c r="AI97" i="21"/>
  <c r="AJ97" i="21" s="1"/>
  <c r="AF41" i="21"/>
  <c r="AB97" i="21" s="1"/>
  <c r="CX172" i="6"/>
  <c r="CX168" i="6"/>
  <c r="CX170" i="6"/>
  <c r="CX169" i="6"/>
  <c r="CX171" i="6"/>
  <c r="CX173" i="6"/>
  <c r="AF27" i="21"/>
  <c r="AB79" i="21" s="1"/>
  <c r="B16" i="20" s="1"/>
  <c r="BG6" i="20" s="1"/>
  <c r="BJ6" i="20" s="1"/>
  <c r="AI79" i="21"/>
  <c r="AI81" i="21"/>
  <c r="AF29" i="21"/>
  <c r="AB81" i="21" s="1"/>
  <c r="B18" i="20" s="1"/>
  <c r="CC6" i="20" s="1"/>
  <c r="CF6" i="20" s="1"/>
  <c r="AF25" i="21"/>
  <c r="AB77" i="21" s="1"/>
  <c r="B14" i="20" s="1"/>
  <c r="AK6" i="20" s="1"/>
  <c r="AN6" i="20" s="1"/>
  <c r="AI77" i="21"/>
  <c r="AI85" i="21"/>
  <c r="AF33" i="21"/>
  <c r="AB85" i="21" s="1"/>
  <c r="B22" i="20" s="1"/>
  <c r="EF6" i="20" s="1"/>
  <c r="EI6" i="20" s="1"/>
  <c r="AI83" i="21"/>
  <c r="AF31" i="21"/>
  <c r="AB83" i="21" s="1"/>
  <c r="B20" i="20" s="1"/>
  <c r="DJ6" i="20" s="1"/>
  <c r="DM6" i="20" s="1"/>
  <c r="AI88" i="21"/>
  <c r="AF36" i="21"/>
  <c r="AB88" i="21" s="1"/>
  <c r="B25" i="20" s="1"/>
  <c r="FM6" i="20" s="1"/>
  <c r="FP6" i="20" s="1"/>
  <c r="AF30" i="21"/>
  <c r="AB82" i="21" s="1"/>
  <c r="B19" i="20" s="1"/>
  <c r="CY6" i="20" s="1"/>
  <c r="DB6" i="20" s="1"/>
  <c r="AI82" i="21"/>
  <c r="BB32" i="21"/>
  <c r="AK84" i="21" s="1"/>
  <c r="K21" i="20" s="1"/>
  <c r="DU23" i="20" s="1"/>
  <c r="DX23" i="20" s="1"/>
  <c r="DX27" i="20" s="1"/>
  <c r="BB24" i="21"/>
  <c r="AK76" i="21" s="1"/>
  <c r="K13" i="20" s="1"/>
  <c r="Z23" i="20" s="1"/>
  <c r="AC23" i="20" s="1"/>
  <c r="AC27" i="20" s="1"/>
  <c r="BB46" i="21"/>
  <c r="AK102" i="21" s="1"/>
  <c r="BB54" i="21"/>
  <c r="AK110" i="21" s="1"/>
  <c r="BE27" i="21"/>
  <c r="AM48" i="21"/>
  <c r="AN48" i="21" s="1"/>
  <c r="AF104" i="21" s="1"/>
  <c r="BB48" i="21"/>
  <c r="AK104" i="21" s="1"/>
  <c r="BB29" i="21"/>
  <c r="AK81" i="21" s="1"/>
  <c r="K18" i="20" s="1"/>
  <c r="CC23" i="20" s="1"/>
  <c r="CF23" i="20" s="1"/>
  <c r="CF27" i="20" s="1"/>
  <c r="R52" i="21"/>
  <c r="T52" i="21" s="1"/>
  <c r="AM35" i="21"/>
  <c r="AT35" i="21" s="1"/>
  <c r="BB35" i="21"/>
  <c r="AK87" i="21" s="1"/>
  <c r="K24" i="20" s="1"/>
  <c r="FB23" i="20" s="1"/>
  <c r="FE23" i="20" s="1"/>
  <c r="FE27" i="20" s="1"/>
  <c r="BB49" i="21"/>
  <c r="AK105" i="21" s="1"/>
  <c r="BB43" i="21"/>
  <c r="AK99" i="21" s="1"/>
  <c r="BB50" i="21"/>
  <c r="AK106" i="21" s="1"/>
  <c r="N27" i="21"/>
  <c r="O27" i="21" s="1"/>
  <c r="R27" i="21" s="1"/>
  <c r="T27" i="21" s="1"/>
  <c r="BB52" i="21"/>
  <c r="AK108" i="21" s="1"/>
  <c r="BB33" i="21"/>
  <c r="AK85" i="21" s="1"/>
  <c r="K22" i="20" s="1"/>
  <c r="EF23" i="20" s="1"/>
  <c r="EI23" i="20" s="1"/>
  <c r="EI27" i="20" s="1"/>
  <c r="BO181" i="5"/>
  <c r="EC179" i="5"/>
  <c r="EC182" i="5"/>
  <c r="EC184" i="5"/>
  <c r="EC181" i="5"/>
  <c r="EC180" i="5"/>
  <c r="EC183" i="5"/>
  <c r="CL170" i="6"/>
  <c r="CL173" i="6"/>
  <c r="CL168" i="6"/>
  <c r="F73" i="18"/>
  <c r="F43" i="18"/>
  <c r="F61" i="18"/>
  <c r="F79" i="18"/>
  <c r="DS173" i="6"/>
  <c r="DS168" i="6"/>
  <c r="CA170" i="6"/>
  <c r="CA171" i="6"/>
  <c r="AT170" i="6"/>
  <c r="AT172" i="6"/>
  <c r="AT168" i="6"/>
  <c r="AQ44" i="21"/>
  <c r="AT44" i="21"/>
  <c r="AT52" i="21"/>
  <c r="AQ52" i="21"/>
  <c r="BE48" i="21"/>
  <c r="AT41" i="21"/>
  <c r="AU41" i="21" s="1"/>
  <c r="AG97" i="21" s="1"/>
  <c r="AQ47" i="21"/>
  <c r="AT47" i="21"/>
  <c r="AQ48" i="21"/>
  <c r="N48" i="21"/>
  <c r="W48" i="21" s="1"/>
  <c r="AH48" i="21" s="1"/>
  <c r="AW47" i="21"/>
  <c r="AW44" i="21"/>
  <c r="AW52" i="21"/>
  <c r="BE35" i="21"/>
  <c r="AF77" i="21"/>
  <c r="F14" i="20" s="1"/>
  <c r="AK14" i="20" s="1"/>
  <c r="AW25" i="21"/>
  <c r="AQ25" i="21"/>
  <c r="W47" i="21"/>
  <c r="AH47" i="21" s="1"/>
  <c r="AO47" i="21"/>
  <c r="AW27" i="21"/>
  <c r="AQ27" i="21"/>
  <c r="AF79" i="21"/>
  <c r="F16" i="20" s="1"/>
  <c r="BG14" i="20" s="1"/>
  <c r="AF83" i="21"/>
  <c r="F20" i="20" s="1"/>
  <c r="DJ14" i="20" s="1"/>
  <c r="AW31" i="21"/>
  <c r="AQ31" i="21"/>
  <c r="AF88" i="21"/>
  <c r="F25" i="20" s="1"/>
  <c r="FM14" i="20" s="1"/>
  <c r="AW36" i="21"/>
  <c r="AQ36" i="21"/>
  <c r="AF82" i="21"/>
  <c r="F19" i="20" s="1"/>
  <c r="CY14" i="20" s="1"/>
  <c r="AW30" i="21"/>
  <c r="AQ30" i="21"/>
  <c r="W27" i="21"/>
  <c r="AH27" i="21" s="1"/>
  <c r="AI27" i="21" s="1"/>
  <c r="W30" i="21"/>
  <c r="AH30" i="21" s="1"/>
  <c r="AO30" i="21"/>
  <c r="AF85" i="21"/>
  <c r="F22" i="20" s="1"/>
  <c r="EF14" i="20" s="1"/>
  <c r="AW33" i="21"/>
  <c r="AQ33" i="21"/>
  <c r="AF81" i="21"/>
  <c r="F18" i="20" s="1"/>
  <c r="CC14" i="20" s="1"/>
  <c r="AW29" i="21"/>
  <c r="AQ29" i="21"/>
  <c r="W35" i="21"/>
  <c r="X35" i="21" s="1"/>
  <c r="Y35" i="21" s="1"/>
  <c r="AO35" i="21"/>
  <c r="W25" i="21"/>
  <c r="AH25" i="21" s="1"/>
  <c r="AO25" i="21"/>
  <c r="O33" i="21"/>
  <c r="R33" i="21" s="1"/>
  <c r="T33" i="21" s="1"/>
  <c r="AO33" i="21"/>
  <c r="O44" i="21"/>
  <c r="R44" i="21" s="1"/>
  <c r="T44" i="21" s="1"/>
  <c r="AO44" i="21"/>
  <c r="W52" i="21"/>
  <c r="AH52" i="21" s="1"/>
  <c r="AI52" i="21" s="1"/>
  <c r="AO52" i="21"/>
  <c r="O47" i="21"/>
  <c r="R47" i="21" s="1"/>
  <c r="T47" i="21" s="1"/>
  <c r="AE35" i="21"/>
  <c r="O30" i="21"/>
  <c r="R30" i="21" s="1"/>
  <c r="T30" i="21" s="1"/>
  <c r="N46" i="21"/>
  <c r="AO46" i="21" s="1"/>
  <c r="BE46" i="21"/>
  <c r="AM46" i="21"/>
  <c r="AN46" i="21" s="1"/>
  <c r="AF102" i="21" s="1"/>
  <c r="AE46" i="21"/>
  <c r="AF46" i="21" s="1"/>
  <c r="AB102" i="21" s="1"/>
  <c r="AH33" i="21"/>
  <c r="N49" i="21"/>
  <c r="AE49" i="21"/>
  <c r="AI105" i="21" s="1"/>
  <c r="AJ105" i="21" s="1"/>
  <c r="BE49" i="21"/>
  <c r="AM49" i="21"/>
  <c r="AN49" i="21" s="1"/>
  <c r="AF105" i="21" s="1"/>
  <c r="N43" i="21"/>
  <c r="AM43" i="21"/>
  <c r="AN43" i="21" s="1"/>
  <c r="AF99" i="21" s="1"/>
  <c r="BE43" i="21"/>
  <c r="AE43" i="21"/>
  <c r="AI99" i="21" s="1"/>
  <c r="AJ99" i="21" s="1"/>
  <c r="N50" i="21"/>
  <c r="BE50" i="21"/>
  <c r="AM50" i="21"/>
  <c r="AN50" i="21" s="1"/>
  <c r="AF106" i="21" s="1"/>
  <c r="AE50" i="21"/>
  <c r="AF50" i="21" s="1"/>
  <c r="AB106" i="21" s="1"/>
  <c r="N26" i="21"/>
  <c r="BE26" i="21"/>
  <c r="AM26" i="21"/>
  <c r="AT26" i="21" s="1"/>
  <c r="AE26" i="21"/>
  <c r="N28" i="21"/>
  <c r="BE28" i="21"/>
  <c r="AM28" i="21"/>
  <c r="AT28" i="21" s="1"/>
  <c r="AE28" i="21"/>
  <c r="N42" i="21"/>
  <c r="BE42" i="21"/>
  <c r="AM42" i="21"/>
  <c r="AN42" i="21" s="1"/>
  <c r="AF98" i="21" s="1"/>
  <c r="AE42" i="21"/>
  <c r="AF42" i="21" s="1"/>
  <c r="AB98" i="21" s="1"/>
  <c r="O25" i="21"/>
  <c r="R25" i="21" s="1"/>
  <c r="T25" i="21" s="1"/>
  <c r="W44" i="21"/>
  <c r="N34" i="21"/>
  <c r="AO34" i="21" s="1"/>
  <c r="BE34" i="21"/>
  <c r="AM34" i="21"/>
  <c r="AT34" i="21" s="1"/>
  <c r="AE34" i="21"/>
  <c r="O31" i="21"/>
  <c r="R31" i="21" s="1"/>
  <c r="T31" i="21" s="1"/>
  <c r="W31" i="21"/>
  <c r="O41" i="21"/>
  <c r="R41" i="21" s="1"/>
  <c r="T41" i="21" s="1"/>
  <c r="W41" i="21"/>
  <c r="O29" i="21"/>
  <c r="R29" i="21" s="1"/>
  <c r="T29" i="21" s="1"/>
  <c r="W29" i="21"/>
  <c r="N32" i="21"/>
  <c r="BE32" i="21"/>
  <c r="AM32" i="21"/>
  <c r="AT32" i="21" s="1"/>
  <c r="AE32" i="21"/>
  <c r="N24" i="21"/>
  <c r="BE24" i="21"/>
  <c r="AM24" i="21"/>
  <c r="AT24" i="21" s="1"/>
  <c r="AU24" i="21" s="1"/>
  <c r="AG76" i="21" s="1"/>
  <c r="G13" i="20" s="1"/>
  <c r="Z15" i="20" s="1"/>
  <c r="AC15" i="20" s="1"/>
  <c r="AE24" i="21"/>
  <c r="N54" i="21"/>
  <c r="BE54" i="21"/>
  <c r="AM54" i="21"/>
  <c r="AN54" i="21" s="1"/>
  <c r="AF110" i="21" s="1"/>
  <c r="AE54" i="21"/>
  <c r="AF54" i="21" s="1"/>
  <c r="AB110" i="21" s="1"/>
  <c r="N51" i="21"/>
  <c r="BE51" i="21"/>
  <c r="AM51" i="21"/>
  <c r="AN51" i="21" s="1"/>
  <c r="AF107" i="21" s="1"/>
  <c r="AE51" i="21"/>
  <c r="AF51" i="21" s="1"/>
  <c r="AB107" i="21" s="1"/>
  <c r="N45" i="21"/>
  <c r="AE45" i="21"/>
  <c r="AI101" i="21" s="1"/>
  <c r="AJ101" i="21" s="1"/>
  <c r="BE45" i="21"/>
  <c r="AM45" i="21"/>
  <c r="AN45" i="21" s="1"/>
  <c r="AF101" i="21" s="1"/>
  <c r="N53" i="21"/>
  <c r="AE53" i="21"/>
  <c r="AI109" i="21" s="1"/>
  <c r="AJ109" i="21" s="1"/>
  <c r="BE53" i="21"/>
  <c r="AM53" i="21"/>
  <c r="AN53" i="21" s="1"/>
  <c r="AF109" i="21" s="1"/>
  <c r="O36" i="21"/>
  <c r="R36" i="21" s="1"/>
  <c r="W36" i="21"/>
  <c r="X52" i="21"/>
  <c r="Y52" i="21" s="1"/>
  <c r="O43" i="21"/>
  <c r="R43" i="21" s="1"/>
  <c r="T43" i="21" s="1"/>
  <c r="FJ240" i="6" l="1"/>
  <c r="FK212" i="6"/>
  <c r="FJ219" i="6"/>
  <c r="FJ218" i="6"/>
  <c r="FJ226" i="6"/>
  <c r="FL212" i="6"/>
  <c r="FJ213" i="6"/>
  <c r="FA170" i="6"/>
  <c r="EY212" i="6"/>
  <c r="BX190" i="5"/>
  <c r="BX197" i="5"/>
  <c r="W182" i="5"/>
  <c r="U190" i="5"/>
  <c r="U197" i="5"/>
  <c r="EA198" i="5"/>
  <c r="EC197" i="5"/>
  <c r="EA211" i="5"/>
  <c r="EB197" i="5"/>
  <c r="BD179" i="5"/>
  <c r="BB197" i="5"/>
  <c r="BB190" i="5"/>
  <c r="BM197" i="5"/>
  <c r="BM190" i="5"/>
  <c r="BO182" i="5"/>
  <c r="BO180" i="5"/>
  <c r="DG183" i="5"/>
  <c r="DE197" i="5"/>
  <c r="DE190" i="5"/>
  <c r="CK180" i="5"/>
  <c r="CI190" i="5"/>
  <c r="CI197" i="5"/>
  <c r="FK179" i="5"/>
  <c r="FI197" i="5"/>
  <c r="FI190" i="5"/>
  <c r="EA218" i="5"/>
  <c r="EB190" i="5"/>
  <c r="EA191" i="5"/>
  <c r="EC190" i="5"/>
  <c r="EA204" i="5"/>
  <c r="DR181" i="5"/>
  <c r="DP197" i="5"/>
  <c r="DP190" i="5"/>
  <c r="BO179" i="5"/>
  <c r="BO184" i="5"/>
  <c r="CV181" i="5"/>
  <c r="CT197" i="5"/>
  <c r="CT190" i="5"/>
  <c r="AH180" i="5"/>
  <c r="AF197" i="5"/>
  <c r="AF190" i="5"/>
  <c r="AS179" i="5"/>
  <c r="AQ197" i="5"/>
  <c r="AQ190" i="5"/>
  <c r="EY182" i="5"/>
  <c r="EW197" i="5"/>
  <c r="EW190" i="5"/>
  <c r="EN180" i="5"/>
  <c r="EL197" i="5"/>
  <c r="EL190" i="5"/>
  <c r="J197" i="5"/>
  <c r="L181" i="5"/>
  <c r="FL168" i="6"/>
  <c r="FM164" i="6"/>
  <c r="L182" i="5"/>
  <c r="F31" i="18"/>
  <c r="L184" i="5"/>
  <c r="L183" i="5"/>
  <c r="F25" i="18"/>
  <c r="EN181" i="5"/>
  <c r="L179" i="5"/>
  <c r="F55" i="18"/>
  <c r="F37" i="18"/>
  <c r="F19" i="18"/>
  <c r="F49" i="18"/>
  <c r="F7" i="18"/>
  <c r="F85" i="18"/>
  <c r="F91" i="18"/>
  <c r="F67" i="18"/>
  <c r="L180" i="5"/>
  <c r="CV184" i="5"/>
  <c r="DR183" i="5"/>
  <c r="DR180" i="5"/>
  <c r="DR179" i="5"/>
  <c r="DR184" i="5"/>
  <c r="DR182" i="5"/>
  <c r="EN182" i="5"/>
  <c r="CV179" i="5"/>
  <c r="EN183" i="5"/>
  <c r="EN179" i="5"/>
  <c r="EN184" i="5"/>
  <c r="ED169" i="6"/>
  <c r="AT169" i="6"/>
  <c r="CL172" i="6"/>
  <c r="CL171" i="6"/>
  <c r="AT171" i="6"/>
  <c r="DS171" i="6"/>
  <c r="BE169" i="6"/>
  <c r="DG180" i="5"/>
  <c r="CA168" i="6"/>
  <c r="CV182" i="5"/>
  <c r="BP171" i="6"/>
  <c r="DH168" i="6"/>
  <c r="EY179" i="5"/>
  <c r="CA173" i="6"/>
  <c r="AS181" i="5"/>
  <c r="BP168" i="6"/>
  <c r="DH172" i="6"/>
  <c r="CA172" i="6"/>
  <c r="CV180" i="5"/>
  <c r="CV183" i="5"/>
  <c r="BP170" i="6"/>
  <c r="BP172" i="6"/>
  <c r="DH170" i="6"/>
  <c r="DH169" i="6"/>
  <c r="CK183" i="5"/>
  <c r="EY184" i="5"/>
  <c r="EY181" i="5"/>
  <c r="BP169" i="6"/>
  <c r="DH171" i="6"/>
  <c r="EY180" i="5"/>
  <c r="AI170" i="6"/>
  <c r="W183" i="5"/>
  <c r="AI171" i="6"/>
  <c r="DG179" i="5"/>
  <c r="FK180" i="5"/>
  <c r="AI173" i="6"/>
  <c r="DG184" i="5"/>
  <c r="CK182" i="5"/>
  <c r="AI168" i="6"/>
  <c r="DG181" i="5"/>
  <c r="FK182" i="5"/>
  <c r="FK183" i="5"/>
  <c r="CK181" i="5"/>
  <c r="W181" i="5"/>
  <c r="W184" i="5"/>
  <c r="AI169" i="6"/>
  <c r="DG182" i="5"/>
  <c r="FK181" i="5"/>
  <c r="FK184" i="5"/>
  <c r="CK179" i="5"/>
  <c r="W179" i="5"/>
  <c r="W180" i="5"/>
  <c r="CW173" i="6"/>
  <c r="CK184" i="5"/>
  <c r="FL169" i="6"/>
  <c r="L172" i="6"/>
  <c r="L168" i="6"/>
  <c r="L173" i="6"/>
  <c r="L169" i="6"/>
  <c r="L170" i="6"/>
  <c r="L171" i="6"/>
  <c r="BE173" i="6"/>
  <c r="ED173" i="6"/>
  <c r="EY183" i="5"/>
  <c r="BE171" i="6"/>
  <c r="FL170" i="6"/>
  <c r="BE172" i="6"/>
  <c r="FL172" i="6"/>
  <c r="EE169" i="6"/>
  <c r="AS184" i="5"/>
  <c r="AS183" i="5"/>
  <c r="X173" i="6"/>
  <c r="AS182" i="5"/>
  <c r="AS180" i="5"/>
  <c r="BD183" i="5"/>
  <c r="AH184" i="5"/>
  <c r="AH182" i="5"/>
  <c r="AH183" i="5"/>
  <c r="AH179" i="5"/>
  <c r="AH181" i="5"/>
  <c r="X170" i="6"/>
  <c r="FL171" i="6"/>
  <c r="FL173" i="6"/>
  <c r="BD180" i="5"/>
  <c r="BD184" i="5"/>
  <c r="EE168" i="6"/>
  <c r="BD182" i="5"/>
  <c r="BZ179" i="5"/>
  <c r="BZ182" i="5"/>
  <c r="BZ184" i="5"/>
  <c r="BZ183" i="5"/>
  <c r="BZ180" i="5"/>
  <c r="BZ181" i="5"/>
  <c r="DS172" i="6"/>
  <c r="X168" i="6"/>
  <c r="X169" i="6"/>
  <c r="BE168" i="6"/>
  <c r="ED168" i="6"/>
  <c r="ED170" i="6"/>
  <c r="DS170" i="6"/>
  <c r="X171" i="6"/>
  <c r="ED172" i="6"/>
  <c r="EO172" i="6"/>
  <c r="BD181" i="5"/>
  <c r="CW170" i="6"/>
  <c r="CW172" i="6"/>
  <c r="CW171" i="6"/>
  <c r="CW168" i="6"/>
  <c r="FA168" i="6"/>
  <c r="FA172" i="6"/>
  <c r="FA169" i="6"/>
  <c r="FA171" i="6"/>
  <c r="FA173" i="6"/>
  <c r="EP170" i="6"/>
  <c r="EP172" i="6"/>
  <c r="EP173" i="6"/>
  <c r="EE173" i="6"/>
  <c r="EE170" i="6"/>
  <c r="EE171" i="6"/>
  <c r="EP171" i="6"/>
  <c r="EP168" i="6"/>
  <c r="EO169" i="6"/>
  <c r="EO171" i="6"/>
  <c r="EO173" i="6"/>
  <c r="EO168" i="6"/>
  <c r="EZ172" i="6"/>
  <c r="EZ168" i="6"/>
  <c r="EZ171" i="6"/>
  <c r="EZ170" i="6"/>
  <c r="EZ173" i="6"/>
  <c r="EZ169" i="6"/>
  <c r="FK173" i="6"/>
  <c r="FK169" i="6"/>
  <c r="FK172" i="6"/>
  <c r="FK168" i="6"/>
  <c r="FK171" i="6"/>
  <c r="FK170" i="6"/>
  <c r="AF53" i="21"/>
  <c r="AB109" i="21" s="1"/>
  <c r="AF49" i="21"/>
  <c r="AB105" i="21" s="1"/>
  <c r="AT48" i="21"/>
  <c r="AI110" i="21"/>
  <c r="AJ110" i="21" s="1"/>
  <c r="AI107" i="21"/>
  <c r="AJ107" i="21" s="1"/>
  <c r="AW48" i="21"/>
  <c r="AI98" i="21"/>
  <c r="AJ98" i="21" s="1"/>
  <c r="AF45" i="21"/>
  <c r="AB101" i="21" s="1"/>
  <c r="X27" i="21"/>
  <c r="Y27" i="21" s="1"/>
  <c r="AF87" i="21"/>
  <c r="F24" i="20" s="1"/>
  <c r="FB14" i="20" s="1"/>
  <c r="FB17" i="20" s="1"/>
  <c r="AQ35" i="21"/>
  <c r="AW35" i="21"/>
  <c r="AX35" i="21" s="1"/>
  <c r="AZ35" i="21" s="1"/>
  <c r="AH87" i="21" s="1"/>
  <c r="H24" i="20" s="1"/>
  <c r="FB16" i="20" s="1"/>
  <c r="FE16" i="20" s="1"/>
  <c r="I18" i="20"/>
  <c r="CC7" i="20" s="1"/>
  <c r="AJ81" i="21"/>
  <c r="J18" i="20" s="1"/>
  <c r="AI87" i="21"/>
  <c r="AF35" i="21"/>
  <c r="AB87" i="21" s="1"/>
  <c r="B24" i="20" s="1"/>
  <c r="FB6" i="20" s="1"/>
  <c r="FE6" i="20" s="1"/>
  <c r="DJ17" i="20"/>
  <c r="DM14" i="20"/>
  <c r="AK17" i="20"/>
  <c r="AN14" i="20"/>
  <c r="AJ83" i="21"/>
  <c r="J20" i="20" s="1"/>
  <c r="I20" i="20"/>
  <c r="DJ7" i="20" s="1"/>
  <c r="AJ79" i="21"/>
  <c r="J16" i="20" s="1"/>
  <c r="I16" i="20"/>
  <c r="BG7" i="20" s="1"/>
  <c r="AI86" i="21"/>
  <c r="AF34" i="21"/>
  <c r="AB86" i="21" s="1"/>
  <c r="B23" i="20" s="1"/>
  <c r="EQ6" i="20" s="1"/>
  <c r="ET6" i="20" s="1"/>
  <c r="AJ77" i="21"/>
  <c r="J14" i="20" s="1"/>
  <c r="I14" i="20"/>
  <c r="AK7" i="20" s="1"/>
  <c r="AI76" i="21"/>
  <c r="AF24" i="21"/>
  <c r="AB76" i="21" s="1"/>
  <c r="B13" i="20" s="1"/>
  <c r="Z6" i="20" s="1"/>
  <c r="AC6" i="20" s="1"/>
  <c r="AI84" i="21"/>
  <c r="AF32" i="21"/>
  <c r="AB84" i="21" s="1"/>
  <c r="B21" i="20" s="1"/>
  <c r="DU6" i="20" s="1"/>
  <c r="DX6" i="20" s="1"/>
  <c r="AI80" i="21"/>
  <c r="AF28" i="21"/>
  <c r="AB80" i="21" s="1"/>
  <c r="B17" i="20" s="1"/>
  <c r="BR6" i="20" s="1"/>
  <c r="BU6" i="20" s="1"/>
  <c r="AF26" i="21"/>
  <c r="AB78" i="21" s="1"/>
  <c r="B15" i="20" s="1"/>
  <c r="AV6" i="20" s="1"/>
  <c r="AY6" i="20" s="1"/>
  <c r="AI78" i="21"/>
  <c r="EF17" i="20"/>
  <c r="EI14" i="20"/>
  <c r="FM17" i="20"/>
  <c r="FP14" i="20"/>
  <c r="BG17" i="20"/>
  <c r="BJ14" i="20"/>
  <c r="CF14" i="20"/>
  <c r="CC17" i="20"/>
  <c r="CY17" i="20"/>
  <c r="DB14" i="20"/>
  <c r="AJ82" i="21"/>
  <c r="J19" i="20" s="1"/>
  <c r="I19" i="20"/>
  <c r="CY7" i="20" s="1"/>
  <c r="AJ88" i="21"/>
  <c r="J25" i="20" s="1"/>
  <c r="I25" i="20"/>
  <c r="FM7" i="20" s="1"/>
  <c r="AJ85" i="21"/>
  <c r="J22" i="20" s="1"/>
  <c r="I22" i="20"/>
  <c r="EF7" i="20" s="1"/>
  <c r="AX30" i="21"/>
  <c r="AZ30" i="21" s="1"/>
  <c r="AH82" i="21" s="1"/>
  <c r="H19" i="20" s="1"/>
  <c r="CY16" i="20" s="1"/>
  <c r="DB16" i="20" s="1"/>
  <c r="AR33" i="21"/>
  <c r="AU33" i="21" s="1"/>
  <c r="AG85" i="21" s="1"/>
  <c r="G22" i="20" s="1"/>
  <c r="EF15" i="20" s="1"/>
  <c r="EI15" i="20" s="1"/>
  <c r="AR31" i="21"/>
  <c r="AU31" i="21" s="1"/>
  <c r="AG83" i="21" s="1"/>
  <c r="G20" i="20" s="1"/>
  <c r="DJ15" i="20" s="1"/>
  <c r="DM15" i="20" s="1"/>
  <c r="AR27" i="21"/>
  <c r="AU27" i="21" s="1"/>
  <c r="AG79" i="21" s="1"/>
  <c r="G16" i="20" s="1"/>
  <c r="BG15" i="20" s="1"/>
  <c r="BJ15" i="20" s="1"/>
  <c r="AR25" i="21"/>
  <c r="AU25" i="21" s="1"/>
  <c r="AG77" i="21" s="1"/>
  <c r="G14" i="20" s="1"/>
  <c r="AK15" i="20" s="1"/>
  <c r="AN15" i="20" s="1"/>
  <c r="AR47" i="21"/>
  <c r="AU47" i="21"/>
  <c r="AG103" i="21" s="1"/>
  <c r="AR52" i="21"/>
  <c r="AU52" i="21"/>
  <c r="AG108" i="21" s="1"/>
  <c r="AX29" i="21"/>
  <c r="AZ29" i="21" s="1"/>
  <c r="AH81" i="21" s="1"/>
  <c r="H18" i="20" s="1"/>
  <c r="CC16" i="20" s="1"/>
  <c r="CF16" i="20" s="1"/>
  <c r="AR30" i="21"/>
  <c r="AU30" i="21" s="1"/>
  <c r="AG82" i="21" s="1"/>
  <c r="G19" i="20" s="1"/>
  <c r="CY15" i="20" s="1"/>
  <c r="DB15" i="20" s="1"/>
  <c r="AX36" i="21"/>
  <c r="AZ36" i="21"/>
  <c r="AH88" i="21" s="1"/>
  <c r="H25" i="20" s="1"/>
  <c r="FM16" i="20" s="1"/>
  <c r="FP16" i="20" s="1"/>
  <c r="AX44" i="21"/>
  <c r="AZ44" i="21" s="1"/>
  <c r="AH100" i="21" s="1"/>
  <c r="AX48" i="21"/>
  <c r="AZ48" i="21" s="1"/>
  <c r="AH104" i="21" s="1"/>
  <c r="AR44" i="21"/>
  <c r="AU44" i="21"/>
  <c r="AG100" i="21" s="1"/>
  <c r="AR29" i="21"/>
  <c r="AU29" i="21" s="1"/>
  <c r="AG81" i="21" s="1"/>
  <c r="G18" i="20" s="1"/>
  <c r="CC15" i="20" s="1"/>
  <c r="CF15" i="20" s="1"/>
  <c r="AX33" i="21"/>
  <c r="AZ33" i="21" s="1"/>
  <c r="AH85" i="21" s="1"/>
  <c r="H22" i="20" s="1"/>
  <c r="EF16" i="20" s="1"/>
  <c r="EI16" i="20" s="1"/>
  <c r="AO27" i="21"/>
  <c r="AR35" i="21"/>
  <c r="AU35" i="21"/>
  <c r="AG87" i="21" s="1"/>
  <c r="G24" i="20" s="1"/>
  <c r="FB15" i="20" s="1"/>
  <c r="FE15" i="20" s="1"/>
  <c r="AR36" i="21"/>
  <c r="AU36" i="21" s="1"/>
  <c r="AG88" i="21" s="1"/>
  <c r="G25" i="20" s="1"/>
  <c r="FM15" i="20" s="1"/>
  <c r="FP15" i="20" s="1"/>
  <c r="AX31" i="21"/>
  <c r="AZ31" i="21" s="1"/>
  <c r="AH83" i="21" s="1"/>
  <c r="H20" i="20" s="1"/>
  <c r="DJ16" i="20" s="1"/>
  <c r="DM16" i="20" s="1"/>
  <c r="AX27" i="21"/>
  <c r="AZ27" i="21" s="1"/>
  <c r="AH79" i="21" s="1"/>
  <c r="H16" i="20" s="1"/>
  <c r="BG16" i="20" s="1"/>
  <c r="BJ16" i="20" s="1"/>
  <c r="AX25" i="21"/>
  <c r="AZ25" i="21" s="1"/>
  <c r="AH77" i="21" s="1"/>
  <c r="H14" i="20" s="1"/>
  <c r="AK16" i="20" s="1"/>
  <c r="AN16" i="20" s="1"/>
  <c r="AZ52" i="21"/>
  <c r="AH108" i="21" s="1"/>
  <c r="AX52" i="21"/>
  <c r="AX47" i="21"/>
  <c r="AZ47" i="21" s="1"/>
  <c r="AH103" i="21" s="1"/>
  <c r="AR48" i="21"/>
  <c r="AU48" i="21" s="1"/>
  <c r="AG104" i="21" s="1"/>
  <c r="AQ50" i="21"/>
  <c r="AT50" i="21"/>
  <c r="AQ43" i="21"/>
  <c r="AT43" i="21"/>
  <c r="AQ53" i="21"/>
  <c r="AT53" i="21"/>
  <c r="AQ45" i="21"/>
  <c r="AT45" i="21"/>
  <c r="O48" i="21"/>
  <c r="R48" i="21" s="1"/>
  <c r="T48" i="21" s="1"/>
  <c r="AT54" i="21"/>
  <c r="AQ54" i="21"/>
  <c r="AT42" i="21"/>
  <c r="AQ42" i="21"/>
  <c r="AI47" i="21"/>
  <c r="AO48" i="21"/>
  <c r="AQ51" i="21"/>
  <c r="AT51" i="21"/>
  <c r="AQ49" i="21"/>
  <c r="AT49" i="21"/>
  <c r="AQ46" i="21"/>
  <c r="AT46" i="21"/>
  <c r="AW50" i="21"/>
  <c r="AW45" i="21"/>
  <c r="AW43" i="21"/>
  <c r="AW51" i="21"/>
  <c r="AW42" i="21"/>
  <c r="AW53" i="21"/>
  <c r="AI33" i="21"/>
  <c r="AW54" i="21"/>
  <c r="AW49" i="21"/>
  <c r="AW46" i="21"/>
  <c r="X47" i="21"/>
  <c r="Y47" i="21" s="1"/>
  <c r="Z47" i="21" s="1"/>
  <c r="AK47" i="21" s="1"/>
  <c r="X33" i="21"/>
  <c r="Y33" i="21" s="1"/>
  <c r="Z33" i="21" s="1"/>
  <c r="AK33" i="21" s="1"/>
  <c r="W46" i="21"/>
  <c r="AH46" i="21" s="1"/>
  <c r="AH35" i="21"/>
  <c r="AI35" i="21" s="1"/>
  <c r="W53" i="21"/>
  <c r="AH53" i="21" s="1"/>
  <c r="AO53" i="21"/>
  <c r="W45" i="21"/>
  <c r="AH45" i="21" s="1"/>
  <c r="AO45" i="21"/>
  <c r="O51" i="21"/>
  <c r="R51" i="21" s="1"/>
  <c r="T51" i="21" s="1"/>
  <c r="AO51" i="21"/>
  <c r="AF80" i="21"/>
  <c r="F17" i="20" s="1"/>
  <c r="BR14" i="20" s="1"/>
  <c r="AW28" i="21"/>
  <c r="AQ28" i="21"/>
  <c r="AF78" i="21"/>
  <c r="F15" i="20" s="1"/>
  <c r="AV14" i="20" s="1"/>
  <c r="AW26" i="21"/>
  <c r="AQ26" i="21"/>
  <c r="O54" i="21"/>
  <c r="R54" i="21" s="1"/>
  <c r="T54" i="21" s="1"/>
  <c r="AO54" i="21"/>
  <c r="W24" i="21"/>
  <c r="AH24" i="21" s="1"/>
  <c r="AO24" i="21"/>
  <c r="O32" i="21"/>
  <c r="R32" i="21" s="1"/>
  <c r="T32" i="21" s="1"/>
  <c r="AO32" i="21"/>
  <c r="AF86" i="21"/>
  <c r="F23" i="20" s="1"/>
  <c r="EQ14" i="20" s="1"/>
  <c r="AW34" i="21"/>
  <c r="AQ34" i="21"/>
  <c r="W42" i="21"/>
  <c r="AH42" i="21" s="1"/>
  <c r="AO42" i="21"/>
  <c r="W28" i="21"/>
  <c r="AH28" i="21" s="1"/>
  <c r="AO28" i="21"/>
  <c r="W26" i="21"/>
  <c r="AH26" i="21" s="1"/>
  <c r="AO26" i="21"/>
  <c r="X30" i="21"/>
  <c r="Y30" i="21" s="1"/>
  <c r="Z30" i="21" s="1"/>
  <c r="AK30" i="21" s="1"/>
  <c r="AF76" i="21"/>
  <c r="F13" i="20" s="1"/>
  <c r="Z14" i="20" s="1"/>
  <c r="AW24" i="21"/>
  <c r="AF84" i="21"/>
  <c r="F21" i="20" s="1"/>
  <c r="DU14" i="20" s="1"/>
  <c r="AW32" i="21"/>
  <c r="AQ32" i="21"/>
  <c r="W50" i="21"/>
  <c r="AH50" i="21" s="1"/>
  <c r="AO50" i="21"/>
  <c r="W43" i="21"/>
  <c r="AH43" i="21" s="1"/>
  <c r="AI43" i="21" s="1"/>
  <c r="AO43" i="21"/>
  <c r="W49" i="21"/>
  <c r="AH49" i="21" s="1"/>
  <c r="AO49" i="21"/>
  <c r="W32" i="21"/>
  <c r="AI30" i="21"/>
  <c r="O42" i="21"/>
  <c r="R42" i="21" s="1"/>
  <c r="T42" i="21" s="1"/>
  <c r="O50" i="21"/>
  <c r="R50" i="21" s="1"/>
  <c r="T50" i="21" s="1"/>
  <c r="O53" i="21"/>
  <c r="R53" i="21" s="1"/>
  <c r="T53" i="21" s="1"/>
  <c r="O26" i="21"/>
  <c r="R26" i="21" s="1"/>
  <c r="T26" i="21" s="1"/>
  <c r="O28" i="21"/>
  <c r="R28" i="21" s="1"/>
  <c r="T28" i="21" s="1"/>
  <c r="AI25" i="21"/>
  <c r="T36" i="21"/>
  <c r="Z35" i="21"/>
  <c r="AK35" i="21" s="1"/>
  <c r="AJ35" i="21"/>
  <c r="X41" i="21"/>
  <c r="Y41" i="21" s="1"/>
  <c r="AH41" i="21"/>
  <c r="AI41" i="21" s="1"/>
  <c r="X44" i="21"/>
  <c r="Y44" i="21" s="1"/>
  <c r="AH44" i="21"/>
  <c r="AI44" i="21" s="1"/>
  <c r="O46" i="21"/>
  <c r="R46" i="21" s="1"/>
  <c r="T46" i="21" s="1"/>
  <c r="O24" i="21"/>
  <c r="R24" i="21" s="1"/>
  <c r="T24" i="21" s="1"/>
  <c r="O49" i="21"/>
  <c r="R49" i="21" s="1"/>
  <c r="T49" i="21" s="1"/>
  <c r="W54" i="21"/>
  <c r="AH54" i="21" s="1"/>
  <c r="O45" i="21"/>
  <c r="R45" i="21" s="1"/>
  <c r="T45" i="21" s="1"/>
  <c r="W51" i="21"/>
  <c r="AH29" i="21"/>
  <c r="AI29" i="21" s="1"/>
  <c r="X29" i="21"/>
  <c r="Y29" i="21" s="1"/>
  <c r="X31" i="21"/>
  <c r="Y31" i="21" s="1"/>
  <c r="AH31" i="21"/>
  <c r="AI31" i="21" s="1"/>
  <c r="Z27" i="21"/>
  <c r="AK27" i="21" s="1"/>
  <c r="AJ27" i="21"/>
  <c r="Z52" i="21"/>
  <c r="AK52" i="21" s="1"/>
  <c r="AJ52" i="21"/>
  <c r="X36" i="21"/>
  <c r="Y36" i="21" s="1"/>
  <c r="AJ36" i="21" s="1"/>
  <c r="AH36" i="21"/>
  <c r="AI36" i="21" s="1"/>
  <c r="O34" i="21"/>
  <c r="R34" i="21" s="1"/>
  <c r="T34" i="21" s="1"/>
  <c r="W34" i="21"/>
  <c r="X25" i="21"/>
  <c r="Y25" i="21" s="1"/>
  <c r="FK107" i="5"/>
  <c r="FK106" i="5"/>
  <c r="FK105" i="5"/>
  <c r="FK102" i="5"/>
  <c r="FK101" i="5"/>
  <c r="EY107" i="5"/>
  <c r="EY106" i="5"/>
  <c r="EY105" i="5"/>
  <c r="EY102" i="5"/>
  <c r="EY101" i="5"/>
  <c r="L208" i="16"/>
  <c r="K20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188" i="16"/>
  <c r="E208" i="16"/>
  <c r="B137" i="5" s="1"/>
  <c r="H209" i="16"/>
  <c r="H208" i="16"/>
  <c r="G208" i="16"/>
  <c r="E203" i="16"/>
  <c r="E191" i="16"/>
  <c r="F210" i="16"/>
  <c r="B118" i="5"/>
  <c r="C118" i="5"/>
  <c r="D118" i="5"/>
  <c r="B119" i="5"/>
  <c r="C119" i="5"/>
  <c r="D119" i="5"/>
  <c r="B120" i="5"/>
  <c r="C120" i="5"/>
  <c r="D120" i="5"/>
  <c r="B121" i="5"/>
  <c r="C121" i="5"/>
  <c r="D121" i="5"/>
  <c r="B122" i="5"/>
  <c r="C122" i="5"/>
  <c r="D122" i="5"/>
  <c r="B123" i="5"/>
  <c r="C123" i="5"/>
  <c r="D123" i="5"/>
  <c r="B124" i="5"/>
  <c r="C124" i="5"/>
  <c r="D124" i="5"/>
  <c r="B125" i="5"/>
  <c r="C125" i="5"/>
  <c r="D125" i="5"/>
  <c r="B126" i="5"/>
  <c r="C126" i="5"/>
  <c r="D126" i="5"/>
  <c r="B127" i="5"/>
  <c r="C127" i="5"/>
  <c r="D127" i="5"/>
  <c r="B128" i="5"/>
  <c r="C128" i="5"/>
  <c r="D128" i="5"/>
  <c r="B129" i="5"/>
  <c r="C129" i="5"/>
  <c r="D129" i="5"/>
  <c r="B130" i="5"/>
  <c r="C130" i="5"/>
  <c r="D130" i="5"/>
  <c r="B131" i="5"/>
  <c r="C131" i="5"/>
  <c r="D131" i="5"/>
  <c r="B132" i="5"/>
  <c r="C132" i="5"/>
  <c r="D132" i="5"/>
  <c r="B133" i="5"/>
  <c r="C133" i="5"/>
  <c r="D133" i="5"/>
  <c r="B144" i="5"/>
  <c r="C144" i="5"/>
  <c r="D144" i="5"/>
  <c r="B145" i="5"/>
  <c r="C145" i="5"/>
  <c r="D145" i="5"/>
  <c r="B146" i="5"/>
  <c r="C146" i="5"/>
  <c r="D146" i="5"/>
  <c r="B147" i="5"/>
  <c r="C147" i="5"/>
  <c r="D147" i="5"/>
  <c r="B148" i="5"/>
  <c r="C148" i="5"/>
  <c r="D148" i="5"/>
  <c r="B149" i="5"/>
  <c r="C149" i="5"/>
  <c r="D149" i="5"/>
  <c r="B150" i="5"/>
  <c r="C150" i="5"/>
  <c r="D150" i="5"/>
  <c r="B151" i="5"/>
  <c r="C151" i="5"/>
  <c r="D151" i="5"/>
  <c r="B152" i="5"/>
  <c r="C152" i="5"/>
  <c r="D152" i="5"/>
  <c r="F223" i="16"/>
  <c r="F219" i="16"/>
  <c r="P223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188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K217" i="16"/>
  <c r="EN107" i="5"/>
  <c r="EN106" i="5"/>
  <c r="EN105" i="5"/>
  <c r="EN102" i="5"/>
  <c r="EN101" i="5"/>
  <c r="EC107" i="5"/>
  <c r="EC106" i="5"/>
  <c r="EC105" i="5"/>
  <c r="EC102" i="5"/>
  <c r="EC101" i="5"/>
  <c r="D87" i="6"/>
  <c r="D86" i="6"/>
  <c r="BL103" i="16"/>
  <c r="BL70" i="16"/>
  <c r="W30" i="6"/>
  <c r="FJ225" i="6" l="1"/>
  <c r="FK218" i="6"/>
  <c r="FL218" i="6"/>
  <c r="FJ214" i="6"/>
  <c r="FK213" i="6"/>
  <c r="FJ241" i="6"/>
  <c r="FL213" i="6"/>
  <c r="FJ220" i="6"/>
  <c r="FL219" i="6"/>
  <c r="FJ233" i="6"/>
  <c r="FK219" i="6"/>
  <c r="FL226" i="6"/>
  <c r="FJ227" i="6"/>
  <c r="FK226" i="6"/>
  <c r="FK240" i="6"/>
  <c r="FL240" i="6"/>
  <c r="EY240" i="6"/>
  <c r="EY219" i="6"/>
  <c r="EZ212" i="6"/>
  <c r="EY218" i="6"/>
  <c r="EY226" i="6"/>
  <c r="FA212" i="6"/>
  <c r="EY213" i="6"/>
  <c r="EL218" i="5"/>
  <c r="EN190" i="5"/>
  <c r="EL204" i="5"/>
  <c r="EM190" i="5"/>
  <c r="EL191" i="5"/>
  <c r="EW218" i="5"/>
  <c r="EY190" i="5"/>
  <c r="EX190" i="5"/>
  <c r="EW191" i="5"/>
  <c r="EW204" i="5"/>
  <c r="AF218" i="5"/>
  <c r="AH190" i="5"/>
  <c r="AF191" i="5"/>
  <c r="AG190" i="5"/>
  <c r="AF204" i="5"/>
  <c r="CT218" i="5"/>
  <c r="CV190" i="5"/>
  <c r="CU190" i="5"/>
  <c r="CT191" i="5"/>
  <c r="CT204" i="5"/>
  <c r="DP198" i="5"/>
  <c r="DP211" i="5"/>
  <c r="DQ197" i="5"/>
  <c r="DR197" i="5"/>
  <c r="CI198" i="5"/>
  <c r="CI211" i="5"/>
  <c r="CK197" i="5"/>
  <c r="CJ197" i="5"/>
  <c r="BM198" i="5"/>
  <c r="BM211" i="5"/>
  <c r="BO197" i="5"/>
  <c r="BN197" i="5"/>
  <c r="EC198" i="5"/>
  <c r="EA199" i="5"/>
  <c r="EB198" i="5"/>
  <c r="EL198" i="5"/>
  <c r="EM197" i="5"/>
  <c r="EN197" i="5"/>
  <c r="EL211" i="5"/>
  <c r="EW198" i="5"/>
  <c r="EW211" i="5"/>
  <c r="EX197" i="5"/>
  <c r="EY197" i="5"/>
  <c r="AQ218" i="5"/>
  <c r="AR190" i="5"/>
  <c r="AQ204" i="5"/>
  <c r="AS190" i="5"/>
  <c r="AQ191" i="5"/>
  <c r="EB191" i="5"/>
  <c r="EC191" i="5"/>
  <c r="EA192" i="5"/>
  <c r="EA219" i="5"/>
  <c r="FI218" i="5"/>
  <c r="FK190" i="5"/>
  <c r="FI204" i="5"/>
  <c r="FJ190" i="5"/>
  <c r="FI191" i="5"/>
  <c r="DE218" i="5"/>
  <c r="DE191" i="5"/>
  <c r="DE204" i="5"/>
  <c r="DF190" i="5"/>
  <c r="DG190" i="5"/>
  <c r="BX198" i="5"/>
  <c r="BY197" i="5"/>
  <c r="BZ197" i="5"/>
  <c r="BX211" i="5"/>
  <c r="J198" i="5"/>
  <c r="L197" i="5"/>
  <c r="K197" i="5"/>
  <c r="J211" i="5"/>
  <c r="AQ198" i="5"/>
  <c r="AS197" i="5"/>
  <c r="AQ211" i="5"/>
  <c r="AR197" i="5"/>
  <c r="AF198" i="5"/>
  <c r="AF211" i="5"/>
  <c r="AH197" i="5"/>
  <c r="AG197" i="5"/>
  <c r="CT198" i="5"/>
  <c r="CT211" i="5"/>
  <c r="CU197" i="5"/>
  <c r="CV197" i="5"/>
  <c r="FI198" i="5"/>
  <c r="FJ197" i="5"/>
  <c r="FK197" i="5"/>
  <c r="FI211" i="5"/>
  <c r="CI218" i="5"/>
  <c r="CI191" i="5"/>
  <c r="CK190" i="5"/>
  <c r="CJ190" i="5"/>
  <c r="CI204" i="5"/>
  <c r="DE198" i="5"/>
  <c r="DG197" i="5"/>
  <c r="DE211" i="5"/>
  <c r="DF197" i="5"/>
  <c r="BB218" i="5"/>
  <c r="BC190" i="5"/>
  <c r="BD190" i="5"/>
  <c r="BB204" i="5"/>
  <c r="BB191" i="5"/>
  <c r="EB211" i="5"/>
  <c r="EA212" i="5"/>
  <c r="EC211" i="5"/>
  <c r="U198" i="5"/>
  <c r="V197" i="5"/>
  <c r="W197" i="5"/>
  <c r="U211" i="5"/>
  <c r="BX218" i="5"/>
  <c r="BZ190" i="5"/>
  <c r="BX204" i="5"/>
  <c r="BY190" i="5"/>
  <c r="BX191" i="5"/>
  <c r="K190" i="5"/>
  <c r="J218" i="5"/>
  <c r="L190" i="5"/>
  <c r="J204" i="5"/>
  <c r="J191" i="5"/>
  <c r="DP218" i="5"/>
  <c r="DQ190" i="5"/>
  <c r="DR190" i="5"/>
  <c r="DP191" i="5"/>
  <c r="DP204" i="5"/>
  <c r="EB204" i="5"/>
  <c r="EA205" i="5"/>
  <c r="EC204" i="5"/>
  <c r="EB218" i="5"/>
  <c r="EC218" i="5"/>
  <c r="BM218" i="5"/>
  <c r="BN190" i="5"/>
  <c r="BO190" i="5"/>
  <c r="BM204" i="5"/>
  <c r="BM191" i="5"/>
  <c r="BB198" i="5"/>
  <c r="BB211" i="5"/>
  <c r="BC197" i="5"/>
  <c r="BD197" i="5"/>
  <c r="W190" i="5"/>
  <c r="U191" i="5"/>
  <c r="U204" i="5"/>
  <c r="V190" i="5"/>
  <c r="U218" i="5"/>
  <c r="FE14" i="20"/>
  <c r="FE17" i="20"/>
  <c r="FB18" i="20"/>
  <c r="CF17" i="20"/>
  <c r="CC18" i="20"/>
  <c r="DB17" i="20"/>
  <c r="CY18" i="20"/>
  <c r="FP17" i="20"/>
  <c r="FM18" i="20"/>
  <c r="AN17" i="20"/>
  <c r="AK18" i="20"/>
  <c r="BJ17" i="20"/>
  <c r="BG18" i="20"/>
  <c r="EI17" i="20"/>
  <c r="EF18" i="20"/>
  <c r="DM17" i="20"/>
  <c r="DJ18" i="20"/>
  <c r="I24" i="20"/>
  <c r="FB7" i="20" s="1"/>
  <c r="AJ87" i="21"/>
  <c r="J24" i="20" s="1"/>
  <c r="Z17" i="20"/>
  <c r="AC14" i="20"/>
  <c r="FM8" i="20"/>
  <c r="FP8" i="20" s="1"/>
  <c r="FP7" i="20"/>
  <c r="AJ80" i="21"/>
  <c r="J17" i="20" s="1"/>
  <c r="I17" i="20"/>
  <c r="BR7" i="20" s="1"/>
  <c r="AJ76" i="21"/>
  <c r="J13" i="20" s="1"/>
  <c r="I13" i="20"/>
  <c r="Z7" i="20" s="1"/>
  <c r="AJ86" i="21"/>
  <c r="J23" i="20" s="1"/>
  <c r="I23" i="20"/>
  <c r="EQ7" i="20" s="1"/>
  <c r="DM7" i="20"/>
  <c r="DJ8" i="20"/>
  <c r="DM8" i="20" s="1"/>
  <c r="AV17" i="20"/>
  <c r="AY14" i="20"/>
  <c r="AJ78" i="21"/>
  <c r="J15" i="20" s="1"/>
  <c r="I15" i="20"/>
  <c r="AV7" i="20" s="1"/>
  <c r="AN7" i="20"/>
  <c r="AK8" i="20"/>
  <c r="AN8" i="20" s="1"/>
  <c r="BG8" i="20"/>
  <c r="BJ8" i="20" s="1"/>
  <c r="BJ7" i="20"/>
  <c r="CC8" i="20"/>
  <c r="CF8" i="20" s="1"/>
  <c r="CF7" i="20"/>
  <c r="DU17" i="20"/>
  <c r="DX14" i="20"/>
  <c r="EQ17" i="20"/>
  <c r="ET14" i="20"/>
  <c r="BR17" i="20"/>
  <c r="BU14" i="20"/>
  <c r="EF8" i="20"/>
  <c r="EI8" i="20" s="1"/>
  <c r="EI7" i="20"/>
  <c r="DB7" i="20"/>
  <c r="CY8" i="20"/>
  <c r="DB8" i="20" s="1"/>
  <c r="AJ84" i="21"/>
  <c r="J21" i="20" s="1"/>
  <c r="I21" i="20"/>
  <c r="DU7" i="20" s="1"/>
  <c r="AX46" i="21"/>
  <c r="AZ46" i="21" s="1"/>
  <c r="AH102" i="21" s="1"/>
  <c r="AR45" i="21"/>
  <c r="AU45" i="21"/>
  <c r="AG101" i="21" s="1"/>
  <c r="AX24" i="21"/>
  <c r="AZ24" i="21" s="1"/>
  <c r="AH76" i="21" s="1"/>
  <c r="H13" i="20" s="1"/>
  <c r="Z16" i="20" s="1"/>
  <c r="AC16" i="20" s="1"/>
  <c r="AX43" i="21"/>
  <c r="AZ43" i="21" s="1"/>
  <c r="AH99" i="21" s="1"/>
  <c r="AX50" i="21"/>
  <c r="AZ50" i="21" s="1"/>
  <c r="AH106" i="21" s="1"/>
  <c r="AR49" i="21"/>
  <c r="AU49" i="21" s="1"/>
  <c r="AG105" i="21" s="1"/>
  <c r="AR32" i="21"/>
  <c r="AU32" i="21" s="1"/>
  <c r="AG84" i="21" s="1"/>
  <c r="G21" i="20" s="1"/>
  <c r="DU15" i="20" s="1"/>
  <c r="DX15" i="20" s="1"/>
  <c r="AR34" i="21"/>
  <c r="AU34" i="21" s="1"/>
  <c r="AG86" i="21" s="1"/>
  <c r="G23" i="20" s="1"/>
  <c r="EQ15" i="20" s="1"/>
  <c r="ET15" i="20" s="1"/>
  <c r="AR28" i="21"/>
  <c r="AU28" i="21" s="1"/>
  <c r="AG80" i="21" s="1"/>
  <c r="G17" i="20" s="1"/>
  <c r="BR15" i="20" s="1"/>
  <c r="BU15" i="20" s="1"/>
  <c r="AX49" i="21"/>
  <c r="AZ49" i="21"/>
  <c r="AH105" i="21" s="1"/>
  <c r="AR42" i="21"/>
  <c r="AU42" i="21"/>
  <c r="AG98" i="21" s="1"/>
  <c r="AR53" i="21"/>
  <c r="AU53" i="21"/>
  <c r="AG109" i="21" s="1"/>
  <c r="AR50" i="21"/>
  <c r="AU50" i="21"/>
  <c r="AG106" i="21" s="1"/>
  <c r="AX26" i="21"/>
  <c r="AZ26" i="21" s="1"/>
  <c r="AH78" i="21" s="1"/>
  <c r="H15" i="20" s="1"/>
  <c r="AV16" i="20" s="1"/>
  <c r="AY16" i="20" s="1"/>
  <c r="AX54" i="21"/>
  <c r="AZ54" i="21"/>
  <c r="AH110" i="21" s="1"/>
  <c r="AR54" i="21"/>
  <c r="AU54" i="21" s="1"/>
  <c r="AG110" i="21" s="1"/>
  <c r="AR43" i="21"/>
  <c r="AU43" i="21"/>
  <c r="AG99" i="21" s="1"/>
  <c r="AX42" i="21"/>
  <c r="AZ42" i="21" s="1"/>
  <c r="AH98" i="21" s="1"/>
  <c r="AJ33" i="21"/>
  <c r="AX32" i="21"/>
  <c r="AZ32" i="21" s="1"/>
  <c r="AH84" i="21" s="1"/>
  <c r="H21" i="20" s="1"/>
  <c r="DU16" i="20" s="1"/>
  <c r="DX16" i="20" s="1"/>
  <c r="AX34" i="21"/>
  <c r="AZ34" i="21" s="1"/>
  <c r="AH86" i="21" s="1"/>
  <c r="H23" i="20" s="1"/>
  <c r="EQ16" i="20" s="1"/>
  <c r="ET16" i="20" s="1"/>
  <c r="AR26" i="21"/>
  <c r="AU26" i="21" s="1"/>
  <c r="AG78" i="21" s="1"/>
  <c r="G15" i="20" s="1"/>
  <c r="AV15" i="20" s="1"/>
  <c r="AY15" i="20" s="1"/>
  <c r="AX28" i="21"/>
  <c r="AZ28" i="21" s="1"/>
  <c r="AH80" i="21" s="1"/>
  <c r="H17" i="20" s="1"/>
  <c r="BR16" i="20" s="1"/>
  <c r="BU16" i="20" s="1"/>
  <c r="AX53" i="21"/>
  <c r="AZ53" i="21"/>
  <c r="AH109" i="21" s="1"/>
  <c r="AZ51" i="21"/>
  <c r="AH107" i="21" s="1"/>
  <c r="AX51" i="21"/>
  <c r="AX45" i="21"/>
  <c r="AZ45" i="21"/>
  <c r="AH101" i="21" s="1"/>
  <c r="AR46" i="21"/>
  <c r="AU46" i="21" s="1"/>
  <c r="AG102" i="21" s="1"/>
  <c r="AR51" i="21"/>
  <c r="AU51" i="21"/>
  <c r="AG107" i="21" s="1"/>
  <c r="AJ47" i="21"/>
  <c r="X48" i="21"/>
  <c r="Y48" i="21" s="1"/>
  <c r="AI48" i="21"/>
  <c r="X53" i="21"/>
  <c r="Y53" i="21" s="1"/>
  <c r="Z53" i="21" s="1"/>
  <c r="AK53" i="21" s="1"/>
  <c r="AI54" i="21"/>
  <c r="X32" i="21"/>
  <c r="Y32" i="21" s="1"/>
  <c r="AJ32" i="21" s="1"/>
  <c r="AH32" i="21"/>
  <c r="AI32" i="21" s="1"/>
  <c r="X54" i="21"/>
  <c r="Y54" i="21" s="1"/>
  <c r="AJ54" i="21" s="1"/>
  <c r="AJ30" i="21"/>
  <c r="X43" i="21"/>
  <c r="Y43" i="21" s="1"/>
  <c r="AJ43" i="21" s="1"/>
  <c r="X50" i="21"/>
  <c r="Y50" i="21" s="1"/>
  <c r="Z50" i="21" s="1"/>
  <c r="AK50" i="21" s="1"/>
  <c r="AI50" i="21"/>
  <c r="AI53" i="21"/>
  <c r="X28" i="21"/>
  <c r="Y28" i="21" s="1"/>
  <c r="Z28" i="21" s="1"/>
  <c r="AK28" i="21" s="1"/>
  <c r="AI42" i="21"/>
  <c r="X42" i="21"/>
  <c r="Y42" i="21" s="1"/>
  <c r="AJ42" i="21" s="1"/>
  <c r="X46" i="21"/>
  <c r="Y46" i="21" s="1"/>
  <c r="AI26" i="21"/>
  <c r="X26" i="21"/>
  <c r="Y26" i="21" s="1"/>
  <c r="Z26" i="21" s="1"/>
  <c r="AK26" i="21" s="1"/>
  <c r="AI49" i="21"/>
  <c r="X45" i="21"/>
  <c r="Y45" i="21" s="1"/>
  <c r="Z45" i="21" s="1"/>
  <c r="AK45" i="21" s="1"/>
  <c r="AI46" i="21"/>
  <c r="AI45" i="21"/>
  <c r="X49" i="21"/>
  <c r="Y49" i="21" s="1"/>
  <c r="AJ49" i="21" s="1"/>
  <c r="AI28" i="21"/>
  <c r="AH34" i="21"/>
  <c r="AI34" i="21" s="1"/>
  <c r="X34" i="21"/>
  <c r="Y34" i="21" s="1"/>
  <c r="Z29" i="21"/>
  <c r="AK29" i="21" s="1"/>
  <c r="AJ29" i="21"/>
  <c r="X51" i="21"/>
  <c r="Y51" i="21" s="1"/>
  <c r="AH51" i="21"/>
  <c r="AI51" i="21" s="1"/>
  <c r="Z36" i="21"/>
  <c r="AK36" i="21" s="1"/>
  <c r="AI24" i="21"/>
  <c r="Z25" i="21"/>
  <c r="AK25" i="21" s="1"/>
  <c r="AJ25" i="21"/>
  <c r="AJ53" i="21"/>
  <c r="AJ31" i="21"/>
  <c r="Z31" i="21"/>
  <c r="AK31" i="21" s="1"/>
  <c r="Z44" i="21"/>
  <c r="AK44" i="21" s="1"/>
  <c r="AJ44" i="21"/>
  <c r="Z43" i="21"/>
  <c r="AK43" i="21" s="1"/>
  <c r="Z41" i="21"/>
  <c r="AK41" i="21" s="1"/>
  <c r="AJ41" i="21"/>
  <c r="X24" i="21"/>
  <c r="Y24" i="21" s="1"/>
  <c r="FJ221" i="6" l="1"/>
  <c r="FK220" i="6"/>
  <c r="FL220" i="6"/>
  <c r="FJ215" i="6"/>
  <c r="FL214" i="6"/>
  <c r="FK214" i="6"/>
  <c r="FK233" i="6"/>
  <c r="FJ234" i="6"/>
  <c r="FL233" i="6"/>
  <c r="FK241" i="6"/>
  <c r="FL241" i="6"/>
  <c r="FJ228" i="6"/>
  <c r="FL227" i="6"/>
  <c r="FK227" i="6"/>
  <c r="FK225" i="6"/>
  <c r="FL225" i="6"/>
  <c r="FJ232" i="6"/>
  <c r="EY214" i="6"/>
  <c r="FA213" i="6"/>
  <c r="EZ213" i="6"/>
  <c r="EY241" i="6"/>
  <c r="EZ218" i="6"/>
  <c r="FA218" i="6"/>
  <c r="EY225" i="6"/>
  <c r="EY220" i="6"/>
  <c r="FA219" i="6"/>
  <c r="EZ219" i="6"/>
  <c r="EY233" i="6"/>
  <c r="EY227" i="6"/>
  <c r="EZ226" i="6"/>
  <c r="FA226" i="6"/>
  <c r="EZ240" i="6"/>
  <c r="FA240" i="6"/>
  <c r="BN191" i="5"/>
  <c r="BO191" i="5"/>
  <c r="BM192" i="5"/>
  <c r="BM219" i="5"/>
  <c r="DQ191" i="5"/>
  <c r="DP219" i="5"/>
  <c r="DR191" i="5"/>
  <c r="DP192" i="5"/>
  <c r="K218" i="5"/>
  <c r="L218" i="5"/>
  <c r="CK218" i="5"/>
  <c r="CJ218" i="5"/>
  <c r="CU211" i="5"/>
  <c r="CT212" i="5"/>
  <c r="CV211" i="5"/>
  <c r="V191" i="5"/>
  <c r="U192" i="5"/>
  <c r="W191" i="5"/>
  <c r="U219" i="5"/>
  <c r="BM205" i="5"/>
  <c r="BO204" i="5"/>
  <c r="BN204" i="5"/>
  <c r="EC212" i="5"/>
  <c r="EB212" i="5"/>
  <c r="EA213" i="5"/>
  <c r="DF211" i="5"/>
  <c r="DG211" i="5"/>
  <c r="DE212" i="5"/>
  <c r="FJ211" i="5"/>
  <c r="FK211" i="5"/>
  <c r="FI212" i="5"/>
  <c r="CU198" i="5"/>
  <c r="CT199" i="5"/>
  <c r="CV198" i="5"/>
  <c r="AR198" i="5"/>
  <c r="AS198" i="5"/>
  <c r="AQ199" i="5"/>
  <c r="BY198" i="5"/>
  <c r="BX199" i="5"/>
  <c r="BZ198" i="5"/>
  <c r="DG204" i="5"/>
  <c r="DE205" i="5"/>
  <c r="DF204" i="5"/>
  <c r="FJ218" i="5"/>
  <c r="FK218" i="5"/>
  <c r="AS204" i="5"/>
  <c r="AQ205" i="5"/>
  <c r="AR204" i="5"/>
  <c r="CV218" i="5"/>
  <c r="CU218" i="5"/>
  <c r="EN204" i="5"/>
  <c r="EL205" i="5"/>
  <c r="EM204" i="5"/>
  <c r="V218" i="5"/>
  <c r="W218" i="5"/>
  <c r="BC198" i="5"/>
  <c r="BB199" i="5"/>
  <c r="BD198" i="5"/>
  <c r="L211" i="5"/>
  <c r="K211" i="5"/>
  <c r="J212" i="5"/>
  <c r="BY211" i="5"/>
  <c r="BX212" i="5"/>
  <c r="BZ211" i="5"/>
  <c r="DF191" i="5"/>
  <c r="DG191" i="5"/>
  <c r="DE192" i="5"/>
  <c r="DE219" i="5"/>
  <c r="EB219" i="5"/>
  <c r="EC219" i="5"/>
  <c r="EX211" i="5"/>
  <c r="EY211" i="5"/>
  <c r="EW212" i="5"/>
  <c r="BM199" i="5"/>
  <c r="BN198" i="5"/>
  <c r="BO198" i="5"/>
  <c r="CJ198" i="5"/>
  <c r="CK198" i="5"/>
  <c r="CI199" i="5"/>
  <c r="DQ211" i="5"/>
  <c r="DP212" i="5"/>
  <c r="DR211" i="5"/>
  <c r="CU191" i="5"/>
  <c r="CV191" i="5"/>
  <c r="CT192" i="5"/>
  <c r="CT219" i="5"/>
  <c r="EX191" i="5"/>
  <c r="EY191" i="5"/>
  <c r="EW192" i="5"/>
  <c r="EW219" i="5"/>
  <c r="W204" i="5"/>
  <c r="U205" i="5"/>
  <c r="V204" i="5"/>
  <c r="BN218" i="5"/>
  <c r="BO218" i="5"/>
  <c r="EC205" i="5"/>
  <c r="EB205" i="5"/>
  <c r="EA206" i="5"/>
  <c r="J192" i="5"/>
  <c r="K191" i="5"/>
  <c r="L191" i="5"/>
  <c r="J219" i="5"/>
  <c r="U212" i="5"/>
  <c r="V211" i="5"/>
  <c r="W211" i="5"/>
  <c r="BB205" i="5"/>
  <c r="BC204" i="5"/>
  <c r="BD204" i="5"/>
  <c r="CI205" i="5"/>
  <c r="CK204" i="5"/>
  <c r="CJ204" i="5"/>
  <c r="FK198" i="5"/>
  <c r="FI199" i="5"/>
  <c r="FJ198" i="5"/>
  <c r="AG211" i="5"/>
  <c r="AH211" i="5"/>
  <c r="AF212" i="5"/>
  <c r="EM211" i="5"/>
  <c r="EL212" i="5"/>
  <c r="EN211" i="5"/>
  <c r="BC211" i="5"/>
  <c r="BD211" i="5"/>
  <c r="BB212" i="5"/>
  <c r="J205" i="5"/>
  <c r="K204" i="5"/>
  <c r="L204" i="5"/>
  <c r="BZ204" i="5"/>
  <c r="BX205" i="5"/>
  <c r="BY204" i="5"/>
  <c r="AH198" i="5"/>
  <c r="AG198" i="5"/>
  <c r="AF199" i="5"/>
  <c r="J199" i="5"/>
  <c r="K198" i="5"/>
  <c r="L198" i="5"/>
  <c r="FI219" i="5"/>
  <c r="FI192" i="5"/>
  <c r="FK191" i="5"/>
  <c r="FJ191" i="5"/>
  <c r="EA200" i="5"/>
  <c r="EC199" i="5"/>
  <c r="EB199" i="5"/>
  <c r="BN211" i="5"/>
  <c r="BO211" i="5"/>
  <c r="BM212" i="5"/>
  <c r="CJ211" i="5"/>
  <c r="CK211" i="5"/>
  <c r="CI212" i="5"/>
  <c r="CU204" i="5"/>
  <c r="CT205" i="5"/>
  <c r="CV204" i="5"/>
  <c r="AG191" i="5"/>
  <c r="AF219" i="5"/>
  <c r="AH191" i="5"/>
  <c r="AF192" i="5"/>
  <c r="EW205" i="5"/>
  <c r="EX204" i="5"/>
  <c r="EY204" i="5"/>
  <c r="EX218" i="5"/>
  <c r="EY218" i="5"/>
  <c r="DQ204" i="5"/>
  <c r="DP205" i="5"/>
  <c r="DR204" i="5"/>
  <c r="DR218" i="5"/>
  <c r="DQ218" i="5"/>
  <c r="BX192" i="5"/>
  <c r="BY191" i="5"/>
  <c r="BX219" i="5"/>
  <c r="BZ191" i="5"/>
  <c r="BY218" i="5"/>
  <c r="BZ218" i="5"/>
  <c r="U199" i="5"/>
  <c r="W198" i="5"/>
  <c r="V198" i="5"/>
  <c r="BC191" i="5"/>
  <c r="BB219" i="5"/>
  <c r="BB192" i="5"/>
  <c r="BD191" i="5"/>
  <c r="BC218" i="5"/>
  <c r="BD218" i="5"/>
  <c r="DG198" i="5"/>
  <c r="DF198" i="5"/>
  <c r="DE199" i="5"/>
  <c r="CJ191" i="5"/>
  <c r="CK191" i="5"/>
  <c r="CI192" i="5"/>
  <c r="CI219" i="5"/>
  <c r="AS211" i="5"/>
  <c r="AR211" i="5"/>
  <c r="AQ212" i="5"/>
  <c r="DG218" i="5"/>
  <c r="DF218" i="5"/>
  <c r="FK204" i="5"/>
  <c r="FI205" i="5"/>
  <c r="FJ204" i="5"/>
  <c r="EC192" i="5"/>
  <c r="EB192" i="5"/>
  <c r="EA193" i="5"/>
  <c r="AR191" i="5"/>
  <c r="AQ219" i="5"/>
  <c r="AS191" i="5"/>
  <c r="AQ192" i="5"/>
  <c r="AR218" i="5"/>
  <c r="AS218" i="5"/>
  <c r="EX198" i="5"/>
  <c r="EY198" i="5"/>
  <c r="EW199" i="5"/>
  <c r="EL199" i="5"/>
  <c r="EN198" i="5"/>
  <c r="EM198" i="5"/>
  <c r="DR198" i="5"/>
  <c r="DQ198" i="5"/>
  <c r="DP199" i="5"/>
  <c r="AF205" i="5"/>
  <c r="AH204" i="5"/>
  <c r="AG204" i="5"/>
  <c r="AH218" i="5"/>
  <c r="AG218" i="5"/>
  <c r="EL219" i="5"/>
  <c r="EN191" i="5"/>
  <c r="EL192" i="5"/>
  <c r="EM191" i="5"/>
  <c r="EN218" i="5"/>
  <c r="EM218" i="5"/>
  <c r="ET17" i="20"/>
  <c r="EQ18" i="20"/>
  <c r="AY17" i="20"/>
  <c r="AV18" i="20"/>
  <c r="AC17" i="20"/>
  <c r="Z18" i="20"/>
  <c r="BU17" i="20"/>
  <c r="BR18" i="20"/>
  <c r="DX17" i="20"/>
  <c r="DU18" i="20"/>
  <c r="DM9" i="20"/>
  <c r="AN9" i="20"/>
  <c r="BJ9" i="20"/>
  <c r="Z32" i="21"/>
  <c r="AK32" i="21" s="1"/>
  <c r="ET7" i="20"/>
  <c r="EQ8" i="20"/>
  <c r="ET8" i="20" s="1"/>
  <c r="BR8" i="20"/>
  <c r="BU8" i="20" s="1"/>
  <c r="BU7" i="20"/>
  <c r="DU8" i="20"/>
  <c r="DX8" i="20" s="1"/>
  <c r="DX7" i="20"/>
  <c r="DB9" i="20"/>
  <c r="AY7" i="20"/>
  <c r="AV8" i="20"/>
  <c r="AY8" i="20" s="1"/>
  <c r="AC7" i="20"/>
  <c r="Z8" i="20"/>
  <c r="AC8" i="20" s="1"/>
  <c r="FP9" i="20"/>
  <c r="EI9" i="20"/>
  <c r="CF9" i="20"/>
  <c r="FB8" i="20"/>
  <c r="FE8" i="20" s="1"/>
  <c r="FE7" i="20"/>
  <c r="AJ48" i="21"/>
  <c r="Z48" i="21"/>
  <c r="AK48" i="21" s="1"/>
  <c r="AJ28" i="21"/>
  <c r="Z54" i="21"/>
  <c r="AK54" i="21" s="1"/>
  <c r="AJ26" i="21"/>
  <c r="AJ50" i="21"/>
  <c r="AJ45" i="21"/>
  <c r="Z42" i="21"/>
  <c r="AK42" i="21" s="1"/>
  <c r="Z49" i="21"/>
  <c r="AK49" i="21" s="1"/>
  <c r="Z51" i="21"/>
  <c r="AK51" i="21" s="1"/>
  <c r="AJ51" i="21"/>
  <c r="Z34" i="21"/>
  <c r="AK34" i="21" s="1"/>
  <c r="AJ34" i="21"/>
  <c r="AJ46" i="21"/>
  <c r="Z46" i="21"/>
  <c r="AK46" i="21" s="1"/>
  <c r="AJ24" i="21"/>
  <c r="Z24" i="21"/>
  <c r="AK24" i="21" s="1"/>
  <c r="FL215" i="6" l="1"/>
  <c r="FK215" i="6"/>
  <c r="FJ216" i="6"/>
  <c r="FL232" i="6"/>
  <c r="FJ239" i="6"/>
  <c r="FK232" i="6"/>
  <c r="FJ229" i="6"/>
  <c r="FK228" i="6"/>
  <c r="FL228" i="6"/>
  <c r="FJ235" i="6"/>
  <c r="FK234" i="6"/>
  <c r="FL234" i="6"/>
  <c r="FJ222" i="6"/>
  <c r="FK221" i="6"/>
  <c r="FL221" i="6"/>
  <c r="FA225" i="6"/>
  <c r="EY232" i="6"/>
  <c r="EZ225" i="6"/>
  <c r="EZ241" i="6"/>
  <c r="FA241" i="6"/>
  <c r="EZ233" i="6"/>
  <c r="FA233" i="6"/>
  <c r="EY234" i="6"/>
  <c r="EZ227" i="6"/>
  <c r="EY228" i="6"/>
  <c r="FA227" i="6"/>
  <c r="EY221" i="6"/>
  <c r="FA220" i="6"/>
  <c r="EZ220" i="6"/>
  <c r="FA214" i="6"/>
  <c r="EZ214" i="6"/>
  <c r="EY215" i="6"/>
  <c r="EN219" i="5"/>
  <c r="EM219" i="5"/>
  <c r="EL200" i="5"/>
  <c r="EN199" i="5"/>
  <c r="EM199" i="5"/>
  <c r="AS219" i="5"/>
  <c r="AR219" i="5"/>
  <c r="BC192" i="5"/>
  <c r="BB193" i="5"/>
  <c r="BD192" i="5"/>
  <c r="DQ205" i="5"/>
  <c r="DP206" i="5"/>
  <c r="DR205" i="5"/>
  <c r="AF193" i="5"/>
  <c r="AH192" i="5"/>
  <c r="AG192" i="5"/>
  <c r="BC212" i="5"/>
  <c r="BB213" i="5"/>
  <c r="BD212" i="5"/>
  <c r="U206" i="5"/>
  <c r="W205" i="5"/>
  <c r="V205" i="5"/>
  <c r="EW193" i="5"/>
  <c r="EX192" i="5"/>
  <c r="EY192" i="5"/>
  <c r="CU219" i="5"/>
  <c r="CV219" i="5"/>
  <c r="BO199" i="5"/>
  <c r="BN199" i="5"/>
  <c r="BM200" i="5"/>
  <c r="DG192" i="5"/>
  <c r="DE193" i="5"/>
  <c r="DF192" i="5"/>
  <c r="BY212" i="5"/>
  <c r="BX213" i="5"/>
  <c r="BZ212" i="5"/>
  <c r="EL206" i="5"/>
  <c r="EN205" i="5"/>
  <c r="EM205" i="5"/>
  <c r="DF212" i="5"/>
  <c r="DG212" i="5"/>
  <c r="DE213" i="5"/>
  <c r="W192" i="5"/>
  <c r="U193" i="5"/>
  <c r="V192" i="5"/>
  <c r="EY199" i="5"/>
  <c r="EW200" i="5"/>
  <c r="EX199" i="5"/>
  <c r="BC219" i="5"/>
  <c r="BD219" i="5"/>
  <c r="W199" i="5"/>
  <c r="U200" i="5"/>
  <c r="V199" i="5"/>
  <c r="BY219" i="5"/>
  <c r="BZ219" i="5"/>
  <c r="CU205" i="5"/>
  <c r="CT206" i="5"/>
  <c r="CV205" i="5"/>
  <c r="EN212" i="5"/>
  <c r="EL213" i="5"/>
  <c r="EM212" i="5"/>
  <c r="W212" i="5"/>
  <c r="V212" i="5"/>
  <c r="U213" i="5"/>
  <c r="J193" i="5"/>
  <c r="L192" i="5"/>
  <c r="K192" i="5"/>
  <c r="CU192" i="5"/>
  <c r="CT193" i="5"/>
  <c r="CV192" i="5"/>
  <c r="DQ212" i="5"/>
  <c r="DP213" i="5"/>
  <c r="DR212" i="5"/>
  <c r="EY212" i="5"/>
  <c r="EW213" i="5"/>
  <c r="EX212" i="5"/>
  <c r="AQ206" i="5"/>
  <c r="AS205" i="5"/>
  <c r="AR205" i="5"/>
  <c r="BX200" i="5"/>
  <c r="BY199" i="5"/>
  <c r="BZ199" i="5"/>
  <c r="FK212" i="5"/>
  <c r="FJ212" i="5"/>
  <c r="FI213" i="5"/>
  <c r="BM206" i="5"/>
  <c r="BO205" i="5"/>
  <c r="BN205" i="5"/>
  <c r="CV212" i="5"/>
  <c r="CU212" i="5"/>
  <c r="CT213" i="5"/>
  <c r="DR219" i="5"/>
  <c r="DQ219" i="5"/>
  <c r="EN192" i="5"/>
  <c r="EM192" i="5"/>
  <c r="EL193" i="5"/>
  <c r="AF206" i="5"/>
  <c r="AH205" i="5"/>
  <c r="AG205" i="5"/>
  <c r="AS192" i="5"/>
  <c r="AQ193" i="5"/>
  <c r="AR192" i="5"/>
  <c r="CJ219" i="5"/>
  <c r="CK219" i="5"/>
  <c r="DE200" i="5"/>
  <c r="DG199" i="5"/>
  <c r="DF199" i="5"/>
  <c r="AG219" i="5"/>
  <c r="AH219" i="5"/>
  <c r="BO212" i="5"/>
  <c r="BN212" i="5"/>
  <c r="BM213" i="5"/>
  <c r="FI193" i="5"/>
  <c r="FK192" i="5"/>
  <c r="FJ192" i="5"/>
  <c r="J200" i="5"/>
  <c r="L199" i="5"/>
  <c r="K199" i="5"/>
  <c r="BC205" i="5"/>
  <c r="BD205" i="5"/>
  <c r="BB206" i="5"/>
  <c r="L219" i="5"/>
  <c r="K219" i="5"/>
  <c r="EB206" i="5"/>
  <c r="EA207" i="5"/>
  <c r="EC206" i="5"/>
  <c r="J213" i="5"/>
  <c r="K212" i="5"/>
  <c r="L212" i="5"/>
  <c r="DE206" i="5"/>
  <c r="DF205" i="5"/>
  <c r="DG205" i="5"/>
  <c r="V219" i="5"/>
  <c r="W219" i="5"/>
  <c r="DR199" i="5"/>
  <c r="DP200" i="5"/>
  <c r="DQ199" i="5"/>
  <c r="EB193" i="5"/>
  <c r="EA194" i="5"/>
  <c r="EC193" i="5"/>
  <c r="FI206" i="5"/>
  <c r="FJ205" i="5"/>
  <c r="FK205" i="5"/>
  <c r="AS212" i="5"/>
  <c r="AR212" i="5"/>
  <c r="AQ213" i="5"/>
  <c r="CK192" i="5"/>
  <c r="CI193" i="5"/>
  <c r="CJ192" i="5"/>
  <c r="BY192" i="5"/>
  <c r="BX193" i="5"/>
  <c r="BZ192" i="5"/>
  <c r="EX205" i="5"/>
  <c r="EW206" i="5"/>
  <c r="EY205" i="5"/>
  <c r="CI213" i="5"/>
  <c r="CK212" i="5"/>
  <c r="CJ212" i="5"/>
  <c r="EA201" i="5"/>
  <c r="EC200" i="5"/>
  <c r="EB200" i="5"/>
  <c r="FJ219" i="5"/>
  <c r="FK219" i="5"/>
  <c r="AF200" i="5"/>
  <c r="AH199" i="5"/>
  <c r="AG199" i="5"/>
  <c r="BX206" i="5"/>
  <c r="BZ205" i="5"/>
  <c r="BY205" i="5"/>
  <c r="J206" i="5"/>
  <c r="L205" i="5"/>
  <c r="K205" i="5"/>
  <c r="AH212" i="5"/>
  <c r="AG212" i="5"/>
  <c r="AF213" i="5"/>
  <c r="FK199" i="5"/>
  <c r="FI200" i="5"/>
  <c r="FJ199" i="5"/>
  <c r="CI206" i="5"/>
  <c r="CJ205" i="5"/>
  <c r="CK205" i="5"/>
  <c r="EX219" i="5"/>
  <c r="EY219" i="5"/>
  <c r="CI200" i="5"/>
  <c r="CK199" i="5"/>
  <c r="CJ199" i="5"/>
  <c r="DF219" i="5"/>
  <c r="DG219" i="5"/>
  <c r="BB200" i="5"/>
  <c r="BC199" i="5"/>
  <c r="BD199" i="5"/>
  <c r="AS199" i="5"/>
  <c r="AR199" i="5"/>
  <c r="AQ200" i="5"/>
  <c r="CU199" i="5"/>
  <c r="CV199" i="5"/>
  <c r="CT200" i="5"/>
  <c r="EC213" i="5"/>
  <c r="EB213" i="5"/>
  <c r="EA214" i="5"/>
  <c r="DR192" i="5"/>
  <c r="DQ192" i="5"/>
  <c r="DP193" i="5"/>
  <c r="BN219" i="5"/>
  <c r="BO219" i="5"/>
  <c r="BN192" i="5"/>
  <c r="BM193" i="5"/>
  <c r="BO192" i="5"/>
  <c r="AC9" i="20"/>
  <c r="DX9" i="20"/>
  <c r="ET9" i="20"/>
  <c r="AY9" i="20"/>
  <c r="FE9" i="20"/>
  <c r="BU9" i="20"/>
  <c r="K30" i="6"/>
  <c r="BM70" i="16"/>
  <c r="BN70" i="16"/>
  <c r="BO70" i="16"/>
  <c r="BP70" i="16"/>
  <c r="BQ70" i="16"/>
  <c r="BR70" i="16"/>
  <c r="BS70" i="16"/>
  <c r="BT70" i="16"/>
  <c r="BU70" i="16"/>
  <c r="BV70" i="16"/>
  <c r="BW70" i="16"/>
  <c r="BX70" i="16"/>
  <c r="BY70" i="16"/>
  <c r="BZ70" i="16"/>
  <c r="CA70" i="1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83" i="6"/>
  <c r="D84" i="6"/>
  <c r="D85" i="6"/>
  <c r="D88" i="6"/>
  <c r="D89" i="6"/>
  <c r="D90" i="6"/>
  <c r="D91" i="6"/>
  <c r="D92" i="6"/>
  <c r="D93" i="6"/>
  <c r="D94" i="6"/>
  <c r="D95" i="6"/>
  <c r="D96" i="6"/>
  <c r="D97" i="6"/>
  <c r="D98" i="6"/>
  <c r="D83" i="6"/>
  <c r="DR107" i="5"/>
  <c r="DR106" i="5"/>
  <c r="DR105" i="5"/>
  <c r="DR102" i="5"/>
  <c r="DR101" i="5"/>
  <c r="DG101" i="5"/>
  <c r="DG107" i="5"/>
  <c r="DG106" i="5"/>
  <c r="DG105" i="5"/>
  <c r="DG102" i="5"/>
  <c r="CV107" i="5"/>
  <c r="CV106" i="5"/>
  <c r="CV105" i="5"/>
  <c r="CV102" i="5"/>
  <c r="CV101" i="5"/>
  <c r="E118" i="5"/>
  <c r="E119" i="5"/>
  <c r="E120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B136" i="5"/>
  <c r="C136" i="5"/>
  <c r="D136" i="5"/>
  <c r="B117" i="5"/>
  <c r="C117" i="5"/>
  <c r="D117" i="5"/>
  <c r="G214" i="16"/>
  <c r="D106" i="5"/>
  <c r="CI89" i="5" s="1"/>
  <c r="CI90" i="5" s="1"/>
  <c r="D107" i="5"/>
  <c r="CT89" i="5" s="1"/>
  <c r="CT90" i="5" s="1"/>
  <c r="D108" i="5"/>
  <c r="DE89" i="5" s="1"/>
  <c r="DE90" i="5" s="1"/>
  <c r="D109" i="5"/>
  <c r="DP89" i="5" s="1"/>
  <c r="DP90" i="5" s="1"/>
  <c r="D110" i="5"/>
  <c r="EA89" i="5" s="1"/>
  <c r="D111" i="5"/>
  <c r="EL89" i="5" s="1"/>
  <c r="D112" i="5"/>
  <c r="EW89" i="5" s="1"/>
  <c r="D113" i="5"/>
  <c r="FI89" i="5" s="1"/>
  <c r="D114" i="5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34" i="16"/>
  <c r="L134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J134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E134" i="16"/>
  <c r="E139" i="16"/>
  <c r="CK107" i="5"/>
  <c r="CK106" i="5"/>
  <c r="CK105" i="5"/>
  <c r="CK102" i="5"/>
  <c r="CK101" i="5"/>
  <c r="CL89" i="5"/>
  <c r="FK229" i="6" l="1"/>
  <c r="FL229" i="6"/>
  <c r="FJ230" i="6"/>
  <c r="FJ236" i="6"/>
  <c r="FL235" i="6"/>
  <c r="FK235" i="6"/>
  <c r="FL216" i="6"/>
  <c r="FJ217" i="6"/>
  <c r="FK216" i="6"/>
  <c r="FL222" i="6"/>
  <c r="FK222" i="6"/>
  <c r="FJ223" i="6"/>
  <c r="FL239" i="6"/>
  <c r="FK239" i="6"/>
  <c r="EZ234" i="6"/>
  <c r="EY235" i="6"/>
  <c r="FA234" i="6"/>
  <c r="EZ228" i="6"/>
  <c r="EY229" i="6"/>
  <c r="FA228" i="6"/>
  <c r="EY239" i="6"/>
  <c r="FA232" i="6"/>
  <c r="EZ232" i="6"/>
  <c r="EZ221" i="6"/>
  <c r="FA221" i="6"/>
  <c r="EY222" i="6"/>
  <c r="FA215" i="6"/>
  <c r="EZ215" i="6"/>
  <c r="EY216" i="6"/>
  <c r="DR193" i="5"/>
  <c r="DP194" i="5"/>
  <c r="DQ193" i="5"/>
  <c r="CJ206" i="5"/>
  <c r="CI207" i="5"/>
  <c r="CK206" i="5"/>
  <c r="AH213" i="5"/>
  <c r="AF214" i="5"/>
  <c r="AG213" i="5"/>
  <c r="BX207" i="5"/>
  <c r="BZ206" i="5"/>
  <c r="BY206" i="5"/>
  <c r="EA202" i="5"/>
  <c r="EC201" i="5"/>
  <c r="EB201" i="5"/>
  <c r="BX194" i="5"/>
  <c r="BZ193" i="5"/>
  <c r="BY193" i="5"/>
  <c r="EC194" i="5"/>
  <c r="EB194" i="5"/>
  <c r="EA195" i="5"/>
  <c r="J214" i="5"/>
  <c r="L213" i="5"/>
  <c r="K213" i="5"/>
  <c r="BN213" i="5"/>
  <c r="BM214" i="5"/>
  <c r="BO213" i="5"/>
  <c r="EM193" i="5"/>
  <c r="EL194" i="5"/>
  <c r="EN193" i="5"/>
  <c r="FJ213" i="5"/>
  <c r="FI214" i="5"/>
  <c r="FK213" i="5"/>
  <c r="AQ207" i="5"/>
  <c r="AR206" i="5"/>
  <c r="AS206" i="5"/>
  <c r="BY213" i="5"/>
  <c r="BX214" i="5"/>
  <c r="BZ213" i="5"/>
  <c r="DE194" i="5"/>
  <c r="DG193" i="5"/>
  <c r="DF193" i="5"/>
  <c r="BD193" i="5"/>
  <c r="BB194" i="5"/>
  <c r="BC193" i="5"/>
  <c r="AR200" i="5"/>
  <c r="AQ201" i="5"/>
  <c r="AS200" i="5"/>
  <c r="J207" i="5"/>
  <c r="K206" i="5"/>
  <c r="L206" i="5"/>
  <c r="EW207" i="5"/>
  <c r="EX206" i="5"/>
  <c r="EY206" i="5"/>
  <c r="AS213" i="5"/>
  <c r="AR213" i="5"/>
  <c r="AQ214" i="5"/>
  <c r="DE207" i="5"/>
  <c r="DG206" i="5"/>
  <c r="DF206" i="5"/>
  <c r="BY200" i="5"/>
  <c r="BX201" i="5"/>
  <c r="BZ200" i="5"/>
  <c r="DQ213" i="5"/>
  <c r="DR213" i="5"/>
  <c r="DP214" i="5"/>
  <c r="CV193" i="5"/>
  <c r="CU193" i="5"/>
  <c r="CT194" i="5"/>
  <c r="J194" i="5"/>
  <c r="L193" i="5"/>
  <c r="K193" i="5"/>
  <c r="CV206" i="5"/>
  <c r="CU206" i="5"/>
  <c r="CT207" i="5"/>
  <c r="DF213" i="5"/>
  <c r="DG213" i="5"/>
  <c r="DE214" i="5"/>
  <c r="U207" i="5"/>
  <c r="W206" i="5"/>
  <c r="V206" i="5"/>
  <c r="DP207" i="5"/>
  <c r="DR206" i="5"/>
  <c r="DQ206" i="5"/>
  <c r="BM194" i="5"/>
  <c r="BO193" i="5"/>
  <c r="BN193" i="5"/>
  <c r="CV200" i="5"/>
  <c r="CU200" i="5"/>
  <c r="CT201" i="5"/>
  <c r="BD200" i="5"/>
  <c r="BC200" i="5"/>
  <c r="BB201" i="5"/>
  <c r="FJ200" i="5"/>
  <c r="FI201" i="5"/>
  <c r="FK200" i="5"/>
  <c r="FK206" i="5"/>
  <c r="FJ206" i="5"/>
  <c r="FI207" i="5"/>
  <c r="EC207" i="5"/>
  <c r="EB207" i="5"/>
  <c r="EA208" i="5"/>
  <c r="BC206" i="5"/>
  <c r="BD206" i="5"/>
  <c r="BB207" i="5"/>
  <c r="CV213" i="5"/>
  <c r="CT214" i="5"/>
  <c r="CU213" i="5"/>
  <c r="EX213" i="5"/>
  <c r="EW214" i="5"/>
  <c r="EY213" i="5"/>
  <c r="U214" i="5"/>
  <c r="V213" i="5"/>
  <c r="W213" i="5"/>
  <c r="EM213" i="5"/>
  <c r="EN213" i="5"/>
  <c r="EL214" i="5"/>
  <c r="U201" i="5"/>
  <c r="V200" i="5"/>
  <c r="W200" i="5"/>
  <c r="EL207" i="5"/>
  <c r="EM206" i="5"/>
  <c r="EN206" i="5"/>
  <c r="BM201" i="5"/>
  <c r="BO200" i="5"/>
  <c r="BN200" i="5"/>
  <c r="EX193" i="5"/>
  <c r="EY193" i="5"/>
  <c r="EW194" i="5"/>
  <c r="EB214" i="5"/>
  <c r="EA215" i="5"/>
  <c r="EC214" i="5"/>
  <c r="CK200" i="5"/>
  <c r="CJ200" i="5"/>
  <c r="CI201" i="5"/>
  <c r="AH200" i="5"/>
  <c r="AF201" i="5"/>
  <c r="AG200" i="5"/>
  <c r="CJ213" i="5"/>
  <c r="CI214" i="5"/>
  <c r="CK213" i="5"/>
  <c r="CK193" i="5"/>
  <c r="CI194" i="5"/>
  <c r="CJ193" i="5"/>
  <c r="DQ200" i="5"/>
  <c r="DP201" i="5"/>
  <c r="DR200" i="5"/>
  <c r="J201" i="5"/>
  <c r="K200" i="5"/>
  <c r="L200" i="5"/>
  <c r="FJ193" i="5"/>
  <c r="FI194" i="5"/>
  <c r="FK193" i="5"/>
  <c r="DG200" i="5"/>
  <c r="DF200" i="5"/>
  <c r="DE201" i="5"/>
  <c r="AQ194" i="5"/>
  <c r="AR193" i="5"/>
  <c r="AS193" i="5"/>
  <c r="AH206" i="5"/>
  <c r="AG206" i="5"/>
  <c r="AF207" i="5"/>
  <c r="BM207" i="5"/>
  <c r="BN206" i="5"/>
  <c r="BO206" i="5"/>
  <c r="EW201" i="5"/>
  <c r="EX200" i="5"/>
  <c r="EY200" i="5"/>
  <c r="U194" i="5"/>
  <c r="V193" i="5"/>
  <c r="W193" i="5"/>
  <c r="BD213" i="5"/>
  <c r="BC213" i="5"/>
  <c r="BB214" i="5"/>
  <c r="AG193" i="5"/>
  <c r="AF194" i="5"/>
  <c r="AH193" i="5"/>
  <c r="EL201" i="5"/>
  <c r="EM200" i="5"/>
  <c r="EN200" i="5"/>
  <c r="DH89" i="5"/>
  <c r="EL90" i="5"/>
  <c r="EO90" i="5" s="1"/>
  <c r="EO89" i="5"/>
  <c r="EA90" i="5"/>
  <c r="ED90" i="5" s="1"/>
  <c r="ED89" i="5"/>
  <c r="FI90" i="5"/>
  <c r="FL90" i="5" s="1"/>
  <c r="FL89" i="5"/>
  <c r="EW90" i="5"/>
  <c r="EZ90" i="5" s="1"/>
  <c r="EZ89" i="5"/>
  <c r="CW89" i="5"/>
  <c r="CW90" i="5"/>
  <c r="DS89" i="5"/>
  <c r="DS90" i="5"/>
  <c r="DH90" i="5"/>
  <c r="CL90" i="5"/>
  <c r="FJ231" i="6" l="1"/>
  <c r="FL230" i="6"/>
  <c r="FK230" i="6"/>
  <c r="FJ224" i="6"/>
  <c r="FL223" i="6"/>
  <c r="FK223" i="6"/>
  <c r="FK217" i="6"/>
  <c r="FL217" i="6"/>
  <c r="FL236" i="6"/>
  <c r="FK236" i="6"/>
  <c r="FJ237" i="6"/>
  <c r="EY217" i="6"/>
  <c r="FA216" i="6"/>
  <c r="EZ216" i="6"/>
  <c r="EY236" i="6"/>
  <c r="FA235" i="6"/>
  <c r="EZ235" i="6"/>
  <c r="FA239" i="6"/>
  <c r="EZ239" i="6"/>
  <c r="FA229" i="6"/>
  <c r="EY230" i="6"/>
  <c r="EZ229" i="6"/>
  <c r="EZ222" i="6"/>
  <c r="FA222" i="6"/>
  <c r="EY223" i="6"/>
  <c r="AH207" i="5"/>
  <c r="AG207" i="5"/>
  <c r="AF208" i="5"/>
  <c r="DP202" i="5"/>
  <c r="DR201" i="5"/>
  <c r="DQ201" i="5"/>
  <c r="U215" i="5"/>
  <c r="W214" i="5"/>
  <c r="V214" i="5"/>
  <c r="BD207" i="5"/>
  <c r="BB208" i="5"/>
  <c r="BC207" i="5"/>
  <c r="BB202" i="5"/>
  <c r="BD201" i="5"/>
  <c r="BC201" i="5"/>
  <c r="DQ207" i="5"/>
  <c r="DP208" i="5"/>
  <c r="DR207" i="5"/>
  <c r="V207" i="5"/>
  <c r="U208" i="5"/>
  <c r="W207" i="5"/>
  <c r="EW208" i="5"/>
  <c r="EY207" i="5"/>
  <c r="EX207" i="5"/>
  <c r="AR207" i="5"/>
  <c r="AS207" i="5"/>
  <c r="AQ208" i="5"/>
  <c r="BM215" i="5"/>
  <c r="BN214" i="5"/>
  <c r="BO214" i="5"/>
  <c r="J215" i="5"/>
  <c r="K214" i="5"/>
  <c r="L214" i="5"/>
  <c r="EN201" i="5"/>
  <c r="EL202" i="5"/>
  <c r="EM201" i="5"/>
  <c r="BB215" i="5"/>
  <c r="BD214" i="5"/>
  <c r="BC214" i="5"/>
  <c r="AQ195" i="5"/>
  <c r="AR194" i="5"/>
  <c r="AS194" i="5"/>
  <c r="AG201" i="5"/>
  <c r="AF202" i="5"/>
  <c r="AH201" i="5"/>
  <c r="CU214" i="5"/>
  <c r="CV214" i="5"/>
  <c r="CT215" i="5"/>
  <c r="BM195" i="5"/>
  <c r="BN194" i="5"/>
  <c r="BO194" i="5"/>
  <c r="CT208" i="5"/>
  <c r="CU207" i="5"/>
  <c r="CV207" i="5"/>
  <c r="AR201" i="5"/>
  <c r="AS201" i="5"/>
  <c r="AQ202" i="5"/>
  <c r="BD194" i="5"/>
  <c r="BC194" i="5"/>
  <c r="BB195" i="5"/>
  <c r="DF194" i="5"/>
  <c r="DG194" i="5"/>
  <c r="DE195" i="5"/>
  <c r="EL195" i="5"/>
  <c r="EN194" i="5"/>
  <c r="EM194" i="5"/>
  <c r="BY207" i="5"/>
  <c r="BZ207" i="5"/>
  <c r="BX208" i="5"/>
  <c r="EW202" i="5"/>
  <c r="EY201" i="5"/>
  <c r="EX201" i="5"/>
  <c r="BM208" i="5"/>
  <c r="BO207" i="5"/>
  <c r="BN207" i="5"/>
  <c r="DE202" i="5"/>
  <c r="DF201" i="5"/>
  <c r="DG201" i="5"/>
  <c r="FK194" i="5"/>
  <c r="FJ194" i="5"/>
  <c r="FI195" i="5"/>
  <c r="J202" i="5"/>
  <c r="L201" i="5"/>
  <c r="K201" i="5"/>
  <c r="CJ214" i="5"/>
  <c r="CI215" i="5"/>
  <c r="CK214" i="5"/>
  <c r="EX194" i="5"/>
  <c r="EY194" i="5"/>
  <c r="EW195" i="5"/>
  <c r="V201" i="5"/>
  <c r="U202" i="5"/>
  <c r="W201" i="5"/>
  <c r="EW215" i="5"/>
  <c r="EY214" i="5"/>
  <c r="EX214" i="5"/>
  <c r="FJ207" i="5"/>
  <c r="FI208" i="5"/>
  <c r="FK207" i="5"/>
  <c r="FK201" i="5"/>
  <c r="FJ201" i="5"/>
  <c r="FI202" i="5"/>
  <c r="DE215" i="5"/>
  <c r="DG214" i="5"/>
  <c r="DF214" i="5"/>
  <c r="J195" i="5"/>
  <c r="K194" i="5"/>
  <c r="L194" i="5"/>
  <c r="DP215" i="5"/>
  <c r="DR214" i="5"/>
  <c r="DQ214" i="5"/>
  <c r="BZ201" i="5"/>
  <c r="BY201" i="5"/>
  <c r="BX202" i="5"/>
  <c r="DE208" i="5"/>
  <c r="DG207" i="5"/>
  <c r="DF207" i="5"/>
  <c r="FK214" i="5"/>
  <c r="FJ214" i="5"/>
  <c r="FI215" i="5"/>
  <c r="EB195" i="5"/>
  <c r="EC195" i="5"/>
  <c r="EC202" i="5"/>
  <c r="EB202" i="5"/>
  <c r="CK207" i="5"/>
  <c r="CI208" i="5"/>
  <c r="CJ207" i="5"/>
  <c r="DP195" i="5"/>
  <c r="DR194" i="5"/>
  <c r="DQ194" i="5"/>
  <c r="AG194" i="5"/>
  <c r="AF195" i="5"/>
  <c r="AH194" i="5"/>
  <c r="U195" i="5"/>
  <c r="W194" i="5"/>
  <c r="V194" i="5"/>
  <c r="CI195" i="5"/>
  <c r="CK194" i="5"/>
  <c r="CJ194" i="5"/>
  <c r="CK201" i="5"/>
  <c r="CI202" i="5"/>
  <c r="CJ201" i="5"/>
  <c r="EA216" i="5"/>
  <c r="EC215" i="5"/>
  <c r="EB215" i="5"/>
  <c r="BN201" i="5"/>
  <c r="BM202" i="5"/>
  <c r="BO201" i="5"/>
  <c r="EL208" i="5"/>
  <c r="EN207" i="5"/>
  <c r="EM207" i="5"/>
  <c r="EM214" i="5"/>
  <c r="EL215" i="5"/>
  <c r="EN214" i="5"/>
  <c r="EA209" i="5"/>
  <c r="EB208" i="5"/>
  <c r="EC208" i="5"/>
  <c r="CT202" i="5"/>
  <c r="CV201" i="5"/>
  <c r="CU201" i="5"/>
  <c r="CU194" i="5"/>
  <c r="CT195" i="5"/>
  <c r="CV194" i="5"/>
  <c r="AQ215" i="5"/>
  <c r="AR214" i="5"/>
  <c r="AS214" i="5"/>
  <c r="J208" i="5"/>
  <c r="L207" i="5"/>
  <c r="K207" i="5"/>
  <c r="BZ214" i="5"/>
  <c r="BY214" i="5"/>
  <c r="BX215" i="5"/>
  <c r="BZ194" i="5"/>
  <c r="BY194" i="5"/>
  <c r="BX195" i="5"/>
  <c r="AF215" i="5"/>
  <c r="AH214" i="5"/>
  <c r="AG214" i="5"/>
  <c r="BX24" i="5"/>
  <c r="BZ24" i="5"/>
  <c r="BZ23" i="5"/>
  <c r="BZ22" i="5"/>
  <c r="BZ19" i="5"/>
  <c r="BZ18" i="5"/>
  <c r="BM24" i="5"/>
  <c r="BO24" i="5"/>
  <c r="BO23" i="5"/>
  <c r="BO22" i="5"/>
  <c r="BO19" i="5"/>
  <c r="BO18" i="5"/>
  <c r="BD24" i="5"/>
  <c r="BB24" i="5"/>
  <c r="BD23" i="5"/>
  <c r="BD22" i="5"/>
  <c r="BD19" i="5"/>
  <c r="BD18" i="5"/>
  <c r="AS24" i="5"/>
  <c r="AQ24" i="5"/>
  <c r="AS23" i="5"/>
  <c r="AS22" i="5"/>
  <c r="AS19" i="5"/>
  <c r="AS18" i="5"/>
  <c r="AH24" i="5"/>
  <c r="AF24" i="5"/>
  <c r="AH23" i="5"/>
  <c r="AH22" i="5"/>
  <c r="AH19" i="5"/>
  <c r="AH18" i="5"/>
  <c r="W24" i="5"/>
  <c r="U24" i="5"/>
  <c r="W23" i="5"/>
  <c r="W22" i="5"/>
  <c r="W19" i="5"/>
  <c r="W18" i="5"/>
  <c r="L22" i="5"/>
  <c r="L23" i="5"/>
  <c r="L19" i="5"/>
  <c r="L18" i="5"/>
  <c r="J24" i="5"/>
  <c r="E47" i="5"/>
  <c r="U25" i="5" s="1"/>
  <c r="E48" i="5"/>
  <c r="AF25" i="5" s="1"/>
  <c r="E49" i="5"/>
  <c r="AQ25" i="5" s="1"/>
  <c r="E50" i="5"/>
  <c r="BB25" i="5" s="1"/>
  <c r="E51" i="5"/>
  <c r="BM25" i="5" s="1"/>
  <c r="E52" i="5"/>
  <c r="BX25" i="5" s="1"/>
  <c r="E53" i="5"/>
  <c r="E54" i="5"/>
  <c r="E55" i="5"/>
  <c r="E56" i="5"/>
  <c r="E57" i="5"/>
  <c r="E58" i="5"/>
  <c r="E59" i="5"/>
  <c r="E60" i="5"/>
  <c r="E61" i="5"/>
  <c r="E46" i="5"/>
  <c r="J25" i="5" s="1"/>
  <c r="C108" i="1"/>
  <c r="BO17" i="5" s="1"/>
  <c r="B45" i="5"/>
  <c r="C45" i="5"/>
  <c r="D45" i="5"/>
  <c r="B46" i="5"/>
  <c r="J17" i="5" s="1"/>
  <c r="C46" i="5"/>
  <c r="J18" i="5" s="1"/>
  <c r="D46" i="5"/>
  <c r="J19" i="5" s="1"/>
  <c r="B47" i="5"/>
  <c r="U17" i="5" s="1"/>
  <c r="C47" i="5"/>
  <c r="U18" i="5" s="1"/>
  <c r="D47" i="5"/>
  <c r="B48" i="5"/>
  <c r="AF17" i="5" s="1"/>
  <c r="C48" i="5"/>
  <c r="AF18" i="5" s="1"/>
  <c r="D48" i="5"/>
  <c r="AF19" i="5" s="1"/>
  <c r="B49" i="5"/>
  <c r="AQ17" i="5" s="1"/>
  <c r="C49" i="5"/>
  <c r="AQ18" i="5" s="1"/>
  <c r="D49" i="5"/>
  <c r="AQ19" i="5" s="1"/>
  <c r="B50" i="5"/>
  <c r="BB17" i="5" s="1"/>
  <c r="C50" i="5"/>
  <c r="BB18" i="5" s="1"/>
  <c r="D50" i="5"/>
  <c r="BB19" i="5" s="1"/>
  <c r="B51" i="5"/>
  <c r="BM17" i="5" s="1"/>
  <c r="C51" i="5"/>
  <c r="BM18" i="5" s="1"/>
  <c r="D51" i="5"/>
  <c r="BM19" i="5" s="1"/>
  <c r="B52" i="5"/>
  <c r="BX17" i="5" s="1"/>
  <c r="C52" i="5"/>
  <c r="BX18" i="5" s="1"/>
  <c r="D52" i="5"/>
  <c r="BX19" i="5" s="1"/>
  <c r="B53" i="5"/>
  <c r="C53" i="5"/>
  <c r="D53" i="5"/>
  <c r="B54" i="5"/>
  <c r="C54" i="5"/>
  <c r="D54" i="5"/>
  <c r="B55" i="5"/>
  <c r="C55" i="5"/>
  <c r="D55" i="5"/>
  <c r="B56" i="5"/>
  <c r="C56" i="5"/>
  <c r="D56" i="5"/>
  <c r="B57" i="5"/>
  <c r="C57" i="5"/>
  <c r="D57" i="5"/>
  <c r="B58" i="5"/>
  <c r="C58" i="5"/>
  <c r="D58" i="5"/>
  <c r="B59" i="5"/>
  <c r="C59" i="5"/>
  <c r="D59" i="5"/>
  <c r="B60" i="5"/>
  <c r="C60" i="5"/>
  <c r="D60" i="5"/>
  <c r="B61" i="5"/>
  <c r="C61" i="5"/>
  <c r="D61" i="5"/>
  <c r="B64" i="5"/>
  <c r="C64" i="5"/>
  <c r="D64" i="5"/>
  <c r="B67" i="5"/>
  <c r="AF21" i="5" s="1"/>
  <c r="C68" i="5"/>
  <c r="AQ22" i="5" s="1"/>
  <c r="B71" i="5"/>
  <c r="BX21" i="5" s="1"/>
  <c r="C72" i="5"/>
  <c r="B75" i="5"/>
  <c r="C76" i="5"/>
  <c r="B79" i="5"/>
  <c r="C80" i="5"/>
  <c r="B87" i="5"/>
  <c r="C282" i="5" s="1"/>
  <c r="C87" i="5"/>
  <c r="D282" i="5" s="1"/>
  <c r="D87" i="5"/>
  <c r="E282" i="5" s="1"/>
  <c r="E87" i="5"/>
  <c r="F87" i="5"/>
  <c r="B88" i="5"/>
  <c r="C283" i="5" s="1"/>
  <c r="C88" i="5"/>
  <c r="D283" i="5" s="1"/>
  <c r="D88" i="5"/>
  <c r="E283" i="5" s="1"/>
  <c r="E88" i="5"/>
  <c r="F88" i="5"/>
  <c r="B89" i="5"/>
  <c r="C284" i="5" s="1"/>
  <c r="C89" i="5"/>
  <c r="D284" i="5" s="1"/>
  <c r="D89" i="5"/>
  <c r="E284" i="5" s="1"/>
  <c r="E89" i="5"/>
  <c r="F89" i="5"/>
  <c r="B90" i="5"/>
  <c r="C285" i="5" s="1"/>
  <c r="C90" i="5"/>
  <c r="D285" i="5" s="1"/>
  <c r="D90" i="5"/>
  <c r="E285" i="5" s="1"/>
  <c r="E90" i="5"/>
  <c r="F90" i="5"/>
  <c r="B91" i="5"/>
  <c r="C286" i="5" s="1"/>
  <c r="C91" i="5"/>
  <c r="D286" i="5" s="1"/>
  <c r="D91" i="5"/>
  <c r="E286" i="5" s="1"/>
  <c r="E91" i="5"/>
  <c r="F91" i="5"/>
  <c r="B92" i="5"/>
  <c r="C287" i="5" s="1"/>
  <c r="C92" i="5"/>
  <c r="D287" i="5" s="1"/>
  <c r="D92" i="5"/>
  <c r="E287" i="5" s="1"/>
  <c r="E92" i="5"/>
  <c r="F92" i="5"/>
  <c r="B93" i="5"/>
  <c r="C288" i="5" s="1"/>
  <c r="C93" i="5"/>
  <c r="D288" i="5" s="1"/>
  <c r="D93" i="5"/>
  <c r="E288" i="5" s="1"/>
  <c r="E93" i="5"/>
  <c r="F93" i="5"/>
  <c r="B94" i="5"/>
  <c r="C94" i="5"/>
  <c r="D94" i="5"/>
  <c r="E289" i="5" s="1"/>
  <c r="E94" i="5"/>
  <c r="F94" i="5"/>
  <c r="B95" i="5"/>
  <c r="C95" i="5"/>
  <c r="D95" i="5"/>
  <c r="E290" i="5" s="1"/>
  <c r="E95" i="5"/>
  <c r="F95" i="5"/>
  <c r="B96" i="5"/>
  <c r="C96" i="5"/>
  <c r="D96" i="5"/>
  <c r="E291" i="5" s="1"/>
  <c r="D330" i="5" s="1"/>
  <c r="K256" i="5" s="1"/>
  <c r="N256" i="5" s="1"/>
  <c r="Q256" i="5" s="1"/>
  <c r="T256" i="5" s="1"/>
  <c r="W256" i="5" s="1"/>
  <c r="E96" i="5"/>
  <c r="F96" i="5"/>
  <c r="B97" i="5"/>
  <c r="C97" i="5"/>
  <c r="D97" i="5"/>
  <c r="E292" i="5" s="1"/>
  <c r="D331" i="5" s="1"/>
  <c r="K257" i="5" s="1"/>
  <c r="N257" i="5" s="1"/>
  <c r="Q257" i="5" s="1"/>
  <c r="T257" i="5" s="1"/>
  <c r="W257" i="5" s="1"/>
  <c r="E97" i="5"/>
  <c r="F97" i="5"/>
  <c r="B98" i="5"/>
  <c r="C98" i="5"/>
  <c r="D98" i="5"/>
  <c r="E293" i="5" s="1"/>
  <c r="E98" i="5"/>
  <c r="F98" i="5"/>
  <c r="B99" i="5"/>
  <c r="C99" i="5"/>
  <c r="D99" i="5"/>
  <c r="E294" i="5" s="1"/>
  <c r="E99" i="5"/>
  <c r="F99" i="5"/>
  <c r="B100" i="5"/>
  <c r="FC98" i="5" s="1"/>
  <c r="C100" i="5"/>
  <c r="FC90" i="5" s="1"/>
  <c r="D100" i="5"/>
  <c r="E100" i="5"/>
  <c r="F100" i="5"/>
  <c r="B101" i="5"/>
  <c r="C101" i="5"/>
  <c r="D101" i="5"/>
  <c r="E295" i="5" s="1"/>
  <c r="E101" i="5"/>
  <c r="F101" i="5"/>
  <c r="B102" i="5"/>
  <c r="C296" i="5" s="1"/>
  <c r="C102" i="5"/>
  <c r="D296" i="5" s="1"/>
  <c r="D102" i="5"/>
  <c r="E296" i="5" s="1"/>
  <c r="D335" i="5" s="1"/>
  <c r="K261" i="5" s="1"/>
  <c r="N261" i="5" s="1"/>
  <c r="Q261" i="5" s="1"/>
  <c r="T261" i="5" s="1"/>
  <c r="W261" i="5" s="1"/>
  <c r="E102" i="5"/>
  <c r="F102" i="5"/>
  <c r="I134" i="1"/>
  <c r="C134" i="1"/>
  <c r="BD25" i="5" s="1"/>
  <c r="L2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C137" i="5"/>
  <c r="G209" i="16"/>
  <c r="G210" i="16"/>
  <c r="G211" i="16"/>
  <c r="G212" i="16"/>
  <c r="G213" i="16"/>
  <c r="P214" i="16"/>
  <c r="G215" i="16"/>
  <c r="G216" i="16"/>
  <c r="P216" i="16"/>
  <c r="G217" i="16"/>
  <c r="G218" i="16"/>
  <c r="O218" i="16" s="1"/>
  <c r="G219" i="16"/>
  <c r="G220" i="16"/>
  <c r="G221" i="16"/>
  <c r="G222" i="16"/>
  <c r="G223" i="16"/>
  <c r="M214" i="16"/>
  <c r="D143" i="5" s="1"/>
  <c r="M215" i="16"/>
  <c r="M216" i="16"/>
  <c r="M217" i="16"/>
  <c r="M218" i="16"/>
  <c r="M219" i="16"/>
  <c r="M220" i="16"/>
  <c r="Q220" i="16" s="1"/>
  <c r="M221" i="16"/>
  <c r="M222" i="16"/>
  <c r="Q222" i="16" s="1"/>
  <c r="M223" i="16"/>
  <c r="M208" i="16"/>
  <c r="L215" i="16"/>
  <c r="L216" i="16"/>
  <c r="L217" i="16"/>
  <c r="L218" i="16"/>
  <c r="L219" i="16"/>
  <c r="L220" i="16"/>
  <c r="L221" i="16"/>
  <c r="L222" i="16"/>
  <c r="L223" i="16"/>
  <c r="K212" i="16"/>
  <c r="B141" i="5" s="1"/>
  <c r="K215" i="16"/>
  <c r="K216" i="16"/>
  <c r="K218" i="16"/>
  <c r="K219" i="16"/>
  <c r="K220" i="16"/>
  <c r="K221" i="16"/>
  <c r="K222" i="16"/>
  <c r="K223" i="16"/>
  <c r="O223" i="16" s="1"/>
  <c r="Q214" i="16"/>
  <c r="Q215" i="16"/>
  <c r="O216" i="16"/>
  <c r="Q216" i="16"/>
  <c r="P217" i="16"/>
  <c r="Q217" i="16"/>
  <c r="Q218" i="16"/>
  <c r="Q219" i="16"/>
  <c r="P220" i="16"/>
  <c r="P221" i="16"/>
  <c r="Q221" i="16"/>
  <c r="O222" i="16"/>
  <c r="Q223" i="16"/>
  <c r="O208" i="16"/>
  <c r="G188" i="16"/>
  <c r="O188" i="16" s="1"/>
  <c r="P189" i="16"/>
  <c r="P193" i="16"/>
  <c r="P197" i="16"/>
  <c r="P201" i="16"/>
  <c r="Q188" i="16"/>
  <c r="L189" i="16"/>
  <c r="C66" i="5" s="1"/>
  <c r="U22" i="5" s="1"/>
  <c r="M189" i="16"/>
  <c r="Q189" i="16" s="1"/>
  <c r="L190" i="16"/>
  <c r="C67" i="5" s="1"/>
  <c r="AF22" i="5" s="1"/>
  <c r="M190" i="16"/>
  <c r="Q190" i="16" s="1"/>
  <c r="L191" i="16"/>
  <c r="P191" i="16" s="1"/>
  <c r="M191" i="16"/>
  <c r="D68" i="5" s="1"/>
  <c r="AQ23" i="5" s="1"/>
  <c r="L192" i="16"/>
  <c r="P192" i="16" s="1"/>
  <c r="M192" i="16"/>
  <c r="Q192" i="16" s="1"/>
  <c r="L193" i="16"/>
  <c r="C70" i="5" s="1"/>
  <c r="BM22" i="5" s="1"/>
  <c r="M193" i="16"/>
  <c r="Q193" i="16" s="1"/>
  <c r="L194" i="16"/>
  <c r="C71" i="5" s="1"/>
  <c r="BX22" i="5" s="1"/>
  <c r="M194" i="16"/>
  <c r="Q194" i="16" s="1"/>
  <c r="L195" i="16"/>
  <c r="P195" i="16" s="1"/>
  <c r="M195" i="16"/>
  <c r="D72" i="5" s="1"/>
  <c r="L196" i="16"/>
  <c r="P196" i="16" s="1"/>
  <c r="M196" i="16"/>
  <c r="Q196" i="16" s="1"/>
  <c r="L197" i="16"/>
  <c r="C74" i="5" s="1"/>
  <c r="M197" i="16"/>
  <c r="Q197" i="16" s="1"/>
  <c r="L198" i="16"/>
  <c r="C75" i="5" s="1"/>
  <c r="M198" i="16"/>
  <c r="Q198" i="16" s="1"/>
  <c r="L199" i="16"/>
  <c r="P199" i="16" s="1"/>
  <c r="M199" i="16"/>
  <c r="D76" i="5" s="1"/>
  <c r="L200" i="16"/>
  <c r="P200" i="16" s="1"/>
  <c r="M200" i="16"/>
  <c r="Q200" i="16" s="1"/>
  <c r="L201" i="16"/>
  <c r="C78" i="5" s="1"/>
  <c r="M201" i="16"/>
  <c r="Q201" i="16" s="1"/>
  <c r="L202" i="16"/>
  <c r="C79" i="5" s="1"/>
  <c r="M202" i="16"/>
  <c r="Q202" i="16" s="1"/>
  <c r="L203" i="16"/>
  <c r="P203" i="16" s="1"/>
  <c r="M203" i="16"/>
  <c r="D80" i="5" s="1"/>
  <c r="M188" i="16"/>
  <c r="D65" i="5" s="1"/>
  <c r="J23" i="5" s="1"/>
  <c r="L188" i="16"/>
  <c r="C65" i="5" s="1"/>
  <c r="J22" i="5" s="1"/>
  <c r="K189" i="16"/>
  <c r="B66" i="5" s="1"/>
  <c r="U21" i="5" s="1"/>
  <c r="K190" i="16"/>
  <c r="O190" i="16" s="1"/>
  <c r="K191" i="16"/>
  <c r="O191" i="16" s="1"/>
  <c r="K192" i="16"/>
  <c r="B69" i="5" s="1"/>
  <c r="BB21" i="5" s="1"/>
  <c r="K193" i="16"/>
  <c r="B70" i="5" s="1"/>
  <c r="BM21" i="5" s="1"/>
  <c r="K194" i="16"/>
  <c r="O194" i="16" s="1"/>
  <c r="K195" i="16"/>
  <c r="O195" i="16" s="1"/>
  <c r="K196" i="16"/>
  <c r="O196" i="16" s="1"/>
  <c r="K197" i="16"/>
  <c r="B74" i="5" s="1"/>
  <c r="K198" i="16"/>
  <c r="O198" i="16" s="1"/>
  <c r="K199" i="16"/>
  <c r="O199" i="16" s="1"/>
  <c r="K200" i="16"/>
  <c r="B77" i="5" s="1"/>
  <c r="K201" i="16"/>
  <c r="B78" i="5" s="1"/>
  <c r="K202" i="16"/>
  <c r="O202" i="16" s="1"/>
  <c r="K203" i="16"/>
  <c r="O203" i="16" s="1"/>
  <c r="K188" i="16"/>
  <c r="B65" i="5" s="1"/>
  <c r="J21" i="5" s="1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F216" i="16"/>
  <c r="F217" i="16"/>
  <c r="F218" i="16"/>
  <c r="F220" i="16"/>
  <c r="F221" i="16"/>
  <c r="F222" i="16"/>
  <c r="F215" i="16"/>
  <c r="F214" i="16"/>
  <c r="E216" i="16"/>
  <c r="E217" i="16"/>
  <c r="E218" i="16"/>
  <c r="E219" i="16"/>
  <c r="E220" i="16"/>
  <c r="E221" i="16"/>
  <c r="E222" i="16"/>
  <c r="E223" i="16"/>
  <c r="E215" i="16"/>
  <c r="E214" i="16"/>
  <c r="L214" i="16" s="1"/>
  <c r="C143" i="5" s="1"/>
  <c r="D216" i="16"/>
  <c r="D217" i="16"/>
  <c r="D218" i="16"/>
  <c r="D219" i="16"/>
  <c r="D220" i="16"/>
  <c r="D221" i="16"/>
  <c r="D222" i="16"/>
  <c r="D223" i="16"/>
  <c r="D215" i="16"/>
  <c r="D207" i="16"/>
  <c r="E207" i="16"/>
  <c r="F207" i="16"/>
  <c r="D208" i="16"/>
  <c r="F208" i="16"/>
  <c r="D209" i="16"/>
  <c r="E209" i="16"/>
  <c r="K209" i="16" s="1"/>
  <c r="F209" i="16"/>
  <c r="D210" i="16"/>
  <c r="E210" i="16"/>
  <c r="M210" i="16" s="1"/>
  <c r="D211" i="16"/>
  <c r="E211" i="16"/>
  <c r="M211" i="16" s="1"/>
  <c r="F211" i="16"/>
  <c r="E121" i="5" s="1"/>
  <c r="D212" i="16"/>
  <c r="E212" i="16"/>
  <c r="M212" i="16" s="1"/>
  <c r="F212" i="16"/>
  <c r="D213" i="16"/>
  <c r="E213" i="16"/>
  <c r="K213" i="16" s="1"/>
  <c r="B142" i="5" s="1"/>
  <c r="F213" i="16"/>
  <c r="D21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E189" i="16"/>
  <c r="E190" i="16"/>
  <c r="E192" i="16"/>
  <c r="E193" i="16"/>
  <c r="E194" i="16"/>
  <c r="E195" i="16"/>
  <c r="E196" i="16"/>
  <c r="E197" i="16"/>
  <c r="E198" i="16"/>
  <c r="E199" i="16"/>
  <c r="E200" i="16"/>
  <c r="E201" i="16"/>
  <c r="E202" i="16"/>
  <c r="E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188" i="16"/>
  <c r="B182" i="16"/>
  <c r="FJ238" i="6" l="1"/>
  <c r="FL237" i="6"/>
  <c r="FK237" i="6"/>
  <c r="FK224" i="6"/>
  <c r="FL224" i="6"/>
  <c r="FJ243" i="6"/>
  <c r="FJ249" i="6" s="1"/>
  <c r="FK231" i="6"/>
  <c r="FL231" i="6"/>
  <c r="FA236" i="6"/>
  <c r="EZ236" i="6"/>
  <c r="EY237" i="6"/>
  <c r="EZ217" i="6"/>
  <c r="FA217" i="6"/>
  <c r="FA223" i="6"/>
  <c r="EZ223" i="6"/>
  <c r="EY224" i="6"/>
  <c r="EY231" i="6"/>
  <c r="EZ230" i="6"/>
  <c r="FA230" i="6"/>
  <c r="EL216" i="5"/>
  <c r="EN215" i="5"/>
  <c r="EM215" i="5"/>
  <c r="EM208" i="5"/>
  <c r="EN208" i="5"/>
  <c r="EL209" i="5"/>
  <c r="CJ202" i="5"/>
  <c r="CK202" i="5"/>
  <c r="CJ195" i="5"/>
  <c r="CK195" i="5"/>
  <c r="AH195" i="5"/>
  <c r="AG195" i="5"/>
  <c r="DR195" i="5"/>
  <c r="DQ195" i="5"/>
  <c r="FJ215" i="5"/>
  <c r="FI216" i="5"/>
  <c r="FK215" i="5"/>
  <c r="EX202" i="5"/>
  <c r="EY202" i="5"/>
  <c r="EM202" i="5"/>
  <c r="EN202" i="5"/>
  <c r="J216" i="5"/>
  <c r="L215" i="5"/>
  <c r="K215" i="5"/>
  <c r="AQ209" i="5"/>
  <c r="AS208" i="5"/>
  <c r="AR208" i="5"/>
  <c r="V208" i="5"/>
  <c r="W208" i="5"/>
  <c r="U209" i="5"/>
  <c r="DQ202" i="5"/>
  <c r="DR202" i="5"/>
  <c r="AG215" i="5"/>
  <c r="AH215" i="5"/>
  <c r="AF216" i="5"/>
  <c r="BX216" i="5"/>
  <c r="BY215" i="5"/>
  <c r="BZ215" i="5"/>
  <c r="AQ216" i="5"/>
  <c r="AR215" i="5"/>
  <c r="AS215" i="5"/>
  <c r="V195" i="5"/>
  <c r="W195" i="5"/>
  <c r="DE209" i="5"/>
  <c r="DG208" i="5"/>
  <c r="DF208" i="5"/>
  <c r="DG215" i="5"/>
  <c r="DF215" i="5"/>
  <c r="DE216" i="5"/>
  <c r="V202" i="5"/>
  <c r="W202" i="5"/>
  <c r="FJ195" i="5"/>
  <c r="FK195" i="5"/>
  <c r="BO208" i="5"/>
  <c r="BN208" i="5"/>
  <c r="BM209" i="5"/>
  <c r="BY208" i="5"/>
  <c r="BZ208" i="5"/>
  <c r="BX209" i="5"/>
  <c r="AS202" i="5"/>
  <c r="AR202" i="5"/>
  <c r="BO195" i="5"/>
  <c r="BN195" i="5"/>
  <c r="EX208" i="5"/>
  <c r="EY208" i="5"/>
  <c r="EW209" i="5"/>
  <c r="BB209" i="5"/>
  <c r="BD208" i="5"/>
  <c r="BC208" i="5"/>
  <c r="U216" i="5"/>
  <c r="W215" i="5"/>
  <c r="V215" i="5"/>
  <c r="AF209" i="5"/>
  <c r="AH208" i="5"/>
  <c r="AG208" i="5"/>
  <c r="BY195" i="5"/>
  <c r="BZ195" i="5"/>
  <c r="J209" i="5"/>
  <c r="K208" i="5"/>
  <c r="L208" i="5"/>
  <c r="EB209" i="5"/>
  <c r="EC209" i="5"/>
  <c r="BN202" i="5"/>
  <c r="BO202" i="5"/>
  <c r="EC216" i="5"/>
  <c r="EB216" i="5"/>
  <c r="CK208" i="5"/>
  <c r="CJ208" i="5"/>
  <c r="CI209" i="5"/>
  <c r="BY202" i="5"/>
  <c r="BZ202" i="5"/>
  <c r="L195" i="5"/>
  <c r="K195" i="5"/>
  <c r="DF202" i="5"/>
  <c r="DG202" i="5"/>
  <c r="EN195" i="5"/>
  <c r="EM195" i="5"/>
  <c r="BD195" i="5"/>
  <c r="BC195" i="5"/>
  <c r="CU208" i="5"/>
  <c r="CT209" i="5"/>
  <c r="CV208" i="5"/>
  <c r="CU215" i="5"/>
  <c r="CV215" i="5"/>
  <c r="CT216" i="5"/>
  <c r="AH202" i="5"/>
  <c r="AG202" i="5"/>
  <c r="BC215" i="5"/>
  <c r="BD215" i="5"/>
  <c r="BB216" i="5"/>
  <c r="BP24" i="5"/>
  <c r="CU195" i="5"/>
  <c r="CV195" i="5"/>
  <c r="CU202" i="5"/>
  <c r="CV202" i="5"/>
  <c r="DR215" i="5"/>
  <c r="DQ215" i="5"/>
  <c r="DP216" i="5"/>
  <c r="FJ202" i="5"/>
  <c r="FK202" i="5"/>
  <c r="FI209" i="5"/>
  <c r="FK208" i="5"/>
  <c r="FJ208" i="5"/>
  <c r="EW216" i="5"/>
  <c r="EX215" i="5"/>
  <c r="EY215" i="5"/>
  <c r="EX195" i="5"/>
  <c r="EY195" i="5"/>
  <c r="CI216" i="5"/>
  <c r="CJ215" i="5"/>
  <c r="CK215" i="5"/>
  <c r="K202" i="5"/>
  <c r="L202" i="5"/>
  <c r="DG195" i="5"/>
  <c r="DF195" i="5"/>
  <c r="AS195" i="5"/>
  <c r="AR195" i="5"/>
  <c r="BO215" i="5"/>
  <c r="BN215" i="5"/>
  <c r="BM216" i="5"/>
  <c r="DQ208" i="5"/>
  <c r="DP209" i="5"/>
  <c r="DR208" i="5"/>
  <c r="BD202" i="5"/>
  <c r="BC202" i="5"/>
  <c r="CA24" i="5"/>
  <c r="FO90" i="5"/>
  <c r="FO91" i="5" s="1"/>
  <c r="D295" i="5"/>
  <c r="EG98" i="5"/>
  <c r="EA105" i="5" s="1"/>
  <c r="C293" i="5"/>
  <c r="DV90" i="5"/>
  <c r="DV91" i="5" s="1"/>
  <c r="D292" i="5"/>
  <c r="C331" i="5" s="1"/>
  <c r="J257" i="5" s="1"/>
  <c r="M257" i="5" s="1"/>
  <c r="P257" i="5" s="1"/>
  <c r="S257" i="5" s="1"/>
  <c r="V257" i="5" s="1"/>
  <c r="X257" i="5" s="1"/>
  <c r="Z257" i="5" s="1"/>
  <c r="D327" i="5"/>
  <c r="K253" i="5" s="1"/>
  <c r="N253" i="5" s="1"/>
  <c r="Q253" i="5" s="1"/>
  <c r="T253" i="5" s="1"/>
  <c r="W253" i="5" s="1"/>
  <c r="D307" i="5"/>
  <c r="K276" i="5" s="1"/>
  <c r="N276" i="5" s="1"/>
  <c r="Q276" i="5" s="1"/>
  <c r="T276" i="5" s="1"/>
  <c r="W276" i="5" s="1"/>
  <c r="D303" i="5"/>
  <c r="K272" i="5" s="1"/>
  <c r="N272" i="5" s="1"/>
  <c r="Q272" i="5" s="1"/>
  <c r="T272" i="5" s="1"/>
  <c r="W272" i="5" s="1"/>
  <c r="D323" i="5"/>
  <c r="K249" i="5" s="1"/>
  <c r="N249" i="5" s="1"/>
  <c r="Q249" i="5" s="1"/>
  <c r="T249" i="5" s="1"/>
  <c r="W249" i="5" s="1"/>
  <c r="FO98" i="5"/>
  <c r="FI104" i="5" s="1"/>
  <c r="C295" i="5"/>
  <c r="D313" i="5"/>
  <c r="K282" i="5" s="1"/>
  <c r="N282" i="5" s="1"/>
  <c r="Q282" i="5" s="1"/>
  <c r="T282" i="5" s="1"/>
  <c r="W282" i="5" s="1"/>
  <c r="D333" i="5"/>
  <c r="K259" i="5" s="1"/>
  <c r="N259" i="5" s="1"/>
  <c r="Q259" i="5" s="1"/>
  <c r="T259" i="5" s="1"/>
  <c r="W259" i="5" s="1"/>
  <c r="DV98" i="5"/>
  <c r="DP107" i="5" s="1"/>
  <c r="DS107" i="5" s="1"/>
  <c r="C292" i="5"/>
  <c r="D309" i="5"/>
  <c r="K278" i="5" s="1"/>
  <c r="N278" i="5" s="1"/>
  <c r="Q278" i="5" s="1"/>
  <c r="T278" i="5" s="1"/>
  <c r="W278" i="5" s="1"/>
  <c r="D329" i="5"/>
  <c r="K255" i="5" s="1"/>
  <c r="N255" i="5" s="1"/>
  <c r="Q255" i="5" s="1"/>
  <c r="T255" i="5" s="1"/>
  <c r="W255" i="5" s="1"/>
  <c r="D326" i="5"/>
  <c r="K252" i="5" s="1"/>
  <c r="N252" i="5" s="1"/>
  <c r="Q252" i="5" s="1"/>
  <c r="T252" i="5" s="1"/>
  <c r="W252" i="5" s="1"/>
  <c r="D306" i="5"/>
  <c r="K275" i="5" s="1"/>
  <c r="N275" i="5" s="1"/>
  <c r="Q275" i="5" s="1"/>
  <c r="T275" i="5" s="1"/>
  <c r="W275" i="5" s="1"/>
  <c r="ER90" i="5"/>
  <c r="ER91" i="5" s="1"/>
  <c r="D294" i="5"/>
  <c r="D312" i="5"/>
  <c r="D332" i="5"/>
  <c r="K258" i="5" s="1"/>
  <c r="N258" i="5" s="1"/>
  <c r="Q258" i="5" s="1"/>
  <c r="T258" i="5" s="1"/>
  <c r="W258" i="5" s="1"/>
  <c r="DK98" i="5"/>
  <c r="DE104" i="5" s="1"/>
  <c r="C291" i="5"/>
  <c r="CZ90" i="5"/>
  <c r="CZ91" i="5" s="1"/>
  <c r="D290" i="5"/>
  <c r="C306" i="5"/>
  <c r="J275" i="5" s="1"/>
  <c r="M275" i="5" s="1"/>
  <c r="P275" i="5" s="1"/>
  <c r="S275" i="5" s="1"/>
  <c r="V275" i="5" s="1"/>
  <c r="C326" i="5"/>
  <c r="J252" i="5" s="1"/>
  <c r="M252" i="5" s="1"/>
  <c r="P252" i="5" s="1"/>
  <c r="S252" i="5" s="1"/>
  <c r="V252" i="5" s="1"/>
  <c r="D305" i="5"/>
  <c r="K274" i="5" s="1"/>
  <c r="N274" i="5" s="1"/>
  <c r="Q274" i="5" s="1"/>
  <c r="T274" i="5" s="1"/>
  <c r="W274" i="5" s="1"/>
  <c r="D325" i="5"/>
  <c r="K251" i="5" s="1"/>
  <c r="N251" i="5" s="1"/>
  <c r="Q251" i="5" s="1"/>
  <c r="T251" i="5" s="1"/>
  <c r="W251" i="5" s="1"/>
  <c r="C302" i="5"/>
  <c r="J271" i="5" s="1"/>
  <c r="M271" i="5" s="1"/>
  <c r="P271" i="5" s="1"/>
  <c r="S271" i="5" s="1"/>
  <c r="V271" i="5" s="1"/>
  <c r="C322" i="5"/>
  <c r="J248" i="5" s="1"/>
  <c r="M248" i="5" s="1"/>
  <c r="P248" i="5" s="1"/>
  <c r="S248" i="5" s="1"/>
  <c r="V248" i="5" s="1"/>
  <c r="CO98" i="5"/>
  <c r="CI106" i="5" s="1"/>
  <c r="CL106" i="5" s="1"/>
  <c r="C289" i="5"/>
  <c r="C308" i="5"/>
  <c r="J277" i="5" s="1"/>
  <c r="M277" i="5" s="1"/>
  <c r="P277" i="5" s="1"/>
  <c r="S277" i="5" s="1"/>
  <c r="V277" i="5" s="1"/>
  <c r="C328" i="5"/>
  <c r="J254" i="5" s="1"/>
  <c r="M254" i="5" s="1"/>
  <c r="P254" i="5" s="1"/>
  <c r="S254" i="5" s="1"/>
  <c r="V254" i="5" s="1"/>
  <c r="C304" i="5"/>
  <c r="J273" i="5" s="1"/>
  <c r="M273" i="5" s="1"/>
  <c r="P273" i="5" s="1"/>
  <c r="S273" i="5" s="1"/>
  <c r="V273" i="5" s="1"/>
  <c r="C324" i="5"/>
  <c r="J250" i="5" s="1"/>
  <c r="M250" i="5" s="1"/>
  <c r="P250" i="5" s="1"/>
  <c r="S250" i="5" s="1"/>
  <c r="V250" i="5" s="1"/>
  <c r="DK90" i="5"/>
  <c r="DK91" i="5" s="1"/>
  <c r="DE94" i="5" s="1"/>
  <c r="DF163" i="5" s="1"/>
  <c r="DI163" i="5" s="1"/>
  <c r="D291" i="5"/>
  <c r="C307" i="5"/>
  <c r="J276" i="5" s="1"/>
  <c r="M276" i="5" s="1"/>
  <c r="P276" i="5" s="1"/>
  <c r="S276" i="5" s="1"/>
  <c r="V276" i="5" s="1"/>
  <c r="C327" i="5"/>
  <c r="J253" i="5" s="1"/>
  <c r="M253" i="5" s="1"/>
  <c r="P253" i="5" s="1"/>
  <c r="S253" i="5" s="1"/>
  <c r="V253" i="5" s="1"/>
  <c r="C303" i="5"/>
  <c r="J272" i="5" s="1"/>
  <c r="M272" i="5" s="1"/>
  <c r="P272" i="5" s="1"/>
  <c r="S272" i="5" s="1"/>
  <c r="V272" i="5" s="1"/>
  <c r="C323" i="5"/>
  <c r="J249" i="5" s="1"/>
  <c r="M249" i="5" s="1"/>
  <c r="P249" i="5" s="1"/>
  <c r="S249" i="5" s="1"/>
  <c r="V249" i="5" s="1"/>
  <c r="X249" i="5" s="1"/>
  <c r="Z249" i="5" s="1"/>
  <c r="D322" i="5"/>
  <c r="K248" i="5" s="1"/>
  <c r="N248" i="5" s="1"/>
  <c r="Q248" i="5" s="1"/>
  <c r="T248" i="5" s="1"/>
  <c r="W248" i="5" s="1"/>
  <c r="D302" i="5"/>
  <c r="K271" i="5" s="1"/>
  <c r="N271" i="5" s="1"/>
  <c r="Q271" i="5" s="1"/>
  <c r="T271" i="5" s="1"/>
  <c r="W271" i="5" s="1"/>
  <c r="C315" i="5"/>
  <c r="J284" i="5" s="1"/>
  <c r="M284" i="5" s="1"/>
  <c r="P284" i="5" s="1"/>
  <c r="S284" i="5" s="1"/>
  <c r="V284" i="5" s="1"/>
  <c r="X284" i="5" s="1"/>
  <c r="Z284" i="5" s="1"/>
  <c r="C335" i="5"/>
  <c r="J261" i="5" s="1"/>
  <c r="M261" i="5" s="1"/>
  <c r="P261" i="5" s="1"/>
  <c r="S261" i="5" s="1"/>
  <c r="V261" i="5" s="1"/>
  <c r="X261" i="5" s="1"/>
  <c r="Z261" i="5" s="1"/>
  <c r="D334" i="5"/>
  <c r="K260" i="5" s="1"/>
  <c r="N260" i="5" s="1"/>
  <c r="Q260" i="5" s="1"/>
  <c r="T260" i="5" s="1"/>
  <c r="W260" i="5" s="1"/>
  <c r="D314" i="5"/>
  <c r="K283" i="5" s="1"/>
  <c r="N283" i="5" s="1"/>
  <c r="Q283" i="5" s="1"/>
  <c r="T283" i="5" s="1"/>
  <c r="W283" i="5" s="1"/>
  <c r="ER98" i="5"/>
  <c r="EL101" i="5" s="1"/>
  <c r="EO101" i="5" s="1"/>
  <c r="C294" i="5"/>
  <c r="EG90" i="5"/>
  <c r="EG91" i="5" s="1"/>
  <c r="EB158" i="5" s="1"/>
  <c r="D293" i="5"/>
  <c r="CZ98" i="5"/>
  <c r="CT107" i="5" s="1"/>
  <c r="CW107" i="5" s="1"/>
  <c r="C290" i="5"/>
  <c r="CO90" i="5"/>
  <c r="CO91" i="5" s="1"/>
  <c r="CI94" i="5" s="1"/>
  <c r="D289" i="5"/>
  <c r="D308" i="5"/>
  <c r="K277" i="5" s="1"/>
  <c r="N277" i="5" s="1"/>
  <c r="Q277" i="5" s="1"/>
  <c r="T277" i="5" s="1"/>
  <c r="W277" i="5" s="1"/>
  <c r="D328" i="5"/>
  <c r="K254" i="5" s="1"/>
  <c r="N254" i="5" s="1"/>
  <c r="Q254" i="5" s="1"/>
  <c r="T254" i="5" s="1"/>
  <c r="W254" i="5" s="1"/>
  <c r="C305" i="5"/>
  <c r="J274" i="5" s="1"/>
  <c r="M274" i="5" s="1"/>
  <c r="P274" i="5" s="1"/>
  <c r="S274" i="5" s="1"/>
  <c r="V274" i="5" s="1"/>
  <c r="X274" i="5" s="1"/>
  <c r="Z274" i="5" s="1"/>
  <c r="C325" i="5"/>
  <c r="J251" i="5" s="1"/>
  <c r="M251" i="5" s="1"/>
  <c r="P251" i="5" s="1"/>
  <c r="S251" i="5" s="1"/>
  <c r="V251" i="5" s="1"/>
  <c r="X251" i="5" s="1"/>
  <c r="Z251" i="5" s="1"/>
  <c r="D324" i="5"/>
  <c r="K250" i="5" s="1"/>
  <c r="N250" i="5" s="1"/>
  <c r="Q250" i="5" s="1"/>
  <c r="T250" i="5" s="1"/>
  <c r="W250" i="5" s="1"/>
  <c r="D304" i="5"/>
  <c r="K273" i="5" s="1"/>
  <c r="N273" i="5" s="1"/>
  <c r="Q273" i="5" s="1"/>
  <c r="T273" i="5" s="1"/>
  <c r="W273" i="5" s="1"/>
  <c r="BE24" i="5"/>
  <c r="X22" i="5"/>
  <c r="BE18" i="5"/>
  <c r="AI22" i="5"/>
  <c r="CA19" i="5"/>
  <c r="FC91" i="5"/>
  <c r="EW94" i="5" s="1"/>
  <c r="EW102" i="5"/>
  <c r="EZ102" i="5" s="1"/>
  <c r="BE25" i="5"/>
  <c r="EW107" i="5"/>
  <c r="EZ107" i="5" s="1"/>
  <c r="EW105" i="5"/>
  <c r="EZ105" i="5" s="1"/>
  <c r="EW104" i="5"/>
  <c r="EW101" i="5"/>
  <c r="EZ101" i="5" s="1"/>
  <c r="EW106" i="5"/>
  <c r="EZ106" i="5" s="1"/>
  <c r="EW100" i="5"/>
  <c r="EW108" i="5"/>
  <c r="BP17" i="5"/>
  <c r="U19" i="5"/>
  <c r="X19" i="5" s="1"/>
  <c r="AI19" i="5"/>
  <c r="AT19" i="5"/>
  <c r="BE19" i="5"/>
  <c r="AI24" i="5"/>
  <c r="CA22" i="5"/>
  <c r="BP22" i="5"/>
  <c r="M19" i="5"/>
  <c r="X24" i="5"/>
  <c r="M18" i="5"/>
  <c r="BZ17" i="5"/>
  <c r="CA17" i="5" s="1"/>
  <c r="L25" i="5"/>
  <c r="M25" i="5" s="1"/>
  <c r="AT22" i="5"/>
  <c r="AT24" i="5"/>
  <c r="L17" i="5"/>
  <c r="M17" i="5" s="1"/>
  <c r="BZ25" i="5"/>
  <c r="CA25" i="5" s="1"/>
  <c r="BD17" i="5"/>
  <c r="BE17" i="5" s="1"/>
  <c r="EY108" i="5"/>
  <c r="EC108" i="5"/>
  <c r="FK108" i="5"/>
  <c r="EN108" i="5"/>
  <c r="DG108" i="5"/>
  <c r="CK108" i="5"/>
  <c r="DR108" i="5"/>
  <c r="CV108" i="5"/>
  <c r="EY100" i="5"/>
  <c r="FK100" i="5"/>
  <c r="EN100" i="5"/>
  <c r="EC100" i="5"/>
  <c r="DR100" i="5"/>
  <c r="CK100" i="5"/>
  <c r="CV100" i="5"/>
  <c r="DG100" i="5"/>
  <c r="W17" i="5"/>
  <c r="X17" i="5" s="1"/>
  <c r="W25" i="5"/>
  <c r="X25" i="5" s="1"/>
  <c r="AH17" i="5"/>
  <c r="AI17" i="5" s="1"/>
  <c r="AH25" i="5"/>
  <c r="AI25" i="5" s="1"/>
  <c r="AS17" i="5"/>
  <c r="AT17" i="5" s="1"/>
  <c r="AS25" i="5"/>
  <c r="AT25" i="5" s="1"/>
  <c r="BO25" i="5"/>
  <c r="BP25" i="5" s="1"/>
  <c r="BP19" i="5"/>
  <c r="Q212" i="16"/>
  <c r="D141" i="5"/>
  <c r="O209" i="16"/>
  <c r="B138" i="5"/>
  <c r="D140" i="5"/>
  <c r="Q211" i="16"/>
  <c r="Q210" i="16"/>
  <c r="D139" i="5"/>
  <c r="O192" i="16"/>
  <c r="D77" i="5"/>
  <c r="D73" i="5"/>
  <c r="Q203" i="16"/>
  <c r="P202" i="16"/>
  <c r="O201" i="16"/>
  <c r="Q199" i="16"/>
  <c r="P198" i="16"/>
  <c r="O197" i="16"/>
  <c r="Q195" i="16"/>
  <c r="P194" i="16"/>
  <c r="O193" i="16"/>
  <c r="Q191" i="16"/>
  <c r="P190" i="16"/>
  <c r="O189" i="16"/>
  <c r="K211" i="16"/>
  <c r="B140" i="5" s="1"/>
  <c r="L213" i="16"/>
  <c r="L209" i="16"/>
  <c r="M213" i="16"/>
  <c r="M209" i="16"/>
  <c r="B80" i="5"/>
  <c r="D78" i="5"/>
  <c r="C77" i="5"/>
  <c r="B76" i="5"/>
  <c r="D74" i="5"/>
  <c r="C73" i="5"/>
  <c r="B72" i="5"/>
  <c r="D70" i="5"/>
  <c r="BM23" i="5" s="1"/>
  <c r="BP23" i="5" s="1"/>
  <c r="C69" i="5"/>
  <c r="BB22" i="5" s="1"/>
  <c r="BE22" i="5" s="1"/>
  <c r="B68" i="5"/>
  <c r="AQ21" i="5" s="1"/>
  <c r="D66" i="5"/>
  <c r="U23" i="5" s="1"/>
  <c r="X23" i="5" s="1"/>
  <c r="O200" i="16"/>
  <c r="D69" i="5"/>
  <c r="BB23" i="5" s="1"/>
  <c r="BE23" i="5" s="1"/>
  <c r="K214" i="16"/>
  <c r="K210" i="16"/>
  <c r="L212" i="16"/>
  <c r="O212" i="16"/>
  <c r="D79" i="5"/>
  <c r="D75" i="5"/>
  <c r="B73" i="5"/>
  <c r="D71" i="5"/>
  <c r="BX23" i="5" s="1"/>
  <c r="CA23" i="5" s="1"/>
  <c r="D67" i="5"/>
  <c r="AF23" i="5" s="1"/>
  <c r="AI23" i="5" s="1"/>
  <c r="AT23" i="5"/>
  <c r="L210" i="16"/>
  <c r="C139" i="5" s="1"/>
  <c r="L211" i="16"/>
  <c r="C140" i="5" s="1"/>
  <c r="P188" i="16"/>
  <c r="P208" i="16"/>
  <c r="Q208" i="16"/>
  <c r="D137" i="5"/>
  <c r="BP18" i="5"/>
  <c r="AT18" i="5"/>
  <c r="AI18" i="5"/>
  <c r="CA18" i="5"/>
  <c r="X18" i="5"/>
  <c r="M22" i="5"/>
  <c r="M23" i="5"/>
  <c r="M24" i="5"/>
  <c r="P222" i="16"/>
  <c r="P218" i="16"/>
  <c r="P210" i="16"/>
  <c r="O220" i="16"/>
  <c r="O221" i="16"/>
  <c r="O219" i="16"/>
  <c r="O217" i="16"/>
  <c r="O215" i="16"/>
  <c r="O213" i="16"/>
  <c r="O211" i="16"/>
  <c r="P219" i="16"/>
  <c r="P215" i="16"/>
  <c r="P211" i="16"/>
  <c r="FL238" i="6" l="1"/>
  <c r="FL243" i="6" s="1"/>
  <c r="FJ251" i="6" s="1"/>
  <c r="FK238" i="6"/>
  <c r="FK243" i="6" s="1"/>
  <c r="FA237" i="6"/>
  <c r="EZ237" i="6"/>
  <c r="EY238" i="6"/>
  <c r="EY243" i="6" s="1"/>
  <c r="EZ231" i="6"/>
  <c r="FA231" i="6"/>
  <c r="FA224" i="6"/>
  <c r="EZ224" i="6"/>
  <c r="AR216" i="5"/>
  <c r="AS216" i="5"/>
  <c r="AH216" i="5"/>
  <c r="AG216" i="5"/>
  <c r="CJ209" i="5"/>
  <c r="CK209" i="5"/>
  <c r="L209" i="5"/>
  <c r="K209" i="5"/>
  <c r="W216" i="5"/>
  <c r="V216" i="5"/>
  <c r="EY209" i="5"/>
  <c r="EX209" i="5"/>
  <c r="W209" i="5"/>
  <c r="V209" i="5"/>
  <c r="K216" i="5"/>
  <c r="L216" i="5"/>
  <c r="BN216" i="5"/>
  <c r="BO216" i="5"/>
  <c r="DR216" i="5"/>
  <c r="DQ216" i="5"/>
  <c r="AH209" i="5"/>
  <c r="AG209" i="5"/>
  <c r="DG216" i="5"/>
  <c r="DF216" i="5"/>
  <c r="AR209" i="5"/>
  <c r="AS209" i="5"/>
  <c r="EM209" i="5"/>
  <c r="EN209" i="5"/>
  <c r="DQ209" i="5"/>
  <c r="DR209" i="5"/>
  <c r="EY216" i="5"/>
  <c r="EX216" i="5"/>
  <c r="CV216" i="5"/>
  <c r="CU216" i="5"/>
  <c r="CV209" i="5"/>
  <c r="CU209" i="5"/>
  <c r="BD209" i="5"/>
  <c r="BC209" i="5"/>
  <c r="BY209" i="5"/>
  <c r="BZ209" i="5"/>
  <c r="CK216" i="5"/>
  <c r="CJ216" i="5"/>
  <c r="FJ209" i="5"/>
  <c r="FK209" i="5"/>
  <c r="BC216" i="5"/>
  <c r="BD216" i="5"/>
  <c r="BO209" i="5"/>
  <c r="BN209" i="5"/>
  <c r="DF209" i="5"/>
  <c r="DG209" i="5"/>
  <c r="BZ216" i="5"/>
  <c r="BY216" i="5"/>
  <c r="FJ216" i="5"/>
  <c r="FK216" i="5"/>
  <c r="EN216" i="5"/>
  <c r="EM216" i="5"/>
  <c r="DP94" i="5"/>
  <c r="DQ163" i="5" s="1"/>
  <c r="DT163" i="5" s="1"/>
  <c r="DE107" i="5"/>
  <c r="DH107" i="5" s="1"/>
  <c r="EL105" i="5"/>
  <c r="EO105" i="5" s="1"/>
  <c r="X276" i="5"/>
  <c r="Z276" i="5" s="1"/>
  <c r="AC276" i="5" s="1"/>
  <c r="CT105" i="5"/>
  <c r="CW105" i="5" s="1"/>
  <c r="EL102" i="5"/>
  <c r="EO102" i="5" s="1"/>
  <c r="EL106" i="5"/>
  <c r="EO106" i="5" s="1"/>
  <c r="X248" i="5"/>
  <c r="Z248" i="5" s="1"/>
  <c r="AL248" i="5" s="1"/>
  <c r="DE102" i="5"/>
  <c r="DH102" i="5" s="1"/>
  <c r="AC249" i="5"/>
  <c r="AL249" i="5"/>
  <c r="EL108" i="5"/>
  <c r="EO108" i="5" s="1"/>
  <c r="DE106" i="5"/>
  <c r="DH106" i="5" s="1"/>
  <c r="CT108" i="5"/>
  <c r="CW108" i="5" s="1"/>
  <c r="CT102" i="5"/>
  <c r="CW102" i="5" s="1"/>
  <c r="EL104" i="5"/>
  <c r="DE101" i="5"/>
  <c r="DH101" i="5" s="1"/>
  <c r="CT106" i="5"/>
  <c r="CW106" i="5" s="1"/>
  <c r="FI107" i="5"/>
  <c r="FL107" i="5" s="1"/>
  <c r="DP106" i="5"/>
  <c r="DS106" i="5" s="1"/>
  <c r="EA107" i="5"/>
  <c r="ED107" i="5" s="1"/>
  <c r="FI108" i="5"/>
  <c r="FL108" i="5" s="1"/>
  <c r="EA104" i="5"/>
  <c r="EA102" i="5"/>
  <c r="ED102" i="5" s="1"/>
  <c r="FI100" i="5"/>
  <c r="FL100" i="5" s="1"/>
  <c r="EA100" i="5"/>
  <c r="ED100" i="5" s="1"/>
  <c r="FI102" i="5"/>
  <c r="FL102" i="5" s="1"/>
  <c r="DP108" i="5"/>
  <c r="DS108" i="5" s="1"/>
  <c r="CI105" i="5"/>
  <c r="CL105" i="5" s="1"/>
  <c r="FI101" i="5"/>
  <c r="FL101" i="5" s="1"/>
  <c r="EA101" i="5"/>
  <c r="ED101" i="5" s="1"/>
  <c r="DP105" i="5"/>
  <c r="DS105" i="5" s="1"/>
  <c r="CI101" i="5"/>
  <c r="CL101" i="5" s="1"/>
  <c r="FI106" i="5"/>
  <c r="FL106" i="5" s="1"/>
  <c r="FI105" i="5"/>
  <c r="FL105" i="5" s="1"/>
  <c r="EA106" i="5"/>
  <c r="ED106" i="5" s="1"/>
  <c r="FI94" i="5"/>
  <c r="FJ163" i="5" s="1"/>
  <c r="FM163" i="5" s="1"/>
  <c r="DP102" i="5"/>
  <c r="DS102" i="5" s="1"/>
  <c r="DP101" i="5"/>
  <c r="DS101" i="5" s="1"/>
  <c r="DP104" i="5"/>
  <c r="CI108" i="5"/>
  <c r="CL108" i="5" s="1"/>
  <c r="CI104" i="5"/>
  <c r="X252" i="5"/>
  <c r="Z252" i="5" s="1"/>
  <c r="AC252" i="5" s="1"/>
  <c r="EA108" i="5"/>
  <c r="ED108" i="5" s="1"/>
  <c r="DP100" i="5"/>
  <c r="DS100" i="5" s="1"/>
  <c r="CI107" i="5"/>
  <c r="CL107" i="5" s="1"/>
  <c r="CI102" i="5"/>
  <c r="CL102" i="5" s="1"/>
  <c r="X271" i="5"/>
  <c r="Z271" i="5" s="1"/>
  <c r="AC271" i="5" s="1"/>
  <c r="X275" i="5"/>
  <c r="Z275" i="5" s="1"/>
  <c r="AC275" i="5" s="1"/>
  <c r="EL94" i="5"/>
  <c r="EM163" i="5" s="1"/>
  <c r="EP163" i="5" s="1"/>
  <c r="CI100" i="5"/>
  <c r="CL100" i="5" s="1"/>
  <c r="X253" i="5"/>
  <c r="Z253" i="5" s="1"/>
  <c r="AC253" i="5" s="1"/>
  <c r="C310" i="5"/>
  <c r="C330" i="5"/>
  <c r="J256" i="5" s="1"/>
  <c r="M256" i="5" s="1"/>
  <c r="P256" i="5" s="1"/>
  <c r="S256" i="5" s="1"/>
  <c r="V256" i="5" s="1"/>
  <c r="X256" i="5" s="1"/>
  <c r="Z256" i="5" s="1"/>
  <c r="AC284" i="5"/>
  <c r="AL284" i="5"/>
  <c r="X277" i="5"/>
  <c r="Z277" i="5" s="1"/>
  <c r="EL100" i="5"/>
  <c r="EO100" i="5" s="1"/>
  <c r="EL107" i="5"/>
  <c r="EO107" i="5" s="1"/>
  <c r="DE108" i="5"/>
  <c r="DH108" i="5" s="1"/>
  <c r="DE100" i="5"/>
  <c r="DH100" i="5" s="1"/>
  <c r="CT100" i="5"/>
  <c r="CW100" i="5" s="1"/>
  <c r="CT104" i="5"/>
  <c r="AL251" i="5"/>
  <c r="AC251" i="5"/>
  <c r="C312" i="5"/>
  <c r="J281" i="5" s="1"/>
  <c r="M281" i="5" s="1"/>
  <c r="P281" i="5" s="1"/>
  <c r="S281" i="5" s="1"/>
  <c r="V281" i="5" s="1"/>
  <c r="C332" i="5"/>
  <c r="J258" i="5" s="1"/>
  <c r="M258" i="5" s="1"/>
  <c r="P258" i="5" s="1"/>
  <c r="S258" i="5" s="1"/>
  <c r="V258" i="5" s="1"/>
  <c r="X258" i="5" s="1"/>
  <c r="Z258" i="5" s="1"/>
  <c r="X250" i="5"/>
  <c r="Z250" i="5" s="1"/>
  <c r="C309" i="5"/>
  <c r="J278" i="5" s="1"/>
  <c r="M278" i="5" s="1"/>
  <c r="P278" i="5" s="1"/>
  <c r="S278" i="5" s="1"/>
  <c r="V278" i="5" s="1"/>
  <c r="X278" i="5" s="1"/>
  <c r="Z278" i="5" s="1"/>
  <c r="C329" i="5"/>
  <c r="J255" i="5" s="1"/>
  <c r="M255" i="5" s="1"/>
  <c r="P255" i="5" s="1"/>
  <c r="S255" i="5" s="1"/>
  <c r="V255" i="5" s="1"/>
  <c r="X255" i="5" s="1"/>
  <c r="Z255" i="5" s="1"/>
  <c r="AC261" i="5"/>
  <c r="AL261" i="5"/>
  <c r="X254" i="5"/>
  <c r="Z254" i="5" s="1"/>
  <c r="C313" i="5"/>
  <c r="J282" i="5" s="1"/>
  <c r="M282" i="5" s="1"/>
  <c r="P282" i="5" s="1"/>
  <c r="S282" i="5" s="1"/>
  <c r="V282" i="5" s="1"/>
  <c r="X282" i="5" s="1"/>
  <c r="Z282" i="5" s="1"/>
  <c r="C333" i="5"/>
  <c r="J259" i="5" s="1"/>
  <c r="M259" i="5" s="1"/>
  <c r="P259" i="5" s="1"/>
  <c r="S259" i="5" s="1"/>
  <c r="V259" i="5" s="1"/>
  <c r="X259" i="5" s="1"/>
  <c r="Z259" i="5" s="1"/>
  <c r="X272" i="5"/>
  <c r="Z272" i="5" s="1"/>
  <c r="DE105" i="5"/>
  <c r="DH105" i="5" s="1"/>
  <c r="CT101" i="5"/>
  <c r="CW101" i="5" s="1"/>
  <c r="AC274" i="5"/>
  <c r="AL274" i="5"/>
  <c r="X273" i="5"/>
  <c r="Z273" i="5" s="1"/>
  <c r="D311" i="5"/>
  <c r="K280" i="5" s="1"/>
  <c r="N280" i="5" s="1"/>
  <c r="Q280" i="5" s="1"/>
  <c r="T280" i="5" s="1"/>
  <c r="W280" i="5" s="1"/>
  <c r="X280" i="5" s="1"/>
  <c r="Z280" i="5" s="1"/>
  <c r="K281" i="5"/>
  <c r="N281" i="5" s="1"/>
  <c r="Q281" i="5" s="1"/>
  <c r="T281" i="5" s="1"/>
  <c r="W281" i="5" s="1"/>
  <c r="AC257" i="5"/>
  <c r="AL257" i="5"/>
  <c r="C314" i="5"/>
  <c r="J283" i="5" s="1"/>
  <c r="M283" i="5" s="1"/>
  <c r="P283" i="5" s="1"/>
  <c r="S283" i="5" s="1"/>
  <c r="V283" i="5" s="1"/>
  <c r="X283" i="5" s="1"/>
  <c r="Z283" i="5" s="1"/>
  <c r="C334" i="5"/>
  <c r="J260" i="5" s="1"/>
  <c r="M260" i="5" s="1"/>
  <c r="P260" i="5" s="1"/>
  <c r="S260" i="5" s="1"/>
  <c r="V260" i="5" s="1"/>
  <c r="X260" i="5" s="1"/>
  <c r="Z260" i="5" s="1"/>
  <c r="ER102" i="5"/>
  <c r="EM158" i="5"/>
  <c r="EM160" i="5" s="1"/>
  <c r="ED105" i="5"/>
  <c r="DF158" i="5"/>
  <c r="DF160" i="5" s="1"/>
  <c r="FJ158" i="5"/>
  <c r="FJ160" i="5" s="1"/>
  <c r="CJ158" i="5"/>
  <c r="CJ160" i="5" s="1"/>
  <c r="CM160" i="5" s="1"/>
  <c r="EZ100" i="5"/>
  <c r="EX158" i="5"/>
  <c r="FA158" i="5" s="1"/>
  <c r="EE158" i="5"/>
  <c r="EB160" i="5"/>
  <c r="EZ108" i="5"/>
  <c r="CO102" i="5"/>
  <c r="FC102" i="5"/>
  <c r="CT94" i="5"/>
  <c r="CU163" i="5" s="1"/>
  <c r="CX163" i="5" s="1"/>
  <c r="DK102" i="5"/>
  <c r="DH94" i="5" s="1"/>
  <c r="DV102" i="5"/>
  <c r="CZ102" i="5"/>
  <c r="CJ163" i="5"/>
  <c r="CM163" i="5" s="1"/>
  <c r="CL94" i="5"/>
  <c r="EG102" i="5"/>
  <c r="EA94" i="5"/>
  <c r="EB163" i="5" s="1"/>
  <c r="EE163" i="5" s="1"/>
  <c r="CU158" i="5"/>
  <c r="EX163" i="5"/>
  <c r="FA163" i="5" s="1"/>
  <c r="EZ94" i="5"/>
  <c r="FO102" i="5"/>
  <c r="DQ158" i="5"/>
  <c r="P212" i="16"/>
  <c r="C141" i="5"/>
  <c r="B139" i="5"/>
  <c r="O210" i="16"/>
  <c r="D142" i="5"/>
  <c r="Q213" i="16"/>
  <c r="D138" i="5"/>
  <c r="Q209" i="16"/>
  <c r="B143" i="5"/>
  <c r="O214" i="16"/>
  <c r="P209" i="16"/>
  <c r="C138" i="5"/>
  <c r="C142" i="5"/>
  <c r="P213" i="16"/>
  <c r="FJ250" i="6" l="1"/>
  <c r="FQ241" i="6"/>
  <c r="FA238" i="6"/>
  <c r="FA243" i="6" s="1"/>
  <c r="EZ238" i="6"/>
  <c r="EZ243" i="6" s="1"/>
  <c r="DS94" i="5"/>
  <c r="AL276" i="5"/>
  <c r="AL252" i="5"/>
  <c r="AC248" i="5"/>
  <c r="AD248" i="5" s="1"/>
  <c r="AP248" i="5" s="1"/>
  <c r="EO94" i="5"/>
  <c r="AD249" i="5"/>
  <c r="AP249" i="5" s="1"/>
  <c r="AO249" i="5"/>
  <c r="AO248" i="5"/>
  <c r="AL271" i="5"/>
  <c r="FL94" i="5"/>
  <c r="X281" i="5"/>
  <c r="Z281" i="5" s="1"/>
  <c r="AL281" i="5" s="1"/>
  <c r="AL253" i="5"/>
  <c r="AL275" i="5"/>
  <c r="AC283" i="5"/>
  <c r="AL283" i="5"/>
  <c r="AC280" i="5"/>
  <c r="AL280" i="5"/>
  <c r="AC282" i="5"/>
  <c r="AL282" i="5"/>
  <c r="AL250" i="5"/>
  <c r="AC250" i="5"/>
  <c r="AL256" i="5"/>
  <c r="AC256" i="5"/>
  <c r="AL273" i="5"/>
  <c r="AC273" i="5"/>
  <c r="AD274" i="5"/>
  <c r="AP274" i="5" s="1"/>
  <c r="AO274" i="5"/>
  <c r="AD271" i="5"/>
  <c r="AP271" i="5" s="1"/>
  <c r="AO271" i="5"/>
  <c r="AD261" i="5"/>
  <c r="AP261" i="5" s="1"/>
  <c r="AO261" i="5"/>
  <c r="AD251" i="5"/>
  <c r="AP251" i="5" s="1"/>
  <c r="AO251" i="5"/>
  <c r="AD284" i="5"/>
  <c r="AP284" i="5" s="1"/>
  <c r="AO284" i="5"/>
  <c r="J279" i="5"/>
  <c r="M279" i="5" s="1"/>
  <c r="P279" i="5" s="1"/>
  <c r="S279" i="5" s="1"/>
  <c r="V279" i="5" s="1"/>
  <c r="D310" i="5"/>
  <c r="K279" i="5" s="1"/>
  <c r="N279" i="5" s="1"/>
  <c r="Q279" i="5" s="1"/>
  <c r="T279" i="5" s="1"/>
  <c r="W279" i="5" s="1"/>
  <c r="AD257" i="5"/>
  <c r="AP257" i="5" s="1"/>
  <c r="AO257" i="5"/>
  <c r="AC272" i="5"/>
  <c r="AL272" i="5"/>
  <c r="AD252" i="5"/>
  <c r="AP252" i="5" s="1"/>
  <c r="AO252" i="5"/>
  <c r="AL255" i="5"/>
  <c r="AC255" i="5"/>
  <c r="AD253" i="5"/>
  <c r="AP253" i="5" s="1"/>
  <c r="AO253" i="5"/>
  <c r="AD275" i="5"/>
  <c r="AP275" i="5" s="1"/>
  <c r="AO275" i="5"/>
  <c r="EP158" i="5"/>
  <c r="AC260" i="5"/>
  <c r="AL260" i="5"/>
  <c r="AD276" i="5"/>
  <c r="AP276" i="5" s="1"/>
  <c r="AO276" i="5"/>
  <c r="AL259" i="5"/>
  <c r="AC259" i="5"/>
  <c r="AL254" i="5"/>
  <c r="AC254" i="5"/>
  <c r="AC278" i="5"/>
  <c r="AL278" i="5"/>
  <c r="AC258" i="5"/>
  <c r="AL258" i="5"/>
  <c r="AC277" i="5"/>
  <c r="AL277" i="5"/>
  <c r="DI158" i="5"/>
  <c r="FM158" i="5"/>
  <c r="CM158" i="5"/>
  <c r="EX160" i="5"/>
  <c r="FA160" i="5" s="1"/>
  <c r="EB161" i="5"/>
  <c r="EE160" i="5"/>
  <c r="DF161" i="5"/>
  <c r="DI160" i="5"/>
  <c r="CW94" i="5"/>
  <c r="ED94" i="5"/>
  <c r="EM161" i="5"/>
  <c r="EP160" i="5"/>
  <c r="CJ161" i="5"/>
  <c r="CU160" i="5"/>
  <c r="CX158" i="5"/>
  <c r="DT158" i="5"/>
  <c r="DQ160" i="5"/>
  <c r="FJ161" i="5"/>
  <c r="FM160" i="5"/>
  <c r="B21" i="5"/>
  <c r="C21" i="5"/>
  <c r="B22" i="5"/>
  <c r="C22" i="5"/>
  <c r="B23" i="5"/>
  <c r="C23" i="5"/>
  <c r="G125" i="16"/>
  <c r="D124" i="16"/>
  <c r="C124" i="16"/>
  <c r="C40" i="1"/>
  <c r="C41" i="1" s="1"/>
  <c r="AR249" i="5" l="1"/>
  <c r="AR248" i="5"/>
  <c r="AR275" i="5"/>
  <c r="AC281" i="5"/>
  <c r="AD281" i="5" s="1"/>
  <c r="AP281" i="5" s="1"/>
  <c r="AR276" i="5"/>
  <c r="AR253" i="5"/>
  <c r="AR252" i="5"/>
  <c r="AR284" i="5"/>
  <c r="AR261" i="5"/>
  <c r="AR274" i="5"/>
  <c r="AR251" i="5"/>
  <c r="AR271" i="5"/>
  <c r="AD277" i="5"/>
  <c r="AP277" i="5" s="1"/>
  <c r="AO277" i="5"/>
  <c r="AD254" i="5"/>
  <c r="AP254" i="5" s="1"/>
  <c r="AO254" i="5"/>
  <c r="AD272" i="5"/>
  <c r="AP272" i="5" s="1"/>
  <c r="AO272" i="5"/>
  <c r="AD258" i="5"/>
  <c r="AP258" i="5" s="1"/>
  <c r="AO258" i="5"/>
  <c r="X279" i="5"/>
  <c r="Z279" i="5" s="1"/>
  <c r="AD250" i="5"/>
  <c r="AP250" i="5" s="1"/>
  <c r="AO250" i="5"/>
  <c r="AD278" i="5"/>
  <c r="AP278" i="5" s="1"/>
  <c r="AO278" i="5"/>
  <c r="AD260" i="5"/>
  <c r="AP260" i="5" s="1"/>
  <c r="AO260" i="5"/>
  <c r="AO255" i="5"/>
  <c r="AD255" i="5"/>
  <c r="AP255" i="5" s="1"/>
  <c r="AD256" i="5"/>
  <c r="AP256" i="5" s="1"/>
  <c r="AO256" i="5"/>
  <c r="AD282" i="5"/>
  <c r="AP282" i="5" s="1"/>
  <c r="AO282" i="5"/>
  <c r="AD280" i="5"/>
  <c r="AP280" i="5" s="1"/>
  <c r="AO280" i="5"/>
  <c r="AD259" i="5"/>
  <c r="AP259" i="5" s="1"/>
  <c r="AO259" i="5"/>
  <c r="AR257" i="5"/>
  <c r="AD273" i="5"/>
  <c r="AP273" i="5" s="1"/>
  <c r="AO273" i="5"/>
  <c r="AD283" i="5"/>
  <c r="AP283" i="5" s="1"/>
  <c r="AO283" i="5"/>
  <c r="EX161" i="5"/>
  <c r="DQ161" i="5"/>
  <c r="DT160" i="5"/>
  <c r="CU161" i="5"/>
  <c r="CX160" i="5"/>
  <c r="C28" i="5"/>
  <c r="D28" i="5" s="1"/>
  <c r="J6" i="5" s="1"/>
  <c r="J7" i="5" s="1"/>
  <c r="C29" i="5"/>
  <c r="D29" i="5" s="1"/>
  <c r="U6" i="5" s="1"/>
  <c r="C30" i="5"/>
  <c r="D30" i="5" s="1"/>
  <c r="AF6" i="5" s="1"/>
  <c r="C31" i="5"/>
  <c r="D31" i="5" s="1"/>
  <c r="AQ6" i="5" s="1"/>
  <c r="C32" i="5"/>
  <c r="D32" i="5" s="1"/>
  <c r="BB6" i="5" s="1"/>
  <c r="C33" i="5"/>
  <c r="D33" i="5" s="1"/>
  <c r="BM6" i="5" s="1"/>
  <c r="C34" i="5"/>
  <c r="D34" i="5" s="1"/>
  <c r="BX6" i="5" s="1"/>
  <c r="C35" i="5"/>
  <c r="D35" i="5" s="1"/>
  <c r="C36" i="5"/>
  <c r="D36" i="5" s="1"/>
  <c r="C37" i="5"/>
  <c r="D37" i="5" s="1"/>
  <c r="C38" i="5"/>
  <c r="D38" i="5" s="1"/>
  <c r="C39" i="5"/>
  <c r="D39" i="5" s="1"/>
  <c r="C40" i="5"/>
  <c r="D40" i="5" s="1"/>
  <c r="C41" i="5"/>
  <c r="D41" i="5" s="1"/>
  <c r="C42" i="5"/>
  <c r="D42" i="5" s="1"/>
  <c r="C43" i="5"/>
  <c r="D43" i="5" s="1"/>
  <c r="F149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34" i="16"/>
  <c r="E135" i="16"/>
  <c r="E136" i="16"/>
  <c r="E137" i="16"/>
  <c r="E138" i="16"/>
  <c r="E140" i="16"/>
  <c r="E141" i="16"/>
  <c r="E142" i="16"/>
  <c r="E143" i="16"/>
  <c r="E144" i="16"/>
  <c r="E145" i="16"/>
  <c r="E146" i="16"/>
  <c r="E147" i="16"/>
  <c r="E148" i="16"/>
  <c r="E149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34" i="16"/>
  <c r="BL33" i="16"/>
  <c r="G124" i="16"/>
  <c r="C5" i="5"/>
  <c r="C6" i="5"/>
  <c r="C7" i="5"/>
  <c r="C8" i="5"/>
  <c r="C9" i="5"/>
  <c r="C10" i="5"/>
  <c r="C11" i="5"/>
  <c r="D11" i="5" s="1"/>
  <c r="C12" i="5"/>
  <c r="D12" i="5" s="1"/>
  <c r="C13" i="5"/>
  <c r="D13" i="5" s="1"/>
  <c r="C14" i="5"/>
  <c r="D14" i="5" s="1"/>
  <c r="C15" i="5"/>
  <c r="D15" i="5" s="1"/>
  <c r="C16" i="5"/>
  <c r="D16" i="5" s="1"/>
  <c r="C17" i="5"/>
  <c r="D17" i="5" s="1"/>
  <c r="C18" i="5"/>
  <c r="D18" i="5" s="1"/>
  <c r="C19" i="5"/>
  <c r="D19" i="5" s="1"/>
  <c r="C4" i="5"/>
  <c r="E4" i="5"/>
  <c r="F4" i="5"/>
  <c r="E5" i="5"/>
  <c r="F5" i="5"/>
  <c r="E6" i="5"/>
  <c r="F6" i="5"/>
  <c r="E7" i="5"/>
  <c r="F7" i="5"/>
  <c r="E8" i="5"/>
  <c r="F8" i="5"/>
  <c r="E9" i="5"/>
  <c r="F9" i="5"/>
  <c r="E10" i="5"/>
  <c r="F10" i="5"/>
  <c r="E11" i="5"/>
  <c r="F11" i="5"/>
  <c r="E12" i="5"/>
  <c r="F12" i="5"/>
  <c r="E13" i="5"/>
  <c r="F13" i="5"/>
  <c r="E14" i="5"/>
  <c r="F14" i="5"/>
  <c r="E15" i="5"/>
  <c r="F15" i="5"/>
  <c r="E16" i="5"/>
  <c r="F16" i="5"/>
  <c r="E17" i="5"/>
  <c r="F17" i="5"/>
  <c r="E18" i="5"/>
  <c r="F18" i="5"/>
  <c r="E19" i="5"/>
  <c r="F19" i="5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02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L102" i="16"/>
  <c r="M102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M117" i="16"/>
  <c r="L117" i="16"/>
  <c r="M116" i="16"/>
  <c r="L116" i="16"/>
  <c r="M115" i="16"/>
  <c r="L115" i="16"/>
  <c r="M114" i="16"/>
  <c r="L114" i="16"/>
  <c r="M113" i="16"/>
  <c r="L113" i="16"/>
  <c r="M112" i="16"/>
  <c r="L112" i="16"/>
  <c r="M111" i="16"/>
  <c r="L111" i="16"/>
  <c r="M110" i="16"/>
  <c r="L110" i="16"/>
  <c r="M109" i="16"/>
  <c r="L109" i="16"/>
  <c r="M108" i="16"/>
  <c r="L108" i="16"/>
  <c r="M107" i="16"/>
  <c r="L107" i="16"/>
  <c r="M106" i="16"/>
  <c r="L106" i="16"/>
  <c r="M105" i="16"/>
  <c r="L105" i="16"/>
  <c r="M104" i="16"/>
  <c r="L104" i="16"/>
  <c r="M103" i="16"/>
  <c r="L103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02" i="16"/>
  <c r="AS36" i="6"/>
  <c r="AV36" i="6" s="1"/>
  <c r="AH36" i="6"/>
  <c r="AK36" i="6" s="1"/>
  <c r="W36" i="6"/>
  <c r="Z36" i="6" s="1"/>
  <c r="K36" i="6"/>
  <c r="N36" i="6"/>
  <c r="AR283" i="5" l="1"/>
  <c r="AO281" i="5"/>
  <c r="AR278" i="5"/>
  <c r="AR260" i="5"/>
  <c r="AR250" i="5"/>
  <c r="AR272" i="5"/>
  <c r="AR273" i="5"/>
  <c r="AR258" i="5"/>
  <c r="AR254" i="5"/>
  <c r="AR277" i="5"/>
  <c r="AR282" i="5"/>
  <c r="AR280" i="5"/>
  <c r="AR256" i="5"/>
  <c r="AR281" i="5"/>
  <c r="AR259" i="5"/>
  <c r="AR255" i="5"/>
  <c r="AC279" i="5"/>
  <c r="AL279" i="5"/>
  <c r="FO93" i="5"/>
  <c r="FO96" i="5" s="1"/>
  <c r="FO100" i="5" s="1"/>
  <c r="ER93" i="5"/>
  <c r="ER96" i="5" s="1"/>
  <c r="EG93" i="5"/>
  <c r="EG96" i="5" s="1"/>
  <c r="EG100" i="5" s="1"/>
  <c r="FC93" i="5"/>
  <c r="FC96" i="5" s="1"/>
  <c r="FC100" i="5" s="1"/>
  <c r="DK93" i="5"/>
  <c r="DK96" i="5" s="1"/>
  <c r="DK100" i="5" s="1"/>
  <c r="CO93" i="5"/>
  <c r="CO96" i="5" s="1"/>
  <c r="CO100" i="5" s="1"/>
  <c r="CZ93" i="5"/>
  <c r="CZ96" i="5" s="1"/>
  <c r="CZ100" i="5" s="1"/>
  <c r="DV93" i="5"/>
  <c r="DV96" i="5" s="1"/>
  <c r="DV100" i="5" s="1"/>
  <c r="DK95" i="5"/>
  <c r="ER95" i="5"/>
  <c r="CZ95" i="5"/>
  <c r="FO95" i="5"/>
  <c r="EG95" i="5"/>
  <c r="CO95" i="5"/>
  <c r="FC95" i="5"/>
  <c r="DV95" i="5"/>
  <c r="D10" i="5"/>
  <c r="CD8" i="5" s="1"/>
  <c r="CD7" i="5"/>
  <c r="D6" i="5"/>
  <c r="AL8" i="5" s="1"/>
  <c r="AL7" i="5"/>
  <c r="AQ7" i="5"/>
  <c r="AT7" i="5" s="1"/>
  <c r="AT6" i="5"/>
  <c r="P10" i="5"/>
  <c r="AW10" i="5"/>
  <c r="AL10" i="5"/>
  <c r="CD10" i="5"/>
  <c r="BS10" i="5"/>
  <c r="AA10" i="5"/>
  <c r="BH10" i="5"/>
  <c r="D9" i="5"/>
  <c r="BS8" i="5" s="1"/>
  <c r="BS7" i="5"/>
  <c r="D5" i="5"/>
  <c r="AA8" i="5" s="1"/>
  <c r="AA7" i="5"/>
  <c r="BX7" i="5"/>
  <c r="CA7" i="5" s="1"/>
  <c r="CA6" i="5"/>
  <c r="AF7" i="5"/>
  <c r="AI7" i="5" s="1"/>
  <c r="AI6" i="5"/>
  <c r="D4" i="5"/>
  <c r="P8" i="5" s="1"/>
  <c r="P7" i="5"/>
  <c r="D8" i="5"/>
  <c r="BH8" i="5" s="1"/>
  <c r="BH7" i="5"/>
  <c r="BM7" i="5"/>
  <c r="BP7" i="5" s="1"/>
  <c r="BP6" i="5"/>
  <c r="U7" i="5"/>
  <c r="X7" i="5" s="1"/>
  <c r="X6" i="5"/>
  <c r="D7" i="5"/>
  <c r="AW8" i="5" s="1"/>
  <c r="AW7" i="5"/>
  <c r="BB7" i="5"/>
  <c r="BE7" i="5" s="1"/>
  <c r="BE6" i="5"/>
  <c r="M7" i="5"/>
  <c r="M6" i="5"/>
  <c r="AD279" i="5" l="1"/>
  <c r="AP279" i="5" s="1"/>
  <c r="AO279" i="5"/>
  <c r="AR158" i="5"/>
  <c r="AU158" i="5" s="1"/>
  <c r="K158" i="5"/>
  <c r="N158" i="5" s="1"/>
  <c r="BN158" i="5"/>
  <c r="BN160" i="5" s="1"/>
  <c r="AG158" i="5"/>
  <c r="AG160" i="5" s="1"/>
  <c r="BX11" i="5"/>
  <c r="BY163" i="5" s="1"/>
  <c r="CB163" i="5" s="1"/>
  <c r="BB11" i="5"/>
  <c r="BC163" i="5" s="1"/>
  <c r="BF163" i="5" s="1"/>
  <c r="U11" i="5"/>
  <c r="V163" i="5" s="1"/>
  <c r="Y163" i="5" s="1"/>
  <c r="AF11" i="5"/>
  <c r="AG163" i="5" s="1"/>
  <c r="AJ163" i="5" s="1"/>
  <c r="BY158" i="5"/>
  <c r="BY160" i="5" s="1"/>
  <c r="CB160" i="5" s="1"/>
  <c r="EA93" i="5"/>
  <c r="ED93" i="5" s="1"/>
  <c r="EA92" i="5"/>
  <c r="ED92" i="5" s="1"/>
  <c r="EA91" i="5"/>
  <c r="EA88" i="5"/>
  <c r="ED88" i="5" s="1"/>
  <c r="K160" i="5"/>
  <c r="N160" i="5" s="1"/>
  <c r="EO88" i="5"/>
  <c r="EL92" i="5"/>
  <c r="EO92" i="5" s="1"/>
  <c r="EL91" i="5"/>
  <c r="EL93" i="5"/>
  <c r="EO93" i="5" s="1"/>
  <c r="J11" i="5"/>
  <c r="K163" i="5" s="1"/>
  <c r="N163" i="5" s="1"/>
  <c r="FI88" i="5"/>
  <c r="FL88" i="5" s="1"/>
  <c r="FI93" i="5"/>
  <c r="FL93" i="5" s="1"/>
  <c r="FI92" i="5"/>
  <c r="FL92" i="5" s="1"/>
  <c r="FI91" i="5"/>
  <c r="DP91" i="5"/>
  <c r="DP88" i="5"/>
  <c r="DS88" i="5" s="1"/>
  <c r="DP93" i="5"/>
  <c r="DS93" i="5" s="1"/>
  <c r="DP92" i="5"/>
  <c r="DS92" i="5" s="1"/>
  <c r="AQ11" i="5"/>
  <c r="AR163" i="5" s="1"/>
  <c r="AU163" i="5" s="1"/>
  <c r="CT93" i="5"/>
  <c r="CW93" i="5" s="1"/>
  <c r="CT92" i="5"/>
  <c r="CW92" i="5" s="1"/>
  <c r="CT91" i="5"/>
  <c r="CT88" i="5"/>
  <c r="CW88" i="5" s="1"/>
  <c r="CI88" i="5"/>
  <c r="CL88" i="5" s="1"/>
  <c r="CI93" i="5"/>
  <c r="CL93" i="5" s="1"/>
  <c r="CI92" i="5"/>
  <c r="CL92" i="5" s="1"/>
  <c r="CI91" i="5"/>
  <c r="DE93" i="5"/>
  <c r="DH93" i="5" s="1"/>
  <c r="DE88" i="5"/>
  <c r="DH88" i="5" s="1"/>
  <c r="DE92" i="5"/>
  <c r="DH92" i="5" s="1"/>
  <c r="DE91" i="5"/>
  <c r="AR160" i="5"/>
  <c r="BM11" i="5"/>
  <c r="BN163" i="5" s="1"/>
  <c r="BQ163" i="5" s="1"/>
  <c r="BC158" i="5"/>
  <c r="V158" i="5"/>
  <c r="EW93" i="5"/>
  <c r="EZ93" i="5" s="1"/>
  <c r="EW92" i="5"/>
  <c r="EZ92" i="5" s="1"/>
  <c r="EW91" i="5"/>
  <c r="EW88" i="5"/>
  <c r="EZ88" i="5" s="1"/>
  <c r="AL13" i="5"/>
  <c r="AF5" i="5" s="1"/>
  <c r="AI5" i="5" s="1"/>
  <c r="AL12" i="5"/>
  <c r="CD12" i="5"/>
  <c r="CD13" i="5"/>
  <c r="BX5" i="5" s="1"/>
  <c r="CA5" i="5" s="1"/>
  <c r="AW13" i="5"/>
  <c r="AQ5" i="5" s="1"/>
  <c r="AT5" i="5" s="1"/>
  <c r="AW12" i="5"/>
  <c r="P13" i="5"/>
  <c r="P12" i="5"/>
  <c r="J9" i="5" s="1"/>
  <c r="BS12" i="5"/>
  <c r="BS13" i="5"/>
  <c r="BM5" i="5" s="1"/>
  <c r="BP5" i="5" s="1"/>
  <c r="BH13" i="5"/>
  <c r="BB5" i="5" s="1"/>
  <c r="BE5" i="5" s="1"/>
  <c r="BH12" i="5"/>
  <c r="AA13" i="5"/>
  <c r="U5" i="5" s="1"/>
  <c r="X5" i="5" s="1"/>
  <c r="AA12" i="5"/>
  <c r="CA11" i="5" l="1"/>
  <c r="AR279" i="5"/>
  <c r="BE11" i="5"/>
  <c r="BQ158" i="5"/>
  <c r="X11" i="5"/>
  <c r="CB158" i="5"/>
  <c r="AJ158" i="5"/>
  <c r="AI11" i="5"/>
  <c r="BY161" i="5"/>
  <c r="BN161" i="5"/>
  <c r="BQ160" i="5"/>
  <c r="BC160" i="5"/>
  <c r="BF160" i="5" s="1"/>
  <c r="BF158" i="5"/>
  <c r="AG161" i="5"/>
  <c r="AJ160" i="5"/>
  <c r="M11" i="5"/>
  <c r="Y158" i="5"/>
  <c r="V160" i="5"/>
  <c r="K161" i="5"/>
  <c r="BP11" i="5"/>
  <c r="AT11" i="5"/>
  <c r="AR161" i="5"/>
  <c r="AU160" i="5"/>
  <c r="BB9" i="5"/>
  <c r="BE9" i="5" s="1"/>
  <c r="BB10" i="5"/>
  <c r="BE10" i="5" s="1"/>
  <c r="BB8" i="5"/>
  <c r="AQ8" i="5"/>
  <c r="AQ10" i="5"/>
  <c r="AT10" i="5" s="1"/>
  <c r="AQ9" i="5"/>
  <c r="AT9" i="5" s="1"/>
  <c r="BX9" i="5"/>
  <c r="CA9" i="5" s="1"/>
  <c r="BX10" i="5"/>
  <c r="CA10" i="5" s="1"/>
  <c r="BX8" i="5"/>
  <c r="BM8" i="5"/>
  <c r="BM9" i="5"/>
  <c r="BP9" i="5" s="1"/>
  <c r="BM10" i="5"/>
  <c r="BP10" i="5" s="1"/>
  <c r="U10" i="5"/>
  <c r="X10" i="5" s="1"/>
  <c r="U9" i="5"/>
  <c r="X9" i="5" s="1"/>
  <c r="U8" i="5"/>
  <c r="AF10" i="5"/>
  <c r="AI10" i="5" s="1"/>
  <c r="AF9" i="5"/>
  <c r="AI9" i="5" s="1"/>
  <c r="AF8" i="5"/>
  <c r="J5" i="5"/>
  <c r="M5" i="5" s="1"/>
  <c r="M9" i="5"/>
  <c r="J8" i="5"/>
  <c r="J10" i="5"/>
  <c r="M10" i="5" s="1"/>
  <c r="BC161" i="5" l="1"/>
  <c r="V161" i="5"/>
  <c r="Y160" i="5"/>
  <c r="FJ24" i="6" l="1"/>
  <c r="FL24" i="6"/>
  <c r="EY24" i="6"/>
  <c r="FA24" i="6"/>
  <c r="FB24" i="6" s="1"/>
  <c r="FB26" i="6" s="1"/>
  <c r="EN24" i="6"/>
  <c r="EP24" i="6"/>
  <c r="EC24" i="6"/>
  <c r="EE24" i="6"/>
  <c r="DR24" i="6"/>
  <c r="DT24" i="6"/>
  <c r="DG24" i="6"/>
  <c r="DI24" i="6"/>
  <c r="DJ24" i="6" s="1"/>
  <c r="CV24" i="6"/>
  <c r="CX24" i="6"/>
  <c r="CK24" i="6"/>
  <c r="CM24" i="6"/>
  <c r="CN24" i="6" s="1"/>
  <c r="BZ24" i="6"/>
  <c r="CB24" i="6"/>
  <c r="BO24" i="6"/>
  <c r="BQ24" i="6"/>
  <c r="BR24" i="6" s="1"/>
  <c r="BD24" i="6"/>
  <c r="BF24" i="6"/>
  <c r="AS24" i="6"/>
  <c r="AU24" i="6"/>
  <c r="AH24" i="6"/>
  <c r="AJ24" i="6"/>
  <c r="W24" i="6"/>
  <c r="Y24" i="6"/>
  <c r="Z24" i="6" s="1"/>
  <c r="K24" i="6"/>
  <c r="M24" i="6"/>
  <c r="AW206" i="16"/>
  <c r="AX206" i="16"/>
  <c r="AY206" i="16"/>
  <c r="AZ206" i="16"/>
  <c r="BA206" i="16"/>
  <c r="BB206" i="16"/>
  <c r="BC206" i="16"/>
  <c r="BD206" i="16"/>
  <c r="BE206" i="16"/>
  <c r="BF206" i="16"/>
  <c r="BG206" i="16"/>
  <c r="BH206" i="16"/>
  <c r="BI206" i="16"/>
  <c r="BJ206" i="16"/>
  <c r="BK206" i="16"/>
  <c r="AV206" i="16"/>
  <c r="AW194" i="16"/>
  <c r="AX194" i="16"/>
  <c r="AY194" i="16"/>
  <c r="AZ194" i="16"/>
  <c r="BA194" i="16"/>
  <c r="BB194" i="16"/>
  <c r="BC194" i="16"/>
  <c r="BD194" i="16"/>
  <c r="BE194" i="16"/>
  <c r="BF194" i="16"/>
  <c r="BG194" i="16"/>
  <c r="BH194" i="16"/>
  <c r="BI194" i="16"/>
  <c r="BJ194" i="16"/>
  <c r="BK194" i="16"/>
  <c r="AV194" i="16"/>
  <c r="AW191" i="16"/>
  <c r="AX192" i="16"/>
  <c r="AY191" i="16"/>
  <c r="AZ191" i="16"/>
  <c r="AZ192" i="16" s="1"/>
  <c r="BA191" i="16"/>
  <c r="BB191" i="16"/>
  <c r="BB192" i="16" s="1"/>
  <c r="BC191" i="16"/>
  <c r="BD191" i="16"/>
  <c r="BD192" i="16" s="1"/>
  <c r="BE191" i="16"/>
  <c r="BF191" i="16"/>
  <c r="BF192" i="16" s="1"/>
  <c r="BG191" i="16"/>
  <c r="BH191" i="16"/>
  <c r="BH192" i="16" s="1"/>
  <c r="BI191" i="16"/>
  <c r="BJ191" i="16"/>
  <c r="BJ192" i="16" s="1"/>
  <c r="BK191" i="16"/>
  <c r="AW192" i="16"/>
  <c r="AY192" i="16"/>
  <c r="BA192" i="16"/>
  <c r="BC192" i="16"/>
  <c r="BE192" i="16"/>
  <c r="BG192" i="16"/>
  <c r="BI192" i="16"/>
  <c r="BK192" i="16"/>
  <c r="AV192" i="16"/>
  <c r="AV191" i="16"/>
  <c r="N24" i="6" l="1"/>
  <c r="AK24" i="6"/>
  <c r="BG24" i="6"/>
  <c r="CC24" i="6"/>
  <c r="CY24" i="6"/>
  <c r="DU24" i="6"/>
  <c r="EQ24" i="6"/>
  <c r="EQ26" i="6" s="1"/>
  <c r="FM24" i="6"/>
  <c r="FM26" i="6" s="1"/>
  <c r="EF24" i="6"/>
  <c r="AV24" i="6"/>
  <c r="B100" i="6"/>
  <c r="B171" i="6" s="1"/>
  <c r="B190" i="6" s="1"/>
  <c r="C100" i="6"/>
  <c r="B101" i="6"/>
  <c r="C101" i="6"/>
  <c r="B102" i="6"/>
  <c r="C102" i="6"/>
  <c r="B103" i="6"/>
  <c r="C103" i="6"/>
  <c r="B104" i="6"/>
  <c r="C104" i="6"/>
  <c r="B153" i="6" s="1"/>
  <c r="B105" i="6"/>
  <c r="C105" i="6"/>
  <c r="B154" i="6" s="1"/>
  <c r="B106" i="6"/>
  <c r="C106" i="6"/>
  <c r="B155" i="6" s="1"/>
  <c r="B107" i="6"/>
  <c r="C107" i="6"/>
  <c r="B156" i="6" s="1"/>
  <c r="B108" i="6"/>
  <c r="C108" i="6"/>
  <c r="B109" i="6"/>
  <c r="C109" i="6"/>
  <c r="B158" i="6" s="1"/>
  <c r="B110" i="6"/>
  <c r="C110" i="6"/>
  <c r="B111" i="6"/>
  <c r="C111" i="6"/>
  <c r="B160" i="6" s="1"/>
  <c r="B112" i="6"/>
  <c r="C112" i="6"/>
  <c r="B161" i="6" s="1"/>
  <c r="B113" i="6"/>
  <c r="B184" i="6" s="1"/>
  <c r="B204" i="6" s="1"/>
  <c r="B114" i="6"/>
  <c r="B185" i="6" s="1"/>
  <c r="B205" i="6" s="1"/>
  <c r="B115" i="6"/>
  <c r="B186" i="6" s="1"/>
  <c r="B206" i="6" s="1"/>
  <c r="B120" i="1"/>
  <c r="C120" i="1"/>
  <c r="M25" i="6" s="1"/>
  <c r="N25" i="6" s="1"/>
  <c r="N26" i="6" s="1"/>
  <c r="D120" i="1"/>
  <c r="F120" i="1"/>
  <c r="G120" i="1"/>
  <c r="B121" i="1"/>
  <c r="C121" i="1"/>
  <c r="Y25" i="6" s="1"/>
  <c r="Z25" i="6" s="1"/>
  <c r="Z26" i="6" s="1"/>
  <c r="D121" i="1"/>
  <c r="F121" i="1"/>
  <c r="G121" i="1"/>
  <c r="B122" i="1"/>
  <c r="C122" i="1"/>
  <c r="D122" i="1"/>
  <c r="F122" i="1"/>
  <c r="G122" i="1"/>
  <c r="B123" i="1"/>
  <c r="C123" i="1"/>
  <c r="D123" i="1"/>
  <c r="F123" i="1"/>
  <c r="G123" i="1"/>
  <c r="B124" i="1"/>
  <c r="C124" i="1"/>
  <c r="D124" i="1"/>
  <c r="F124" i="1"/>
  <c r="G124" i="1"/>
  <c r="B125" i="1"/>
  <c r="C125" i="1"/>
  <c r="CB25" i="6" s="1"/>
  <c r="CC25" i="6" s="1"/>
  <c r="CC26" i="6" s="1"/>
  <c r="D125" i="1"/>
  <c r="F125" i="1"/>
  <c r="G125" i="1"/>
  <c r="B126" i="1"/>
  <c r="C126" i="1"/>
  <c r="CX25" i="6" s="1"/>
  <c r="CY25" i="6" s="1"/>
  <c r="CY26" i="6" s="1"/>
  <c r="D126" i="1"/>
  <c r="F126" i="1"/>
  <c r="G126" i="1"/>
  <c r="B127" i="1"/>
  <c r="C127" i="1"/>
  <c r="D127" i="1"/>
  <c r="F127" i="1"/>
  <c r="G127" i="1"/>
  <c r="AE247" i="16"/>
  <c r="AF246" i="16"/>
  <c r="AE246" i="16"/>
  <c r="AE245" i="16"/>
  <c r="Z189" i="16"/>
  <c r="Z191" i="16"/>
  <c r="Z193" i="16" s="1"/>
  <c r="Z195" i="16" s="1"/>
  <c r="EE25" i="6" l="1"/>
  <c r="EF25" i="6" s="1"/>
  <c r="EF26" i="6" s="1"/>
  <c r="DJ11" i="13"/>
  <c r="DK11" i="13" s="1"/>
  <c r="DQ25" i="6"/>
  <c r="B159" i="6"/>
  <c r="V25" i="6"/>
  <c r="B151" i="6"/>
  <c r="B181" i="6"/>
  <c r="B201" i="6" s="1"/>
  <c r="A159" i="6"/>
  <c r="B177" i="6"/>
  <c r="B197" i="6" s="1"/>
  <c r="A155" i="6"/>
  <c r="B173" i="6"/>
  <c r="B193" i="6" s="1"/>
  <c r="A151" i="6"/>
  <c r="J25" i="6"/>
  <c r="B150" i="6"/>
  <c r="B180" i="6"/>
  <c r="B200" i="6" s="1"/>
  <c r="A158" i="6"/>
  <c r="A154" i="6"/>
  <c r="B176" i="6"/>
  <c r="B196" i="6" s="1"/>
  <c r="B172" i="6"/>
  <c r="B192" i="6" s="1"/>
  <c r="A150" i="6"/>
  <c r="CJ25" i="6"/>
  <c r="B157" i="6"/>
  <c r="A161" i="6"/>
  <c r="B183" i="6"/>
  <c r="B203" i="6" s="1"/>
  <c r="B179" i="6"/>
  <c r="B199" i="6" s="1"/>
  <c r="A157" i="6"/>
  <c r="A153" i="6"/>
  <c r="B175" i="6"/>
  <c r="B195" i="6" s="1"/>
  <c r="BN25" i="6"/>
  <c r="B152" i="6"/>
  <c r="B182" i="6"/>
  <c r="B202" i="6" s="1"/>
  <c r="A160" i="6"/>
  <c r="B178" i="6"/>
  <c r="B198" i="6" s="1"/>
  <c r="A156" i="6"/>
  <c r="B174" i="6"/>
  <c r="B194" i="6" s="1"/>
  <c r="A152" i="6"/>
  <c r="BQ25" i="6"/>
  <c r="BR25" i="6" s="1"/>
  <c r="BR26" i="6" s="1"/>
  <c r="DT25" i="6"/>
  <c r="DU25" i="6" s="1"/>
  <c r="DU26" i="6" s="1"/>
  <c r="AJ25" i="6"/>
  <c r="AK25" i="6" s="1"/>
  <c r="AK26" i="6" s="1"/>
  <c r="AU25" i="6"/>
  <c r="AV25" i="6" s="1"/>
  <c r="AV26" i="6" s="1"/>
  <c r="CM25" i="6"/>
  <c r="CN25" i="6" s="1"/>
  <c r="CN26" i="6" s="1"/>
  <c r="AG25" i="6"/>
  <c r="BC25" i="6"/>
  <c r="BY25" i="6"/>
  <c r="CU25" i="6"/>
  <c r="DF25" i="6"/>
  <c r="EB25" i="6"/>
  <c r="BF25" i="6"/>
  <c r="BG25" i="6" s="1"/>
  <c r="BG26" i="6" s="1"/>
  <c r="DI25" i="6"/>
  <c r="DJ25" i="6" s="1"/>
  <c r="DJ26" i="6" s="1"/>
  <c r="AR25" i="6"/>
  <c r="Z196" i="16"/>
  <c r="Z197" i="16"/>
  <c r="FJ35" i="6" l="1"/>
  <c r="FJ36" i="6" s="1"/>
  <c r="FM36" i="6" s="1"/>
  <c r="FJ34" i="6"/>
  <c r="FM34" i="6" s="1"/>
  <c r="FJ33" i="6"/>
  <c r="FJ32" i="6"/>
  <c r="FJ31" i="6"/>
  <c r="FJ30" i="6"/>
  <c r="FJ29" i="6"/>
  <c r="EY35" i="6"/>
  <c r="EY36" i="6" s="1"/>
  <c r="FB36" i="6" s="1"/>
  <c r="EY34" i="6"/>
  <c r="FB34" i="6" s="1"/>
  <c r="EY33" i="6"/>
  <c r="EY32" i="6"/>
  <c r="EY31" i="6"/>
  <c r="EY30" i="6"/>
  <c r="EY29" i="6"/>
  <c r="FB32" i="6"/>
  <c r="EN35" i="6"/>
  <c r="EN36" i="6" s="1"/>
  <c r="EQ36" i="6" s="1"/>
  <c r="EN34" i="6"/>
  <c r="EN33" i="6"/>
  <c r="EN32" i="6"/>
  <c r="EN31" i="6"/>
  <c r="EQ31" i="6" s="1"/>
  <c r="EN30" i="6"/>
  <c r="EN29" i="6"/>
  <c r="EC35" i="6"/>
  <c r="EC36" i="6" s="1"/>
  <c r="EF36" i="6" s="1"/>
  <c r="EC34" i="6"/>
  <c r="EF34" i="6" s="1"/>
  <c r="EC33" i="6"/>
  <c r="EC32" i="6"/>
  <c r="EC31" i="6"/>
  <c r="EC30" i="6"/>
  <c r="EC29" i="6"/>
  <c r="DR35" i="6"/>
  <c r="DR36" i="6" s="1"/>
  <c r="DU36" i="6" s="1"/>
  <c r="DR34" i="6"/>
  <c r="DU34" i="6" s="1"/>
  <c r="DR33" i="6"/>
  <c r="DR32" i="6"/>
  <c r="DR31" i="6"/>
  <c r="DR30" i="6"/>
  <c r="DR29" i="6"/>
  <c r="DU31" i="6"/>
  <c r="DG35" i="6"/>
  <c r="DG36" i="6" s="1"/>
  <c r="DJ36" i="6" s="1"/>
  <c r="DG34" i="6"/>
  <c r="DJ34" i="6" s="1"/>
  <c r="DG33" i="6"/>
  <c r="DG32" i="6"/>
  <c r="DG31" i="6"/>
  <c r="DG30" i="6"/>
  <c r="DG29" i="6"/>
  <c r="DJ31" i="6"/>
  <c r="DJ29" i="6"/>
  <c r="CV35" i="6"/>
  <c r="CV36" i="6" s="1"/>
  <c r="CY36" i="6" s="1"/>
  <c r="CV34" i="6"/>
  <c r="CV33" i="6"/>
  <c r="CV32" i="6"/>
  <c r="CV31" i="6"/>
  <c r="CV30" i="6"/>
  <c r="CV29" i="6"/>
  <c r="CY34" i="6"/>
  <c r="CY31" i="6"/>
  <c r="CK35" i="6"/>
  <c r="CK36" i="6" s="1"/>
  <c r="CN36" i="6" s="1"/>
  <c r="CK34" i="6"/>
  <c r="CN34" i="6" s="1"/>
  <c r="CK33" i="6"/>
  <c r="CK32" i="6"/>
  <c r="CK31" i="6"/>
  <c r="CK30" i="6"/>
  <c r="CK29" i="6"/>
  <c r="CN29" i="6" s="1"/>
  <c r="BZ35" i="6"/>
  <c r="BZ36" i="6" s="1"/>
  <c r="CC36" i="6" s="1"/>
  <c r="BZ34" i="6"/>
  <c r="CC34" i="6" s="1"/>
  <c r="BZ33" i="6"/>
  <c r="BZ32" i="6"/>
  <c r="BZ31" i="6"/>
  <c r="CC31" i="6" s="1"/>
  <c r="BZ30" i="6"/>
  <c r="BZ29" i="6"/>
  <c r="BO35" i="6"/>
  <c r="BO36" i="6" s="1"/>
  <c r="BR36" i="6" s="1"/>
  <c r="BO34" i="6"/>
  <c r="BR34" i="6" s="1"/>
  <c r="BO33" i="6"/>
  <c r="BO32" i="6"/>
  <c r="BO31" i="6"/>
  <c r="BR31" i="6" s="1"/>
  <c r="BO30" i="6"/>
  <c r="BO29" i="6"/>
  <c r="BR29" i="6"/>
  <c r="BD35" i="6"/>
  <c r="BD36" i="6" s="1"/>
  <c r="BG36" i="6" s="1"/>
  <c r="BD34" i="6"/>
  <c r="BD33" i="6"/>
  <c r="BD32" i="6"/>
  <c r="BD31" i="6"/>
  <c r="BD30" i="6"/>
  <c r="BD29" i="6"/>
  <c r="AS35" i="6"/>
  <c r="AS34" i="6"/>
  <c r="AS33" i="6"/>
  <c r="AS32" i="6"/>
  <c r="AS31" i="6"/>
  <c r="AS30" i="6"/>
  <c r="AS29" i="6"/>
  <c r="AV34" i="6"/>
  <c r="AH35" i="6"/>
  <c r="AH34" i="6"/>
  <c r="AH33" i="6"/>
  <c r="AH32" i="6"/>
  <c r="AH31" i="6"/>
  <c r="AH30" i="6"/>
  <c r="AH29" i="6"/>
  <c r="AK34" i="6"/>
  <c r="AK31" i="6"/>
  <c r="W35" i="6"/>
  <c r="W34" i="6"/>
  <c r="W33" i="6"/>
  <c r="W32" i="6"/>
  <c r="W31" i="6"/>
  <c r="W29" i="6"/>
  <c r="Z31" i="6"/>
  <c r="Z29" i="6"/>
  <c r="M31" i="6"/>
  <c r="M32" i="6"/>
  <c r="M33" i="6"/>
  <c r="M34" i="6"/>
  <c r="K35" i="6"/>
  <c r="N35" i="6" s="1"/>
  <c r="K34" i="6"/>
  <c r="K33" i="6"/>
  <c r="K32" i="6"/>
  <c r="K31" i="6"/>
  <c r="K29" i="6"/>
  <c r="N29" i="6" s="1"/>
  <c r="C101" i="1"/>
  <c r="BK107" i="16"/>
  <c r="BL107" i="16"/>
  <c r="BM107" i="16"/>
  <c r="BN107" i="16"/>
  <c r="BO107" i="16"/>
  <c r="BP107" i="16"/>
  <c r="BQ107" i="16"/>
  <c r="BR107" i="16"/>
  <c r="BS107" i="16"/>
  <c r="BT107" i="16"/>
  <c r="BU107" i="16"/>
  <c r="BV107" i="16"/>
  <c r="BW107" i="16"/>
  <c r="BX107" i="16"/>
  <c r="BY107" i="16"/>
  <c r="BZ107" i="16"/>
  <c r="CA107" i="16"/>
  <c r="BM86" i="16"/>
  <c r="BN86" i="16"/>
  <c r="BO86" i="16"/>
  <c r="BP86" i="16"/>
  <c r="BQ86" i="16"/>
  <c r="BR86" i="16"/>
  <c r="BS86" i="16"/>
  <c r="BT86" i="16"/>
  <c r="BU86" i="16"/>
  <c r="BV86" i="16"/>
  <c r="BW86" i="16"/>
  <c r="BX86" i="16"/>
  <c r="BY86" i="16"/>
  <c r="BZ86" i="16"/>
  <c r="CA86" i="16"/>
  <c r="BL86" i="16"/>
  <c r="BM101" i="16"/>
  <c r="BN101" i="16"/>
  <c r="BO101" i="16"/>
  <c r="BP101" i="16"/>
  <c r="BQ101" i="16"/>
  <c r="BR101" i="16"/>
  <c r="BS101" i="16"/>
  <c r="BT101" i="16"/>
  <c r="BU101" i="16"/>
  <c r="BV101" i="16"/>
  <c r="BW101" i="16"/>
  <c r="BX101" i="16"/>
  <c r="BY101" i="16"/>
  <c r="BZ101" i="16"/>
  <c r="CA101" i="16"/>
  <c r="BM102" i="16"/>
  <c r="BN102" i="16"/>
  <c r="BO102" i="16"/>
  <c r="BP102" i="16"/>
  <c r="BQ102" i="16"/>
  <c r="BR102" i="16"/>
  <c r="BS102" i="16"/>
  <c r="BT102" i="16"/>
  <c r="BU102" i="16"/>
  <c r="BV102" i="16"/>
  <c r="BW102" i="16"/>
  <c r="BX102" i="16"/>
  <c r="BY102" i="16"/>
  <c r="BZ102" i="16"/>
  <c r="CA102" i="16"/>
  <c r="BM103" i="16"/>
  <c r="BN103" i="16"/>
  <c r="BO103" i="16"/>
  <c r="BP103" i="16"/>
  <c r="BQ103" i="16"/>
  <c r="BR103" i="16"/>
  <c r="BS103" i="16"/>
  <c r="BT103" i="16"/>
  <c r="BU103" i="16"/>
  <c r="BV103" i="16"/>
  <c r="BW103" i="16"/>
  <c r="BX103" i="16"/>
  <c r="BY103" i="16"/>
  <c r="BZ103" i="16"/>
  <c r="CA103" i="16"/>
  <c r="BM104" i="16"/>
  <c r="BN104" i="16"/>
  <c r="BO104" i="16"/>
  <c r="BP104" i="16"/>
  <c r="BQ104" i="16"/>
  <c r="BR104" i="16"/>
  <c r="BS104" i="16"/>
  <c r="BT104" i="16"/>
  <c r="BU104" i="16"/>
  <c r="BV104" i="16"/>
  <c r="BW104" i="16"/>
  <c r="BX104" i="16"/>
  <c r="BY104" i="16"/>
  <c r="BZ104" i="16"/>
  <c r="CA104" i="16"/>
  <c r="BM105" i="16"/>
  <c r="BN105" i="16"/>
  <c r="BO105" i="16"/>
  <c r="BP105" i="16"/>
  <c r="BQ105" i="16"/>
  <c r="BR105" i="16"/>
  <c r="BS105" i="16"/>
  <c r="BT105" i="16"/>
  <c r="BU105" i="16"/>
  <c r="BV105" i="16"/>
  <c r="BW105" i="16"/>
  <c r="BX105" i="16"/>
  <c r="BY105" i="16"/>
  <c r="BZ105" i="16"/>
  <c r="CA105" i="16"/>
  <c r="BM106" i="16"/>
  <c r="BN106" i="16"/>
  <c r="BO106" i="16"/>
  <c r="BP106" i="16"/>
  <c r="BQ106" i="16"/>
  <c r="BR106" i="16"/>
  <c r="BS106" i="16"/>
  <c r="BT106" i="16"/>
  <c r="BU106" i="16"/>
  <c r="BV106" i="16"/>
  <c r="BW106" i="16"/>
  <c r="BX106" i="16"/>
  <c r="BY106" i="16"/>
  <c r="BZ106" i="16"/>
  <c r="CA106" i="16"/>
  <c r="BL106" i="16"/>
  <c r="BL105" i="16"/>
  <c r="BL104" i="16"/>
  <c r="BL102" i="16"/>
  <c r="BL101" i="16"/>
  <c r="BM84" i="16"/>
  <c r="BN84" i="16"/>
  <c r="BO84" i="16"/>
  <c r="BP84" i="16"/>
  <c r="BQ84" i="16"/>
  <c r="BR84" i="16"/>
  <c r="BS84" i="16"/>
  <c r="BT84" i="16"/>
  <c r="BU84" i="16"/>
  <c r="BV84" i="16"/>
  <c r="BW84" i="16"/>
  <c r="BX84" i="16"/>
  <c r="BY84" i="16"/>
  <c r="BZ84" i="16"/>
  <c r="CA84" i="16"/>
  <c r="BL84" i="16"/>
  <c r="CA94" i="16"/>
  <c r="BZ96" i="16"/>
  <c r="BZ95" i="16"/>
  <c r="BX95" i="16"/>
  <c r="BX96" i="16"/>
  <c r="BW95" i="16"/>
  <c r="BZ94" i="16"/>
  <c r="BY94" i="16"/>
  <c r="BX94" i="16"/>
  <c r="BW94" i="16"/>
  <c r="BV94" i="16"/>
  <c r="BU94" i="16"/>
  <c r="BU95" i="16"/>
  <c r="BT94" i="16"/>
  <c r="BU97" i="16"/>
  <c r="BV97" i="16"/>
  <c r="BV95" i="16" s="1"/>
  <c r="BW97" i="16"/>
  <c r="BX97" i="16"/>
  <c r="BY97" i="16"/>
  <c r="BZ97" i="16"/>
  <c r="CA97" i="16"/>
  <c r="BT97" i="16"/>
  <c r="BT95" i="16" s="1"/>
  <c r="BR94" i="16"/>
  <c r="BS94" i="16"/>
  <c r="BQ94" i="16"/>
  <c r="BM63" i="16"/>
  <c r="BN63" i="16"/>
  <c r="BO63" i="16"/>
  <c r="BP63" i="16"/>
  <c r="BQ63" i="16"/>
  <c r="BR63" i="16"/>
  <c r="BS63" i="16"/>
  <c r="BT63" i="16"/>
  <c r="BU63" i="16"/>
  <c r="BV63" i="16"/>
  <c r="BW63" i="16"/>
  <c r="BX63" i="16"/>
  <c r="BY63" i="16"/>
  <c r="BZ63" i="16"/>
  <c r="CA63" i="16"/>
  <c r="BL63" i="16"/>
  <c r="BL56" i="16"/>
  <c r="BL58" i="16"/>
  <c r="BM53" i="16"/>
  <c r="BO53" i="16" s="1"/>
  <c r="BL59" i="16" s="1"/>
  <c r="W22" i="16"/>
  <c r="A60" i="6"/>
  <c r="A62" i="6"/>
  <c r="B62" i="6"/>
  <c r="A63" i="6"/>
  <c r="B63" i="6"/>
  <c r="K7" i="6" s="1"/>
  <c r="K8" i="6" s="1"/>
  <c r="N8" i="6" s="1"/>
  <c r="A64" i="6"/>
  <c r="B64" i="6"/>
  <c r="W7" i="6" s="1"/>
  <c r="W8" i="6" s="1"/>
  <c r="Z8" i="6" s="1"/>
  <c r="A65" i="6"/>
  <c r="B65" i="6"/>
  <c r="AH7" i="6" s="1"/>
  <c r="AH8" i="6" s="1"/>
  <c r="AK8" i="6" s="1"/>
  <c r="A66" i="6"/>
  <c r="B66" i="6"/>
  <c r="AS7" i="6" s="1"/>
  <c r="AS8" i="6" s="1"/>
  <c r="AV8" i="6" s="1"/>
  <c r="A67" i="6"/>
  <c r="B67" i="6"/>
  <c r="BD7" i="6" s="1"/>
  <c r="BD8" i="6" s="1"/>
  <c r="BG8" i="6" s="1"/>
  <c r="A68" i="6"/>
  <c r="B68" i="6"/>
  <c r="BO7" i="6" s="1"/>
  <c r="BO8" i="6" s="1"/>
  <c r="BR8" i="6" s="1"/>
  <c r="A69" i="6"/>
  <c r="B69" i="6"/>
  <c r="BZ7" i="6" s="1"/>
  <c r="BZ8" i="6" s="1"/>
  <c r="CC8" i="6" s="1"/>
  <c r="A70" i="6"/>
  <c r="B70" i="6"/>
  <c r="CK7" i="6" s="1"/>
  <c r="CK8" i="6" s="1"/>
  <c r="CN8" i="6" s="1"/>
  <c r="A71" i="6"/>
  <c r="B71" i="6"/>
  <c r="CV7" i="6" s="1"/>
  <c r="CV8" i="6" s="1"/>
  <c r="CY8" i="6" s="1"/>
  <c r="A72" i="6"/>
  <c r="B72" i="6"/>
  <c r="DG7" i="6" s="1"/>
  <c r="DG8" i="6" s="1"/>
  <c r="DJ8" i="6" s="1"/>
  <c r="A73" i="6"/>
  <c r="B73" i="6"/>
  <c r="DR7" i="6" s="1"/>
  <c r="DR8" i="6" s="1"/>
  <c r="DU8" i="6" s="1"/>
  <c r="A74" i="6"/>
  <c r="B74" i="6"/>
  <c r="EC7" i="6" s="1"/>
  <c r="EC8" i="6" s="1"/>
  <c r="EF8" i="6" s="1"/>
  <c r="A75" i="6"/>
  <c r="B75" i="6"/>
  <c r="EN7" i="6" s="1"/>
  <c r="EN8" i="6" s="1"/>
  <c r="EQ8" i="6" s="1"/>
  <c r="A76" i="6"/>
  <c r="B76" i="6"/>
  <c r="EY7" i="6" s="1"/>
  <c r="EY8" i="6" s="1"/>
  <c r="FB8" i="6" s="1"/>
  <c r="A77" i="6"/>
  <c r="B77" i="6"/>
  <c r="FJ7" i="6" s="1"/>
  <c r="FJ8" i="6" s="1"/>
  <c r="FM8" i="6" s="1"/>
  <c r="A78" i="6"/>
  <c r="B78" i="6"/>
  <c r="BD61" i="16"/>
  <c r="BD60" i="16"/>
  <c r="BD59" i="16"/>
  <c r="BD58" i="16"/>
  <c r="BD57" i="16"/>
  <c r="BD56" i="16"/>
  <c r="BD55" i="16"/>
  <c r="BD54" i="16"/>
  <c r="BD53" i="16"/>
  <c r="BD52" i="16"/>
  <c r="BD51" i="16"/>
  <c r="BD50" i="16"/>
  <c r="BD49" i="16"/>
  <c r="BD48" i="16"/>
  <c r="BD47" i="16"/>
  <c r="BD46" i="16"/>
  <c r="BC61" i="16"/>
  <c r="BC60" i="16"/>
  <c r="BC59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O37" i="16"/>
  <c r="BL35" i="16"/>
  <c r="BL37" i="16"/>
  <c r="BL43" i="16"/>
  <c r="BL32" i="16"/>
  <c r="FL19" i="6"/>
  <c r="FL18" i="6"/>
  <c r="FL17" i="6"/>
  <c r="FL16" i="6"/>
  <c r="FA19" i="6"/>
  <c r="FA18" i="6"/>
  <c r="FA17" i="6"/>
  <c r="FA16" i="6"/>
  <c r="EP19" i="6"/>
  <c r="EP18" i="6"/>
  <c r="EP17" i="6"/>
  <c r="EP16" i="6"/>
  <c r="EE19" i="6"/>
  <c r="EE18" i="6"/>
  <c r="EE17" i="6"/>
  <c r="EE16" i="6"/>
  <c r="DT19" i="6"/>
  <c r="DT18" i="6"/>
  <c r="DT17" i="6"/>
  <c r="DT16" i="6"/>
  <c r="DI19" i="6"/>
  <c r="DI18" i="6"/>
  <c r="DI17" i="6"/>
  <c r="DI16" i="6"/>
  <c r="CX19" i="6"/>
  <c r="CX18" i="6"/>
  <c r="CX17" i="6"/>
  <c r="CX16" i="6"/>
  <c r="CM19" i="6"/>
  <c r="CM18" i="6"/>
  <c r="CM17" i="6"/>
  <c r="CM16" i="6"/>
  <c r="CB19" i="6"/>
  <c r="CB18" i="6"/>
  <c r="CB17" i="6"/>
  <c r="CB16" i="6"/>
  <c r="BQ19" i="6"/>
  <c r="BQ18" i="6"/>
  <c r="BQ17" i="6"/>
  <c r="BQ16" i="6"/>
  <c r="BF19" i="6"/>
  <c r="BF18" i="6"/>
  <c r="BF17" i="6"/>
  <c r="BF16" i="6"/>
  <c r="AU19" i="6"/>
  <c r="AU18" i="6"/>
  <c r="AU17" i="6"/>
  <c r="AU16" i="6"/>
  <c r="AJ19" i="6"/>
  <c r="AJ18" i="6"/>
  <c r="AJ17" i="6"/>
  <c r="AJ16" i="6"/>
  <c r="B42" i="6"/>
  <c r="C42" i="6"/>
  <c r="D42" i="6"/>
  <c r="E42" i="6"/>
  <c r="B43" i="6"/>
  <c r="C43" i="6"/>
  <c r="D43" i="6"/>
  <c r="E43" i="6"/>
  <c r="B44" i="6"/>
  <c r="C44" i="6"/>
  <c r="D44" i="6"/>
  <c r="E44" i="6"/>
  <c r="B45" i="6"/>
  <c r="C45" i="6"/>
  <c r="D45" i="6"/>
  <c r="E45" i="6"/>
  <c r="B46" i="6"/>
  <c r="C46" i="6"/>
  <c r="D46" i="6"/>
  <c r="E46" i="6"/>
  <c r="B47" i="6"/>
  <c r="C47" i="6"/>
  <c r="D47" i="6"/>
  <c r="E47" i="6"/>
  <c r="B48" i="6"/>
  <c r="C48" i="6"/>
  <c r="D48" i="6"/>
  <c r="E48" i="6"/>
  <c r="B49" i="6"/>
  <c r="C49" i="6"/>
  <c r="D49" i="6"/>
  <c r="E49" i="6"/>
  <c r="B50" i="6"/>
  <c r="C50" i="6"/>
  <c r="D50" i="6"/>
  <c r="E50" i="6"/>
  <c r="B51" i="6"/>
  <c r="C51" i="6"/>
  <c r="D51" i="6"/>
  <c r="E51" i="6"/>
  <c r="B52" i="6"/>
  <c r="C52" i="6"/>
  <c r="D52" i="6"/>
  <c r="E52" i="6"/>
  <c r="B53" i="6"/>
  <c r="C53" i="6"/>
  <c r="D53" i="6"/>
  <c r="E53" i="6"/>
  <c r="B54" i="6"/>
  <c r="C54" i="6"/>
  <c r="D54" i="6"/>
  <c r="E54" i="6"/>
  <c r="B55" i="6"/>
  <c r="C55" i="6"/>
  <c r="D55" i="6"/>
  <c r="E55" i="6"/>
  <c r="B56" i="6"/>
  <c r="C56" i="6"/>
  <c r="D56" i="6"/>
  <c r="E56" i="6"/>
  <c r="B57" i="6"/>
  <c r="C57" i="6"/>
  <c r="D57" i="6"/>
  <c r="E57" i="6"/>
  <c r="Y19" i="6"/>
  <c r="Y18" i="6"/>
  <c r="Y17" i="6"/>
  <c r="Y16" i="6"/>
  <c r="M19" i="6"/>
  <c r="N19" i="6" s="1"/>
  <c r="M18" i="6"/>
  <c r="N18" i="6" s="1"/>
  <c r="M17" i="6"/>
  <c r="N17" i="6" s="1"/>
  <c r="M16" i="6"/>
  <c r="N16" i="6" s="1"/>
  <c r="AQ94" i="16"/>
  <c r="AR94" i="16"/>
  <c r="AS94" i="16"/>
  <c r="AT94" i="16"/>
  <c r="AU94" i="16"/>
  <c r="AV94" i="16"/>
  <c r="AW94" i="16"/>
  <c r="AX94" i="16"/>
  <c r="AY94" i="16"/>
  <c r="AZ94" i="16"/>
  <c r="BA94" i="16"/>
  <c r="BB94" i="16"/>
  <c r="BC94" i="16"/>
  <c r="BD94" i="16"/>
  <c r="BE94" i="16"/>
  <c r="AP94" i="16"/>
  <c r="AQ96" i="16"/>
  <c r="AR96" i="16"/>
  <c r="AS96" i="16"/>
  <c r="AT96" i="16"/>
  <c r="AU96" i="16"/>
  <c r="AV96" i="16"/>
  <c r="AW96" i="16"/>
  <c r="AX96" i="16"/>
  <c r="AY96" i="16"/>
  <c r="AZ96" i="16"/>
  <c r="BA96" i="16"/>
  <c r="BB96" i="16"/>
  <c r="BC96" i="16"/>
  <c r="BD96" i="16"/>
  <c r="BE96" i="16"/>
  <c r="AP96" i="16"/>
  <c r="AQ90" i="16"/>
  <c r="AR90" i="16"/>
  <c r="AR92" i="16" s="1"/>
  <c r="AS90" i="16"/>
  <c r="AT90" i="16"/>
  <c r="AT92" i="16" s="1"/>
  <c r="AU90" i="16"/>
  <c r="AV90" i="16"/>
  <c r="AV92" i="16" s="1"/>
  <c r="AW90" i="16"/>
  <c r="AX90" i="16"/>
  <c r="AY90" i="16"/>
  <c r="AZ90" i="16"/>
  <c r="AZ92" i="16" s="1"/>
  <c r="BA90" i="16"/>
  <c r="BB90" i="16"/>
  <c r="BB92" i="16" s="1"/>
  <c r="BC90" i="16"/>
  <c r="BD90" i="16"/>
  <c r="BD92" i="16" s="1"/>
  <c r="BE90" i="16"/>
  <c r="AQ88" i="16"/>
  <c r="AR88" i="16"/>
  <c r="AS88" i="16"/>
  <c r="AT88" i="16"/>
  <c r="AU88" i="16"/>
  <c r="AV88" i="16"/>
  <c r="AW88" i="16"/>
  <c r="AX88" i="16"/>
  <c r="AY88" i="16"/>
  <c r="AZ88" i="16"/>
  <c r="BA88" i="16"/>
  <c r="BB88" i="16"/>
  <c r="BC88" i="16"/>
  <c r="BD88" i="16"/>
  <c r="BE88" i="16"/>
  <c r="AP90" i="16"/>
  <c r="AP88" i="16"/>
  <c r="AQ92" i="16"/>
  <c r="AS92" i="16"/>
  <c r="AU92" i="16"/>
  <c r="AW92" i="16"/>
  <c r="AY92" i="16"/>
  <c r="BA92" i="16"/>
  <c r="BC92" i="16"/>
  <c r="BE92" i="16"/>
  <c r="AX92" i="16"/>
  <c r="AP92" i="16"/>
  <c r="AQ83" i="16"/>
  <c r="AR83" i="16"/>
  <c r="AS83" i="16"/>
  <c r="AT83" i="16"/>
  <c r="AU83" i="16"/>
  <c r="AV83" i="16"/>
  <c r="AW83" i="16"/>
  <c r="AX83" i="16"/>
  <c r="AY83" i="16"/>
  <c r="AZ83" i="16"/>
  <c r="BA83" i="16"/>
  <c r="BB83" i="16"/>
  <c r="BC83" i="16"/>
  <c r="BD83" i="16"/>
  <c r="BE83" i="16"/>
  <c r="AP83" i="16"/>
  <c r="AQ81" i="16"/>
  <c r="AR81" i="16"/>
  <c r="AS81" i="16"/>
  <c r="AT81" i="16"/>
  <c r="AU81" i="16"/>
  <c r="AV81" i="16"/>
  <c r="AW81" i="16"/>
  <c r="AX81" i="16"/>
  <c r="AY81" i="16"/>
  <c r="AZ81" i="16"/>
  <c r="BA81" i="16"/>
  <c r="BB81" i="16"/>
  <c r="BC81" i="16"/>
  <c r="BD81" i="16"/>
  <c r="BE81" i="16"/>
  <c r="AP81" i="16"/>
  <c r="C234" i="9"/>
  <c r="E217" i="9"/>
  <c r="B23" i="6"/>
  <c r="C23" i="6"/>
  <c r="B24" i="6"/>
  <c r="C24" i="6"/>
  <c r="B25" i="6"/>
  <c r="F25" i="6" s="1"/>
  <c r="C25" i="6"/>
  <c r="B26" i="6"/>
  <c r="C26" i="6"/>
  <c r="B27" i="6"/>
  <c r="C27" i="6"/>
  <c r="B28" i="6"/>
  <c r="C28" i="6"/>
  <c r="B29" i="6"/>
  <c r="F29" i="6" s="1"/>
  <c r="C29" i="6"/>
  <c r="B30" i="6"/>
  <c r="C30" i="6"/>
  <c r="B31" i="6"/>
  <c r="C31" i="6"/>
  <c r="B32" i="6"/>
  <c r="C32" i="6"/>
  <c r="B33" i="6"/>
  <c r="F33" i="6" s="1"/>
  <c r="C33" i="6"/>
  <c r="B34" i="6"/>
  <c r="C34" i="6"/>
  <c r="B35" i="6"/>
  <c r="C35" i="6"/>
  <c r="B36" i="6"/>
  <c r="C36" i="6"/>
  <c r="B37" i="6"/>
  <c r="F37" i="6" s="1"/>
  <c r="C37" i="6"/>
  <c r="B38" i="6"/>
  <c r="C38" i="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46" i="16"/>
  <c r="AT46" i="16"/>
  <c r="AT47" i="16"/>
  <c r="AT48" i="16"/>
  <c r="AT49" i="16"/>
  <c r="AT50" i="16"/>
  <c r="AT51" i="16"/>
  <c r="AT52" i="16"/>
  <c r="AT53" i="16"/>
  <c r="AT54" i="16"/>
  <c r="AT55" i="16"/>
  <c r="AT56" i="16"/>
  <c r="AT57" i="16"/>
  <c r="AT58" i="16"/>
  <c r="AT59" i="16"/>
  <c r="AT60" i="16"/>
  <c r="AT61" i="16"/>
  <c r="A2" i="6"/>
  <c r="B298" i="6" s="1"/>
  <c r="B2" i="6"/>
  <c r="C298" i="6" s="1"/>
  <c r="K263" i="6" s="1"/>
  <c r="C2" i="6"/>
  <c r="D298" i="6" s="1"/>
  <c r="L263" i="6" s="1"/>
  <c r="D2" i="6"/>
  <c r="E298" i="6" s="1"/>
  <c r="M263" i="6" s="1"/>
  <c r="A3" i="6"/>
  <c r="B299" i="6" s="1"/>
  <c r="B3" i="6"/>
  <c r="C299" i="6" s="1"/>
  <c r="K264" i="6" s="1"/>
  <c r="C3" i="6"/>
  <c r="D3" i="6"/>
  <c r="A4" i="6"/>
  <c r="B300" i="6" s="1"/>
  <c r="B4" i="6"/>
  <c r="C4" i="6"/>
  <c r="D4" i="6"/>
  <c r="A5" i="6"/>
  <c r="B301" i="6" s="1"/>
  <c r="B5" i="6"/>
  <c r="C5" i="6"/>
  <c r="D5" i="6"/>
  <c r="A6" i="6"/>
  <c r="B302" i="6" s="1"/>
  <c r="B6" i="6"/>
  <c r="C6" i="6"/>
  <c r="D6" i="6"/>
  <c r="A7" i="6"/>
  <c r="B303" i="6" s="1"/>
  <c r="B7" i="6"/>
  <c r="C7" i="6"/>
  <c r="D7" i="6"/>
  <c r="A8" i="6"/>
  <c r="B304" i="6" s="1"/>
  <c r="B8" i="6"/>
  <c r="C304" i="6" s="1"/>
  <c r="K269" i="6" s="1"/>
  <c r="C8" i="6"/>
  <c r="D304" i="6" s="1"/>
  <c r="D8" i="6"/>
  <c r="A9" i="6"/>
  <c r="B305" i="6" s="1"/>
  <c r="B9" i="6"/>
  <c r="C9" i="6"/>
  <c r="D9" i="6"/>
  <c r="A10" i="6"/>
  <c r="B306" i="6" s="1"/>
  <c r="J271" i="6" s="1"/>
  <c r="B10" i="6"/>
  <c r="C10" i="6"/>
  <c r="D10" i="6"/>
  <c r="A11" i="6"/>
  <c r="B307" i="6" s="1"/>
  <c r="B11" i="6"/>
  <c r="C11" i="6"/>
  <c r="D11" i="6"/>
  <c r="A12" i="6"/>
  <c r="B308" i="6" s="1"/>
  <c r="B12" i="6"/>
  <c r="C12" i="6"/>
  <c r="D12" i="6"/>
  <c r="A13" i="6"/>
  <c r="B309" i="6" s="1"/>
  <c r="B13" i="6"/>
  <c r="C13" i="6"/>
  <c r="D13" i="6"/>
  <c r="A14" i="6"/>
  <c r="B310" i="6" s="1"/>
  <c r="B14" i="6"/>
  <c r="C14" i="6"/>
  <c r="D14" i="6"/>
  <c r="A15" i="6"/>
  <c r="B311" i="6" s="1"/>
  <c r="B15" i="6"/>
  <c r="C15" i="6"/>
  <c r="D15" i="6"/>
  <c r="A16" i="6"/>
  <c r="B16" i="6"/>
  <c r="FE5" i="6" s="1"/>
  <c r="C16" i="6"/>
  <c r="FE9" i="6" s="1"/>
  <c r="D16" i="6"/>
  <c r="F16" i="6" s="1"/>
  <c r="A17" i="6"/>
  <c r="B312" i="6" s="1"/>
  <c r="B17" i="6"/>
  <c r="C17" i="6"/>
  <c r="D17" i="6"/>
  <c r="A18" i="6"/>
  <c r="B313" i="6" s="1"/>
  <c r="B18" i="6"/>
  <c r="C313" i="6" s="1"/>
  <c r="K278" i="6" s="1"/>
  <c r="C18" i="6"/>
  <c r="D313" i="6" s="1"/>
  <c r="D18" i="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38" i="16"/>
  <c r="AR38" i="16"/>
  <c r="AS38" i="16"/>
  <c r="AT38" i="16"/>
  <c r="AU38" i="16"/>
  <c r="AV38" i="16"/>
  <c r="AW38" i="16"/>
  <c r="AX38" i="16"/>
  <c r="AY38" i="16"/>
  <c r="AZ38" i="16"/>
  <c r="BA38" i="16"/>
  <c r="BB38" i="16"/>
  <c r="BC38" i="16"/>
  <c r="BD38" i="16"/>
  <c r="BE38" i="16"/>
  <c r="AQ31" i="16"/>
  <c r="AR31" i="16"/>
  <c r="AS31" i="16"/>
  <c r="AT31" i="16"/>
  <c r="AU31" i="16"/>
  <c r="AV31" i="16"/>
  <c r="AW31" i="16"/>
  <c r="AX31" i="16"/>
  <c r="AY31" i="16"/>
  <c r="AZ31" i="16"/>
  <c r="BA31" i="16"/>
  <c r="BB31" i="16"/>
  <c r="BC31" i="16"/>
  <c r="BD31" i="16"/>
  <c r="BE31" i="16"/>
  <c r="AP31" i="16"/>
  <c r="AP38" i="16" s="1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W39" i="16"/>
  <c r="W38" i="16"/>
  <c r="DU35" i="6" l="1"/>
  <c r="B329" i="6"/>
  <c r="J277" i="6"/>
  <c r="J274" i="6"/>
  <c r="B326" i="6"/>
  <c r="B323" i="6"/>
  <c r="J270" i="6"/>
  <c r="F18" i="6"/>
  <c r="E313" i="6"/>
  <c r="F17" i="6"/>
  <c r="E312" i="6"/>
  <c r="F15" i="6"/>
  <c r="E311" i="6"/>
  <c r="F14" i="6"/>
  <c r="E310" i="6"/>
  <c r="M275" i="6" s="1"/>
  <c r="P275" i="6" s="1"/>
  <c r="S275" i="6" s="1"/>
  <c r="V275" i="6" s="1"/>
  <c r="Y275" i="6" s="1"/>
  <c r="F13" i="6"/>
  <c r="E309" i="6"/>
  <c r="F12" i="6"/>
  <c r="E308" i="6"/>
  <c r="F11" i="6"/>
  <c r="E307" i="6"/>
  <c r="F10" i="6"/>
  <c r="E306" i="6"/>
  <c r="F9" i="6"/>
  <c r="E305" i="6"/>
  <c r="F8" i="6"/>
  <c r="E304" i="6"/>
  <c r="F7" i="6"/>
  <c r="E303" i="6"/>
  <c r="AY10" i="6"/>
  <c r="E302" i="6"/>
  <c r="AN10" i="6"/>
  <c r="E301" i="6"/>
  <c r="AC10" i="6"/>
  <c r="E300" i="6"/>
  <c r="F3" i="6"/>
  <c r="K9" i="6" s="1"/>
  <c r="E299" i="6"/>
  <c r="L278" i="6"/>
  <c r="O278" i="6" s="1"/>
  <c r="R278" i="6" s="1"/>
  <c r="U278" i="6" s="1"/>
  <c r="X278" i="6" s="1"/>
  <c r="D330" i="6"/>
  <c r="FP9" i="6"/>
  <c r="D312" i="6"/>
  <c r="ET9" i="6"/>
  <c r="D311" i="6"/>
  <c r="EI9" i="6"/>
  <c r="D310" i="6"/>
  <c r="L275" i="6" s="1"/>
  <c r="O275" i="6" s="1"/>
  <c r="R275" i="6" s="1"/>
  <c r="U275" i="6" s="1"/>
  <c r="X275" i="6" s="1"/>
  <c r="DX9" i="6"/>
  <c r="D309" i="6"/>
  <c r="DM9" i="6"/>
  <c r="D308" i="6"/>
  <c r="DB9" i="6"/>
  <c r="D307" i="6"/>
  <c r="CQ9" i="6"/>
  <c r="D306" i="6"/>
  <c r="CF9" i="6"/>
  <c r="D305" i="6"/>
  <c r="L269" i="6"/>
  <c r="O269" i="6" s="1"/>
  <c r="R269" i="6" s="1"/>
  <c r="U269" i="6" s="1"/>
  <c r="X269" i="6" s="1"/>
  <c r="C322" i="6"/>
  <c r="BJ9" i="6"/>
  <c r="D303" i="6"/>
  <c r="AY9" i="6"/>
  <c r="D302" i="6"/>
  <c r="AN9" i="6"/>
  <c r="D301" i="6"/>
  <c r="AC9" i="6"/>
  <c r="D300" i="6"/>
  <c r="Q9" i="6"/>
  <c r="D299" i="6"/>
  <c r="N31" i="6"/>
  <c r="J278" i="6"/>
  <c r="B330" i="6"/>
  <c r="B327" i="6"/>
  <c r="J275" i="6"/>
  <c r="B324" i="6"/>
  <c r="J272" i="6"/>
  <c r="FP5" i="6"/>
  <c r="C312" i="6"/>
  <c r="K277" i="6" s="1"/>
  <c r="ET5" i="6"/>
  <c r="C311" i="6"/>
  <c r="K276" i="6" s="1"/>
  <c r="EI5" i="6"/>
  <c r="C310" i="6"/>
  <c r="K275" i="6" s="1"/>
  <c r="DX5" i="6"/>
  <c r="C309" i="6"/>
  <c r="K274" i="6" s="1"/>
  <c r="DM5" i="6"/>
  <c r="C308" i="6"/>
  <c r="K273" i="6" s="1"/>
  <c r="DB5" i="6"/>
  <c r="C307" i="6"/>
  <c r="K272" i="6" s="1"/>
  <c r="CQ5" i="6"/>
  <c r="C306" i="6"/>
  <c r="K271" i="6" s="1"/>
  <c r="CF5" i="6"/>
  <c r="C305" i="6"/>
  <c r="K270" i="6" s="1"/>
  <c r="BJ5" i="6"/>
  <c r="C303" i="6"/>
  <c r="K268" i="6" s="1"/>
  <c r="AY5" i="6"/>
  <c r="C302" i="6"/>
  <c r="K267" i="6" s="1"/>
  <c r="AN5" i="6"/>
  <c r="C301" i="6"/>
  <c r="K266" i="6" s="1"/>
  <c r="AC5" i="6"/>
  <c r="C300" i="6"/>
  <c r="K265" i="6" s="1"/>
  <c r="N34" i="6"/>
  <c r="B328" i="6"/>
  <c r="J276" i="6"/>
  <c r="B325" i="6"/>
  <c r="J273" i="6"/>
  <c r="J269" i="6"/>
  <c r="B322" i="6"/>
  <c r="B321" i="6"/>
  <c r="J268" i="6"/>
  <c r="B320" i="6"/>
  <c r="J267" i="6"/>
  <c r="B319" i="6"/>
  <c r="J266" i="6"/>
  <c r="J265" i="6"/>
  <c r="B318" i="6"/>
  <c r="B317" i="6"/>
  <c r="J264" i="6"/>
  <c r="B316" i="6"/>
  <c r="J263" i="6"/>
  <c r="F38" i="6"/>
  <c r="G38" i="6" s="1"/>
  <c r="F34" i="6"/>
  <c r="F30" i="6"/>
  <c r="G30" i="6" s="1"/>
  <c r="CK11" i="6" s="1"/>
  <c r="CN11" i="6" s="1"/>
  <c r="F26" i="6"/>
  <c r="G26" i="6" s="1"/>
  <c r="AS11" i="6" s="1"/>
  <c r="AV11" i="6" s="1"/>
  <c r="CC33" i="6"/>
  <c r="F36" i="6"/>
  <c r="G36" i="6" s="1"/>
  <c r="EY11" i="6" s="1"/>
  <c r="FB11" i="6" s="1"/>
  <c r="F32" i="6"/>
  <c r="G32" i="6" s="1"/>
  <c r="DG11" i="6" s="1"/>
  <c r="DJ11" i="6" s="1"/>
  <c r="F28" i="6"/>
  <c r="G28" i="6" s="1"/>
  <c r="BO11" i="6" s="1"/>
  <c r="BR11" i="6" s="1"/>
  <c r="F24" i="6"/>
  <c r="G24" i="6" s="1"/>
  <c r="W11" i="6" s="1"/>
  <c r="Z11" i="6" s="1"/>
  <c r="AK33" i="6"/>
  <c r="AV33" i="6"/>
  <c r="N33" i="6"/>
  <c r="N32" i="6"/>
  <c r="F35" i="6"/>
  <c r="G35" i="6" s="1"/>
  <c r="EN11" i="6" s="1"/>
  <c r="EQ11" i="6" s="1"/>
  <c r="F31" i="6"/>
  <c r="G31" i="6" s="1"/>
  <c r="CV11" i="6" s="1"/>
  <c r="CY11" i="6" s="1"/>
  <c r="F27" i="6"/>
  <c r="G27" i="6" s="1"/>
  <c r="BD11" i="6" s="1"/>
  <c r="BG11" i="6" s="1"/>
  <c r="F23" i="6"/>
  <c r="G23" i="6" s="1"/>
  <c r="K11" i="6" s="1"/>
  <c r="N11" i="6" s="1"/>
  <c r="BG33" i="6"/>
  <c r="EQ33" i="6"/>
  <c r="FB30" i="6"/>
  <c r="FK104" i="5"/>
  <c r="FL104" i="5" s="1"/>
  <c r="FL109" i="5" s="1"/>
  <c r="EN104" i="5"/>
  <c r="EO104" i="5" s="1"/>
  <c r="EO109" i="5" s="1"/>
  <c r="EC104" i="5"/>
  <c r="ED104" i="5" s="1"/>
  <c r="ED109" i="5" s="1"/>
  <c r="EY104" i="5"/>
  <c r="EZ104" i="5" s="1"/>
  <c r="EZ109" i="5" s="1"/>
  <c r="CV104" i="5"/>
  <c r="CW104" i="5" s="1"/>
  <c r="CW109" i="5" s="1"/>
  <c r="DR104" i="5"/>
  <c r="DS104" i="5" s="1"/>
  <c r="DS109" i="5" s="1"/>
  <c r="DG104" i="5"/>
  <c r="DH104" i="5" s="1"/>
  <c r="DH109" i="5" s="1"/>
  <c r="CK104" i="5"/>
  <c r="CL104" i="5" s="1"/>
  <c r="CL109" i="5" s="1"/>
  <c r="BZ21" i="5"/>
  <c r="CA21" i="5" s="1"/>
  <c r="CA26" i="5" s="1"/>
  <c r="BO21" i="5"/>
  <c r="BP21" i="5" s="1"/>
  <c r="BP26" i="5" s="1"/>
  <c r="AS21" i="5"/>
  <c r="AT21" i="5" s="1"/>
  <c r="AT26" i="5" s="1"/>
  <c r="AH21" i="5"/>
  <c r="AI21" i="5" s="1"/>
  <c r="AI26" i="5" s="1"/>
  <c r="W21" i="5"/>
  <c r="X21" i="5" s="1"/>
  <c r="X26" i="5" s="1"/>
  <c r="L21" i="5"/>
  <c r="M21" i="5" s="1"/>
  <c r="M26" i="5" s="1"/>
  <c r="BD21" i="5"/>
  <c r="BE21" i="5" s="1"/>
  <c r="BE26" i="5" s="1"/>
  <c r="Z33" i="6"/>
  <c r="BR33" i="6"/>
  <c r="DJ33" i="6"/>
  <c r="FB33" i="6"/>
  <c r="CN33" i="6"/>
  <c r="EF33" i="6"/>
  <c r="AK32" i="6"/>
  <c r="FM32" i="6"/>
  <c r="AV31" i="6"/>
  <c r="CN31" i="6"/>
  <c r="EF31" i="6"/>
  <c r="FB31" i="6"/>
  <c r="N20" i="6"/>
  <c r="Z34" i="6"/>
  <c r="BR30" i="6"/>
  <c r="DU30" i="6"/>
  <c r="EQ30" i="6"/>
  <c r="CN30" i="6"/>
  <c r="DJ30" i="6"/>
  <c r="AK30" i="6"/>
  <c r="FM30" i="6"/>
  <c r="M30" i="6"/>
  <c r="N30" i="6" s="1"/>
  <c r="Z30" i="6"/>
  <c r="BG30" i="6"/>
  <c r="EF30" i="6"/>
  <c r="AV30" i="6"/>
  <c r="CC30" i="6"/>
  <c r="CY30" i="6"/>
  <c r="G37" i="6"/>
  <c r="FJ11" i="6" s="1"/>
  <c r="FM11" i="6" s="1"/>
  <c r="G33" i="6"/>
  <c r="DR11" i="6" s="1"/>
  <c r="DU11" i="6" s="1"/>
  <c r="G29" i="6"/>
  <c r="BZ11" i="6" s="1"/>
  <c r="CC11" i="6" s="1"/>
  <c r="G25" i="6"/>
  <c r="AH11" i="6" s="1"/>
  <c r="AK11" i="6" s="1"/>
  <c r="G34" i="6"/>
  <c r="EC11" i="6" s="1"/>
  <c r="EF11" i="6" s="1"/>
  <c r="AV32" i="6"/>
  <c r="DJ32" i="6"/>
  <c r="EQ32" i="6"/>
  <c r="FJ17" i="6"/>
  <c r="FM17" i="6" s="1"/>
  <c r="DG17" i="6"/>
  <c r="DJ17" i="6" s="1"/>
  <c r="EF35" i="6"/>
  <c r="Z32" i="6"/>
  <c r="BG31" i="6"/>
  <c r="BG32" i="6"/>
  <c r="BR32" i="6"/>
  <c r="FM33" i="6"/>
  <c r="DU32" i="6"/>
  <c r="EY17" i="6"/>
  <c r="FB17" i="6" s="1"/>
  <c r="DR17" i="6"/>
  <c r="DU17" i="6" s="1"/>
  <c r="BG34" i="6"/>
  <c r="DU33" i="6"/>
  <c r="EF32" i="6"/>
  <c r="AK29" i="6"/>
  <c r="CC32" i="6"/>
  <c r="CN32" i="6"/>
  <c r="CY32" i="6"/>
  <c r="EQ34" i="6"/>
  <c r="FM35" i="6"/>
  <c r="FM31" i="6"/>
  <c r="FM29" i="6"/>
  <c r="FB35" i="6"/>
  <c r="FB29" i="6"/>
  <c r="EQ35" i="6"/>
  <c r="EQ29" i="6"/>
  <c r="EF29" i="6"/>
  <c r="DU29" i="6"/>
  <c r="DJ35" i="6"/>
  <c r="CY35" i="6"/>
  <c r="CY33" i="6"/>
  <c r="CY29" i="6"/>
  <c r="CN35" i="6"/>
  <c r="CC35" i="6"/>
  <c r="CC29" i="6"/>
  <c r="BR35" i="6"/>
  <c r="BG35" i="6"/>
  <c r="BG29" i="6"/>
  <c r="AV35" i="6"/>
  <c r="AV29" i="6"/>
  <c r="AK35" i="6"/>
  <c r="Z35" i="6"/>
  <c r="N7" i="6"/>
  <c r="BM61" i="16"/>
  <c r="BQ61" i="16"/>
  <c r="BQ65" i="16" s="1"/>
  <c r="BU61" i="16"/>
  <c r="BU65" i="16" s="1"/>
  <c r="BY61" i="16"/>
  <c r="BY65" i="16" s="1"/>
  <c r="BX61" i="16"/>
  <c r="BX65" i="16" s="1"/>
  <c r="BN61" i="16"/>
  <c r="BN65" i="16" s="1"/>
  <c r="BR61" i="16"/>
  <c r="BR65" i="16" s="1"/>
  <c r="BV61" i="16"/>
  <c r="BV65" i="16" s="1"/>
  <c r="BZ61" i="16"/>
  <c r="BZ65" i="16" s="1"/>
  <c r="BT61" i="16"/>
  <c r="BT65" i="16" s="1"/>
  <c r="BL61" i="16"/>
  <c r="BL65" i="16" s="1"/>
  <c r="BO61" i="16"/>
  <c r="BO65" i="16" s="1"/>
  <c r="BS61" i="16"/>
  <c r="BW61" i="16"/>
  <c r="BW65" i="16" s="1"/>
  <c r="CA61" i="16"/>
  <c r="BP61" i="16"/>
  <c r="BP65" i="16" s="1"/>
  <c r="CA65" i="16"/>
  <c r="BS65" i="16"/>
  <c r="BM65" i="16"/>
  <c r="AK7" i="6"/>
  <c r="BG7" i="6"/>
  <c r="CC7" i="6"/>
  <c r="CY7" i="6"/>
  <c r="DU7" i="6"/>
  <c r="EQ7" i="6"/>
  <c r="FM7" i="6"/>
  <c r="EN19" i="6"/>
  <c r="EQ19" i="6" s="1"/>
  <c r="DB20" i="6"/>
  <c r="CV9" i="6" s="1"/>
  <c r="CY9" i="6" s="1"/>
  <c r="BZ19" i="6"/>
  <c r="CC19" i="6" s="1"/>
  <c r="Z7" i="6"/>
  <c r="AV7" i="6"/>
  <c r="BR7" i="6"/>
  <c r="CN7" i="6"/>
  <c r="DJ7" i="6"/>
  <c r="EF7" i="6"/>
  <c r="FB7" i="6"/>
  <c r="D37" i="6"/>
  <c r="E17" i="6" s="1"/>
  <c r="FP18" i="6" s="1"/>
  <c r="FJ10" i="6" s="1"/>
  <c r="D35" i="6"/>
  <c r="E15" i="6" s="1"/>
  <c r="ET18" i="6" s="1"/>
  <c r="EN10" i="6" s="1"/>
  <c r="D33" i="6"/>
  <c r="E13" i="6" s="1"/>
  <c r="DX18" i="6" s="1"/>
  <c r="DR10" i="6" s="1"/>
  <c r="D31" i="6"/>
  <c r="E11" i="6" s="1"/>
  <c r="DB18" i="6" s="1"/>
  <c r="CV10" i="6" s="1"/>
  <c r="D29" i="6"/>
  <c r="E9" i="6" s="1"/>
  <c r="CF18" i="6" s="1"/>
  <c r="D27" i="6"/>
  <c r="E7" i="6" s="1"/>
  <c r="D25" i="6"/>
  <c r="E5" i="6" s="1"/>
  <c r="AN18" i="6" s="1"/>
  <c r="AH10" i="6" s="1"/>
  <c r="D23" i="6"/>
  <c r="E3" i="6" s="1"/>
  <c r="K10" i="6" s="1"/>
  <c r="FJ16" i="6"/>
  <c r="FM16" i="6" s="1"/>
  <c r="EY16" i="6"/>
  <c r="FB16" i="6" s="1"/>
  <c r="EC16" i="6"/>
  <c r="EF16" i="6" s="1"/>
  <c r="DR16" i="6"/>
  <c r="DU16" i="6" s="1"/>
  <c r="DG16" i="6"/>
  <c r="DJ16" i="6" s="1"/>
  <c r="DX10" i="6"/>
  <c r="DX14" i="6" s="1"/>
  <c r="DX15" i="6" s="1"/>
  <c r="DR6" i="6" s="1"/>
  <c r="DU6" i="6" s="1"/>
  <c r="BZ16" i="6"/>
  <c r="CC16" i="6" s="1"/>
  <c r="EN18" i="6"/>
  <c r="EQ18" i="6" s="1"/>
  <c r="CV18" i="6"/>
  <c r="CY18" i="6" s="1"/>
  <c r="BZ18" i="6"/>
  <c r="CC18" i="6" s="1"/>
  <c r="CQ10" i="6"/>
  <c r="CQ14" i="6" s="1"/>
  <c r="CQ15" i="6" s="1"/>
  <c r="CK6" i="6" s="1"/>
  <c r="CN6" i="6" s="1"/>
  <c r="FP10" i="6"/>
  <c r="FP14" i="6" s="1"/>
  <c r="FP15" i="6" s="1"/>
  <c r="FJ6" i="6" s="1"/>
  <c r="FM6" i="6" s="1"/>
  <c r="EN16" i="6"/>
  <c r="EQ16" i="6" s="1"/>
  <c r="CV16" i="6"/>
  <c r="CY16" i="6" s="1"/>
  <c r="CK16" i="6"/>
  <c r="CN16" i="6" s="1"/>
  <c r="EN17" i="6"/>
  <c r="EQ17" i="6" s="1"/>
  <c r="CV17" i="6"/>
  <c r="CY17" i="6" s="1"/>
  <c r="BZ17" i="6"/>
  <c r="CC17" i="6" s="1"/>
  <c r="FP20" i="6"/>
  <c r="FJ9" i="6" s="1"/>
  <c r="FM9" i="6" s="1"/>
  <c r="FE20" i="6"/>
  <c r="EY9" i="6" s="1"/>
  <c r="FB9" i="6" s="1"/>
  <c r="EI20" i="6"/>
  <c r="EC9" i="6" s="1"/>
  <c r="EF9" i="6" s="1"/>
  <c r="DX20" i="6"/>
  <c r="DR9" i="6" s="1"/>
  <c r="DU9" i="6" s="1"/>
  <c r="DM20" i="6"/>
  <c r="DG9" i="6" s="1"/>
  <c r="DJ9" i="6" s="1"/>
  <c r="CQ20" i="6"/>
  <c r="CK9" i="6" s="1"/>
  <c r="CN9" i="6" s="1"/>
  <c r="FJ19" i="6"/>
  <c r="FM19" i="6" s="1"/>
  <c r="EY19" i="6"/>
  <c r="FB19" i="6" s="1"/>
  <c r="DR19" i="6"/>
  <c r="DU19" i="6" s="1"/>
  <c r="DG19" i="6"/>
  <c r="DJ19" i="6" s="1"/>
  <c r="CK19" i="6"/>
  <c r="CN19" i="6" s="1"/>
  <c r="FJ18" i="6"/>
  <c r="FM18" i="6" s="1"/>
  <c r="EY18" i="6"/>
  <c r="FB18" i="6" s="1"/>
  <c r="EC18" i="6"/>
  <c r="EF18" i="6" s="1"/>
  <c r="DR18" i="6"/>
  <c r="DU18" i="6" s="1"/>
  <c r="DG18" i="6"/>
  <c r="DJ18" i="6" s="1"/>
  <c r="CK18" i="6"/>
  <c r="CN18" i="6" s="1"/>
  <c r="EC19" i="6"/>
  <c r="EF19" i="6" s="1"/>
  <c r="EC17" i="6"/>
  <c r="EF17" i="6" s="1"/>
  <c r="CK17" i="6"/>
  <c r="CN17" i="6" s="1"/>
  <c r="CF20" i="6"/>
  <c r="BZ9" i="6" s="1"/>
  <c r="CC9" i="6" s="1"/>
  <c r="CV19" i="6"/>
  <c r="CY19" i="6" s="1"/>
  <c r="ET20" i="6"/>
  <c r="EN9" i="6" s="1"/>
  <c r="EQ9" i="6" s="1"/>
  <c r="EI10" i="6"/>
  <c r="EI14" i="6" s="1"/>
  <c r="EI15" i="6" s="1"/>
  <c r="EC6" i="6" s="1"/>
  <c r="EF6" i="6" s="1"/>
  <c r="CF10" i="6"/>
  <c r="CF14" i="6" s="1"/>
  <c r="CF15" i="6" s="1"/>
  <c r="BZ6" i="6" s="1"/>
  <c r="CC6" i="6" s="1"/>
  <c r="DB10" i="6"/>
  <c r="DB14" i="6" s="1"/>
  <c r="DB15" i="6" s="1"/>
  <c r="CV6" i="6" s="1"/>
  <c r="CY6" i="6" s="1"/>
  <c r="ET10" i="6"/>
  <c r="ET14" i="6" s="1"/>
  <c r="ET15" i="6" s="1"/>
  <c r="EN6" i="6" s="1"/>
  <c r="EQ6" i="6" s="1"/>
  <c r="BU5" i="6"/>
  <c r="BO17" i="6" s="1"/>
  <c r="BR17" i="6" s="1"/>
  <c r="DM10" i="6"/>
  <c r="DM14" i="6" s="1"/>
  <c r="DM15" i="6" s="1"/>
  <c r="DG6" i="6" s="1"/>
  <c r="DJ6" i="6" s="1"/>
  <c r="FE10" i="6"/>
  <c r="FE14" i="6" s="1"/>
  <c r="FE15" i="6" s="1"/>
  <c r="EY6" i="6" s="1"/>
  <c r="FB6" i="6" s="1"/>
  <c r="BD16" i="6"/>
  <c r="BG16" i="6" s="1"/>
  <c r="BU9" i="6"/>
  <c r="BU10" i="6"/>
  <c r="BD19" i="6"/>
  <c r="BG19" i="6" s="1"/>
  <c r="BD18" i="6"/>
  <c r="BG18" i="6" s="1"/>
  <c r="BJ10" i="6"/>
  <c r="BJ14" i="6" s="1"/>
  <c r="BJ15" i="6" s="1"/>
  <c r="BD6" i="6" s="1"/>
  <c r="BG6" i="6" s="1"/>
  <c r="BD17" i="6"/>
  <c r="BG17" i="6" s="1"/>
  <c r="BJ20" i="6"/>
  <c r="D36" i="6"/>
  <c r="E16" i="6" s="1"/>
  <c r="FE18" i="6" s="1"/>
  <c r="EY10" i="6" s="1"/>
  <c r="D32" i="6"/>
  <c r="E12" i="6" s="1"/>
  <c r="DM18" i="6" s="1"/>
  <c r="DG10" i="6" s="1"/>
  <c r="D28" i="6"/>
  <c r="E8" i="6" s="1"/>
  <c r="D24" i="6"/>
  <c r="E4" i="6" s="1"/>
  <c r="AC18" i="6" s="1"/>
  <c r="W10" i="6" s="1"/>
  <c r="AS19" i="6"/>
  <c r="AV19" i="6" s="1"/>
  <c r="W19" i="6"/>
  <c r="Z19" i="6" s="1"/>
  <c r="AN14" i="6"/>
  <c r="AN15" i="6" s="1"/>
  <c r="AH6" i="6" s="1"/>
  <c r="AK6" i="6" s="1"/>
  <c r="D38" i="6"/>
  <c r="E18" i="6" s="1"/>
  <c r="D34" i="6"/>
  <c r="E14" i="6" s="1"/>
  <c r="EI18" i="6" s="1"/>
  <c r="EC10" i="6" s="1"/>
  <c r="D30" i="6"/>
  <c r="E10" i="6" s="1"/>
  <c r="CQ18" i="6" s="1"/>
  <c r="CK10" i="6" s="1"/>
  <c r="D26" i="6"/>
  <c r="E6" i="6" s="1"/>
  <c r="AS17" i="6"/>
  <c r="AV17" i="6" s="1"/>
  <c r="AH17" i="6"/>
  <c r="AK17" i="6" s="1"/>
  <c r="W17" i="6"/>
  <c r="Z17" i="6" s="1"/>
  <c r="AH19" i="6"/>
  <c r="AK19" i="6" s="1"/>
  <c r="AY14" i="6"/>
  <c r="AY15" i="6" s="1"/>
  <c r="AS6" i="6" s="1"/>
  <c r="AV6" i="6" s="1"/>
  <c r="AC14" i="6"/>
  <c r="AC15" i="6" s="1"/>
  <c r="W6" i="6" s="1"/>
  <c r="Z6" i="6" s="1"/>
  <c r="AS18" i="6"/>
  <c r="AV18" i="6" s="1"/>
  <c r="AH18" i="6"/>
  <c r="AK18" i="6" s="1"/>
  <c r="AS16" i="6"/>
  <c r="AV16" i="6" s="1"/>
  <c r="W18" i="6"/>
  <c r="Z18" i="6" s="1"/>
  <c r="W16" i="6"/>
  <c r="Z16" i="6" s="1"/>
  <c r="AH16" i="6"/>
  <c r="AK16" i="6" s="1"/>
  <c r="F6" i="6"/>
  <c r="Q10" i="6"/>
  <c r="Q14" i="6" s="1"/>
  <c r="Q15" i="6" s="1"/>
  <c r="K6" i="6" s="1"/>
  <c r="N6" i="6" s="1"/>
  <c r="F5" i="6"/>
  <c r="AN20" i="6" s="1"/>
  <c r="AH9" i="6" s="1"/>
  <c r="AK9" i="6" s="1"/>
  <c r="F4" i="6"/>
  <c r="AC20" i="6" s="1"/>
  <c r="W9" i="6" s="1"/>
  <c r="Z9" i="6" s="1"/>
  <c r="N9" i="6"/>
  <c r="Z275" i="6" l="1"/>
  <c r="AB275" i="6" s="1"/>
  <c r="AE275" i="6" s="1"/>
  <c r="L265" i="6"/>
  <c r="O265" i="6" s="1"/>
  <c r="R265" i="6" s="1"/>
  <c r="U265" i="6" s="1"/>
  <c r="X265" i="6" s="1"/>
  <c r="C318" i="6"/>
  <c r="L267" i="6"/>
  <c r="O267" i="6" s="1"/>
  <c r="R267" i="6" s="1"/>
  <c r="U267" i="6" s="1"/>
  <c r="X267" i="6" s="1"/>
  <c r="C320" i="6"/>
  <c r="L271" i="6"/>
  <c r="O271" i="6" s="1"/>
  <c r="R271" i="6" s="1"/>
  <c r="U271" i="6" s="1"/>
  <c r="X271" i="6" s="1"/>
  <c r="C324" i="6"/>
  <c r="L273" i="6"/>
  <c r="O273" i="6" s="1"/>
  <c r="R273" i="6" s="1"/>
  <c r="U273" i="6" s="1"/>
  <c r="X273" i="6" s="1"/>
  <c r="C326" i="6"/>
  <c r="AN275" i="6"/>
  <c r="L277" i="6"/>
  <c r="O277" i="6" s="1"/>
  <c r="R277" i="6" s="1"/>
  <c r="U277" i="6" s="1"/>
  <c r="X277" i="6" s="1"/>
  <c r="D329" i="6"/>
  <c r="M264" i="6"/>
  <c r="P264" i="6" s="1"/>
  <c r="S264" i="6" s="1"/>
  <c r="V264" i="6" s="1"/>
  <c r="Y264" i="6" s="1"/>
  <c r="D317" i="6"/>
  <c r="M266" i="6"/>
  <c r="P266" i="6" s="1"/>
  <c r="S266" i="6" s="1"/>
  <c r="V266" i="6" s="1"/>
  <c r="Y266" i="6" s="1"/>
  <c r="D319" i="6"/>
  <c r="D321" i="6"/>
  <c r="M268" i="6"/>
  <c r="P268" i="6" s="1"/>
  <c r="S268" i="6" s="1"/>
  <c r="V268" i="6" s="1"/>
  <c r="Y268" i="6" s="1"/>
  <c r="D323" i="6"/>
  <c r="M270" i="6"/>
  <c r="P270" i="6" s="1"/>
  <c r="S270" i="6" s="1"/>
  <c r="V270" i="6" s="1"/>
  <c r="Y270" i="6" s="1"/>
  <c r="M272" i="6"/>
  <c r="P272" i="6" s="1"/>
  <c r="S272" i="6" s="1"/>
  <c r="V272" i="6" s="1"/>
  <c r="Y272" i="6" s="1"/>
  <c r="D325" i="6"/>
  <c r="D327" i="6"/>
  <c r="M274" i="6"/>
  <c r="P274" i="6" s="1"/>
  <c r="S274" i="6" s="1"/>
  <c r="V274" i="6" s="1"/>
  <c r="Y274" i="6" s="1"/>
  <c r="M276" i="6"/>
  <c r="P276" i="6" s="1"/>
  <c r="S276" i="6" s="1"/>
  <c r="V276" i="6" s="1"/>
  <c r="Y276" i="6" s="1"/>
  <c r="D328" i="6"/>
  <c r="C330" i="6"/>
  <c r="M278" i="6"/>
  <c r="P278" i="6" s="1"/>
  <c r="S278" i="6" s="1"/>
  <c r="V278" i="6" s="1"/>
  <c r="Y278" i="6" s="1"/>
  <c r="L264" i="6"/>
  <c r="O264" i="6" s="1"/>
  <c r="R264" i="6" s="1"/>
  <c r="U264" i="6" s="1"/>
  <c r="X264" i="6" s="1"/>
  <c r="C317" i="6"/>
  <c r="L266" i="6"/>
  <c r="O266" i="6" s="1"/>
  <c r="R266" i="6" s="1"/>
  <c r="U266" i="6" s="1"/>
  <c r="X266" i="6" s="1"/>
  <c r="C319" i="6"/>
  <c r="L268" i="6"/>
  <c r="O268" i="6" s="1"/>
  <c r="R268" i="6" s="1"/>
  <c r="U268" i="6" s="1"/>
  <c r="X268" i="6" s="1"/>
  <c r="C321" i="6"/>
  <c r="L270" i="6"/>
  <c r="O270" i="6" s="1"/>
  <c r="R270" i="6" s="1"/>
  <c r="U270" i="6" s="1"/>
  <c r="X270" i="6" s="1"/>
  <c r="Z270" i="6" s="1"/>
  <c r="AB270" i="6" s="1"/>
  <c r="C323" i="6"/>
  <c r="L272" i="6"/>
  <c r="O272" i="6" s="1"/>
  <c r="R272" i="6" s="1"/>
  <c r="U272" i="6" s="1"/>
  <c r="X272" i="6" s="1"/>
  <c r="C325" i="6"/>
  <c r="L274" i="6"/>
  <c r="O274" i="6" s="1"/>
  <c r="R274" i="6" s="1"/>
  <c r="U274" i="6" s="1"/>
  <c r="X274" i="6" s="1"/>
  <c r="Z274" i="6" s="1"/>
  <c r="AB274" i="6" s="1"/>
  <c r="C327" i="6"/>
  <c r="C328" i="6"/>
  <c r="L276" i="6"/>
  <c r="O276" i="6" s="1"/>
  <c r="R276" i="6" s="1"/>
  <c r="U276" i="6" s="1"/>
  <c r="X276" i="6" s="1"/>
  <c r="M265" i="6"/>
  <c r="P265" i="6" s="1"/>
  <c r="S265" i="6" s="1"/>
  <c r="V265" i="6" s="1"/>
  <c r="Y265" i="6" s="1"/>
  <c r="D318" i="6"/>
  <c r="D320" i="6"/>
  <c r="M267" i="6"/>
  <c r="P267" i="6" s="1"/>
  <c r="S267" i="6" s="1"/>
  <c r="V267" i="6" s="1"/>
  <c r="Y267" i="6" s="1"/>
  <c r="M269" i="6"/>
  <c r="P269" i="6" s="1"/>
  <c r="S269" i="6" s="1"/>
  <c r="V269" i="6" s="1"/>
  <c r="Y269" i="6" s="1"/>
  <c r="Z269" i="6" s="1"/>
  <c r="AB269" i="6" s="1"/>
  <c r="D322" i="6"/>
  <c r="D324" i="6"/>
  <c r="M271" i="6"/>
  <c r="P271" i="6" s="1"/>
  <c r="S271" i="6" s="1"/>
  <c r="V271" i="6" s="1"/>
  <c r="Y271" i="6" s="1"/>
  <c r="M273" i="6"/>
  <c r="P273" i="6" s="1"/>
  <c r="S273" i="6" s="1"/>
  <c r="V273" i="6" s="1"/>
  <c r="Y273" i="6" s="1"/>
  <c r="D326" i="6"/>
  <c r="M277" i="6"/>
  <c r="P277" i="6" s="1"/>
  <c r="S277" i="6" s="1"/>
  <c r="V277" i="6" s="1"/>
  <c r="Y277" i="6" s="1"/>
  <c r="C329" i="6"/>
  <c r="Z278" i="6"/>
  <c r="AB278" i="6" s="1"/>
  <c r="N37" i="6"/>
  <c r="CN37" i="6"/>
  <c r="Z37" i="6"/>
  <c r="EF37" i="6"/>
  <c r="BR37" i="6"/>
  <c r="CC37" i="6"/>
  <c r="AK37" i="6"/>
  <c r="DJ37" i="6"/>
  <c r="BG37" i="6"/>
  <c r="EQ37" i="6"/>
  <c r="FM37" i="6"/>
  <c r="AV37" i="6"/>
  <c r="CY37" i="6"/>
  <c r="DU37" i="6"/>
  <c r="FB37" i="6"/>
  <c r="Q18" i="6"/>
  <c r="BU14" i="6"/>
  <c r="BU15" i="6" s="1"/>
  <c r="BO6" i="6" s="1"/>
  <c r="BR6" i="6" s="1"/>
  <c r="BO19" i="6"/>
  <c r="BR19" i="6" s="1"/>
  <c r="BU20" i="6"/>
  <c r="BO9" i="6" s="1"/>
  <c r="BR9" i="6" s="1"/>
  <c r="BO18" i="6"/>
  <c r="BR18" i="6" s="1"/>
  <c r="BO16" i="6"/>
  <c r="BR16" i="6" s="1"/>
  <c r="EF20" i="6"/>
  <c r="BG20" i="6"/>
  <c r="FB20" i="6"/>
  <c r="DJ20" i="6"/>
  <c r="FM20" i="6"/>
  <c r="EQ20" i="6"/>
  <c r="DU20" i="6"/>
  <c r="CY20" i="6"/>
  <c r="CN20" i="6"/>
  <c r="BZ10" i="6"/>
  <c r="BU18" i="6"/>
  <c r="BO10" i="6" s="1"/>
  <c r="CC20" i="6"/>
  <c r="BJ18" i="6"/>
  <c r="BD10" i="6" s="1"/>
  <c r="AY18" i="6"/>
  <c r="AS10" i="6" s="1"/>
  <c r="AY20" i="6"/>
  <c r="AS9" i="6" s="1"/>
  <c r="AV9" i="6" s="1"/>
  <c r="BD9" i="6"/>
  <c r="BG9" i="6" s="1"/>
  <c r="Z20" i="6"/>
  <c r="AV20" i="6"/>
  <c r="AK20" i="6"/>
  <c r="Q94" i="16"/>
  <c r="Q95" i="16" s="1"/>
  <c r="Q88" i="16"/>
  <c r="Q89" i="16" s="1"/>
  <c r="P88" i="16"/>
  <c r="P89" i="16"/>
  <c r="O82" i="16"/>
  <c r="P82" i="16"/>
  <c r="Q82" i="16"/>
  <c r="Q83" i="16" s="1"/>
  <c r="O83" i="16"/>
  <c r="P83" i="16"/>
  <c r="O76" i="16"/>
  <c r="P76" i="16"/>
  <c r="P77" i="16" s="1"/>
  <c r="Q76" i="16"/>
  <c r="O77" i="16"/>
  <c r="Q77" i="16"/>
  <c r="N76" i="16"/>
  <c r="N77" i="16" s="1"/>
  <c r="M70" i="16"/>
  <c r="M71" i="16" s="1"/>
  <c r="N70" i="16"/>
  <c r="O70" i="16"/>
  <c r="P70" i="16"/>
  <c r="P71" i="16" s="1"/>
  <c r="Q70" i="16"/>
  <c r="Q71" i="16" s="1"/>
  <c r="N71" i="16"/>
  <c r="O71" i="16"/>
  <c r="L70" i="16"/>
  <c r="L71" i="16"/>
  <c r="L64" i="16"/>
  <c r="L65" i="16" s="1"/>
  <c r="M64" i="16"/>
  <c r="N64" i="16"/>
  <c r="O64" i="16"/>
  <c r="P64" i="16"/>
  <c r="P65" i="16" s="1"/>
  <c r="Q64" i="16"/>
  <c r="M65" i="16"/>
  <c r="N65" i="16"/>
  <c r="O65" i="16"/>
  <c r="Q65" i="16"/>
  <c r="K64" i="16"/>
  <c r="K65" i="16" s="1"/>
  <c r="AO207" i="16"/>
  <c r="AO198" i="16"/>
  <c r="AO205" i="16" s="1"/>
  <c r="Z268" i="6" l="1"/>
  <c r="AB268" i="6" s="1"/>
  <c r="AE278" i="6"/>
  <c r="AN278" i="6"/>
  <c r="AE274" i="6"/>
  <c r="AN274" i="6"/>
  <c r="AE270" i="6"/>
  <c r="AN270" i="6"/>
  <c r="Z266" i="6"/>
  <c r="AB266" i="6" s="1"/>
  <c r="Z276" i="6"/>
  <c r="AB276" i="6" s="1"/>
  <c r="Z277" i="6"/>
  <c r="AB277" i="6" s="1"/>
  <c r="Z273" i="6"/>
  <c r="AB273" i="6" s="1"/>
  <c r="Z267" i="6"/>
  <c r="AB267" i="6" s="1"/>
  <c r="Z272" i="6"/>
  <c r="AB272" i="6" s="1"/>
  <c r="AE268" i="6"/>
  <c r="AN268" i="6"/>
  <c r="Z264" i="6"/>
  <c r="AB264" i="6" s="1"/>
  <c r="AE269" i="6"/>
  <c r="AN269" i="6"/>
  <c r="AF275" i="6"/>
  <c r="AR275" i="6" s="1"/>
  <c r="AQ275" i="6"/>
  <c r="AT275" i="6" s="1"/>
  <c r="Z271" i="6"/>
  <c r="AB271" i="6" s="1"/>
  <c r="Z265" i="6"/>
  <c r="AB265" i="6" s="1"/>
  <c r="BR20" i="6"/>
  <c r="AN272" i="6" l="1"/>
  <c r="AE272" i="6"/>
  <c r="AE276" i="6"/>
  <c r="AN276" i="6"/>
  <c r="AN264" i="6"/>
  <c r="AE264" i="6"/>
  <c r="AN267" i="6"/>
  <c r="AE267" i="6"/>
  <c r="AN266" i="6"/>
  <c r="AE266" i="6"/>
  <c r="AQ274" i="6"/>
  <c r="AF274" i="6"/>
  <c r="AR274" i="6" s="1"/>
  <c r="AE265" i="6"/>
  <c r="AN265" i="6"/>
  <c r="AE273" i="6"/>
  <c r="AN273" i="6"/>
  <c r="AN271" i="6"/>
  <c r="AE271" i="6"/>
  <c r="AF269" i="6"/>
  <c r="AR269" i="6" s="1"/>
  <c r="AQ269" i="6"/>
  <c r="AF268" i="6"/>
  <c r="AR268" i="6" s="1"/>
  <c r="AQ268" i="6"/>
  <c r="AN277" i="6"/>
  <c r="AE277" i="6"/>
  <c r="AF270" i="6"/>
  <c r="AR270" i="6" s="1"/>
  <c r="AQ270" i="6"/>
  <c r="AQ278" i="6"/>
  <c r="AF278" i="6"/>
  <c r="AR278" i="6" s="1"/>
  <c r="BM41" i="16"/>
  <c r="BM43" i="16" s="1"/>
  <c r="BN41" i="16"/>
  <c r="BO41" i="16"/>
  <c r="BP41" i="16"/>
  <c r="BP43" i="16" s="1"/>
  <c r="BQ41" i="16"/>
  <c r="BR41" i="16"/>
  <c r="BS41" i="16"/>
  <c r="BT41" i="16"/>
  <c r="BT43" i="16" s="1"/>
  <c r="BU41" i="16"/>
  <c r="BV41" i="16"/>
  <c r="BW41" i="16"/>
  <c r="BX41" i="16"/>
  <c r="BX43" i="16" s="1"/>
  <c r="BY41" i="16"/>
  <c r="BZ41" i="16"/>
  <c r="CA41" i="16"/>
  <c r="BL41" i="16"/>
  <c r="BN43" i="16"/>
  <c r="BO43" i="16"/>
  <c r="BQ43" i="16"/>
  <c r="BR43" i="16"/>
  <c r="BS43" i="16"/>
  <c r="BU43" i="16"/>
  <c r="BV43" i="16"/>
  <c r="BW43" i="16"/>
  <c r="BY43" i="16"/>
  <c r="BZ43" i="16"/>
  <c r="CA43" i="16"/>
  <c r="BM33" i="16"/>
  <c r="BN33" i="16"/>
  <c r="BO33" i="16"/>
  <c r="BP33" i="16"/>
  <c r="BQ33" i="16"/>
  <c r="BR33" i="16"/>
  <c r="BS33" i="16"/>
  <c r="BT33" i="16"/>
  <c r="BU33" i="16"/>
  <c r="BV33" i="16"/>
  <c r="BW33" i="16"/>
  <c r="BX33" i="16"/>
  <c r="BY33" i="16"/>
  <c r="BZ33" i="16"/>
  <c r="CA33" i="16"/>
  <c r="BM32" i="16"/>
  <c r="BM35" i="16" s="1"/>
  <c r="BM37" i="16" s="1"/>
  <c r="BN32" i="16"/>
  <c r="BN35" i="16" s="1"/>
  <c r="BN37" i="16" s="1"/>
  <c r="BO32" i="16"/>
  <c r="BO35" i="16" s="1"/>
  <c r="BP32" i="16"/>
  <c r="BP35" i="16" s="1"/>
  <c r="BP37" i="16" s="1"/>
  <c r="BQ32" i="16"/>
  <c r="BQ35" i="16" s="1"/>
  <c r="BQ37" i="16" s="1"/>
  <c r="BR32" i="16"/>
  <c r="BR35" i="16" s="1"/>
  <c r="BR37" i="16" s="1"/>
  <c r="BS32" i="16"/>
  <c r="BS35" i="16" s="1"/>
  <c r="BS37" i="16" s="1"/>
  <c r="BT32" i="16"/>
  <c r="BT35" i="16" s="1"/>
  <c r="BT37" i="16" s="1"/>
  <c r="BU32" i="16"/>
  <c r="BU35" i="16" s="1"/>
  <c r="BU37" i="16" s="1"/>
  <c r="BV32" i="16"/>
  <c r="BV35" i="16" s="1"/>
  <c r="BV37" i="16" s="1"/>
  <c r="BW32" i="16"/>
  <c r="BW35" i="16" s="1"/>
  <c r="BW37" i="16" s="1"/>
  <c r="BX32" i="16"/>
  <c r="BX35" i="16" s="1"/>
  <c r="BX37" i="16" s="1"/>
  <c r="BY32" i="16"/>
  <c r="BY35" i="16" s="1"/>
  <c r="BY37" i="16" s="1"/>
  <c r="BZ32" i="16"/>
  <c r="BZ35" i="16" s="1"/>
  <c r="BZ37" i="16" s="1"/>
  <c r="CA32" i="16"/>
  <c r="CA35" i="16" s="1"/>
  <c r="CA37" i="16" s="1"/>
  <c r="AT278" i="6" l="1"/>
  <c r="AT274" i="6"/>
  <c r="AT270" i="6"/>
  <c r="AT269" i="6"/>
  <c r="AQ271" i="6"/>
  <c r="AF271" i="6"/>
  <c r="AR271" i="6" s="1"/>
  <c r="AF276" i="6"/>
  <c r="AR276" i="6" s="1"/>
  <c r="AQ276" i="6"/>
  <c r="AT268" i="6"/>
  <c r="AF266" i="6"/>
  <c r="AR266" i="6" s="1"/>
  <c r="AQ266" i="6"/>
  <c r="AT266" i="6" s="1"/>
  <c r="AQ264" i="6"/>
  <c r="AF264" i="6"/>
  <c r="AR264" i="6" s="1"/>
  <c r="AQ272" i="6"/>
  <c r="AF272" i="6"/>
  <c r="AR272" i="6" s="1"/>
  <c r="AQ273" i="6"/>
  <c r="AF273" i="6"/>
  <c r="AR273" i="6" s="1"/>
  <c r="AF277" i="6"/>
  <c r="AR277" i="6" s="1"/>
  <c r="AQ277" i="6"/>
  <c r="AQ265" i="6"/>
  <c r="AF265" i="6"/>
  <c r="AR265" i="6" s="1"/>
  <c r="AQ267" i="6"/>
  <c r="AF267" i="6"/>
  <c r="AR267" i="6" s="1"/>
  <c r="AB59" i="16"/>
  <c r="AC59" i="16"/>
  <c r="AB60" i="16"/>
  <c r="AC60" i="16"/>
  <c r="AG71" i="16"/>
  <c r="AG82" i="16" s="1"/>
  <c r="AG93" i="16" s="1"/>
  <c r="AG104" i="16" s="1"/>
  <c r="AD59" i="16"/>
  <c r="AE59" i="16"/>
  <c r="AE70" i="16" s="1"/>
  <c r="AF59" i="16"/>
  <c r="AF70" i="16" s="1"/>
  <c r="AG59" i="16"/>
  <c r="AG70" i="16" s="1"/>
  <c r="AH59" i="16"/>
  <c r="AI59" i="16"/>
  <c r="AI70" i="16" s="1"/>
  <c r="AI81" i="16" s="1"/>
  <c r="AJ59" i="16"/>
  <c r="AJ70" i="16" s="1"/>
  <c r="AK59" i="16"/>
  <c r="AK70" i="16" s="1"/>
  <c r="AL59" i="16"/>
  <c r="AD60" i="16"/>
  <c r="AE60" i="16"/>
  <c r="AE71" i="16" s="1"/>
  <c r="AF60" i="16"/>
  <c r="AF71" i="16" s="1"/>
  <c r="AF82" i="16" s="1"/>
  <c r="AG60" i="16"/>
  <c r="AH60" i="16"/>
  <c r="AH71" i="16" s="1"/>
  <c r="AH82" i="16" s="1"/>
  <c r="AH93" i="16" s="1"/>
  <c r="AH104" i="16" s="1"/>
  <c r="AH115" i="16" s="1"/>
  <c r="AI60" i="16"/>
  <c r="AI71" i="16" s="1"/>
  <c r="AI82" i="16" s="1"/>
  <c r="AI93" i="16" s="1"/>
  <c r="AI104" i="16" s="1"/>
  <c r="AI115" i="16" s="1"/>
  <c r="AI126" i="16" s="1"/>
  <c r="AJ60" i="16"/>
  <c r="AJ71" i="16" s="1"/>
  <c r="AJ82" i="16" s="1"/>
  <c r="AJ93" i="16" s="1"/>
  <c r="AJ104" i="16" s="1"/>
  <c r="AJ115" i="16" s="1"/>
  <c r="AJ126" i="16" s="1"/>
  <c r="AJ137" i="16" s="1"/>
  <c r="AJ148" i="16" s="1"/>
  <c r="AK60" i="16"/>
  <c r="AK71" i="16" s="1"/>
  <c r="AK82" i="16" s="1"/>
  <c r="AK93" i="16" s="1"/>
  <c r="AK104" i="16" s="1"/>
  <c r="AK115" i="16" s="1"/>
  <c r="AK126" i="16" s="1"/>
  <c r="AK137" i="16" s="1"/>
  <c r="AK148" i="16" s="1"/>
  <c r="AK159" i="16" s="1"/>
  <c r="AL60" i="16"/>
  <c r="AL71" i="16" s="1"/>
  <c r="AL82" i="16" s="1"/>
  <c r="AL93" i="16" s="1"/>
  <c r="AL104" i="16" s="1"/>
  <c r="AL115" i="16" s="1"/>
  <c r="AL126" i="16" s="1"/>
  <c r="AL137" i="16" s="1"/>
  <c r="AL148" i="16" s="1"/>
  <c r="AL159" i="16" s="1"/>
  <c r="AL170" i="16" s="1"/>
  <c r="AE54" i="16"/>
  <c r="AF54" i="16"/>
  <c r="AG54" i="16"/>
  <c r="AH54" i="16"/>
  <c r="AI54" i="16"/>
  <c r="AJ54" i="16"/>
  <c r="AK54" i="16"/>
  <c r="AL54" i="16"/>
  <c r="AD62" i="16"/>
  <c r="AE62" i="16"/>
  <c r="AE73" i="16" s="1"/>
  <c r="AF62" i="16"/>
  <c r="AF73" i="16" s="1"/>
  <c r="AF84" i="16" s="1"/>
  <c r="AG62" i="16"/>
  <c r="AG65" i="16" s="1"/>
  <c r="AH62" i="16"/>
  <c r="AH73" i="16" s="1"/>
  <c r="AH84" i="16" s="1"/>
  <c r="AH95" i="16" s="1"/>
  <c r="AH106" i="16" s="1"/>
  <c r="AH117" i="16" s="1"/>
  <c r="AI62" i="16"/>
  <c r="AI73" i="16" s="1"/>
  <c r="AI84" i="16" s="1"/>
  <c r="AI95" i="16" s="1"/>
  <c r="AI106" i="16" s="1"/>
  <c r="AI117" i="16" s="1"/>
  <c r="AI128" i="16" s="1"/>
  <c r="AJ62" i="16"/>
  <c r="AJ73" i="16" s="1"/>
  <c r="AJ84" i="16" s="1"/>
  <c r="AJ95" i="16" s="1"/>
  <c r="AJ106" i="16" s="1"/>
  <c r="AJ117" i="16" s="1"/>
  <c r="AJ128" i="16" s="1"/>
  <c r="AJ139" i="16" s="1"/>
  <c r="AJ150" i="16" s="1"/>
  <c r="AK62" i="16"/>
  <c r="AK73" i="16" s="1"/>
  <c r="AK84" i="16" s="1"/>
  <c r="AK95" i="16" s="1"/>
  <c r="AK106" i="16" s="1"/>
  <c r="AK117" i="16" s="1"/>
  <c r="AK128" i="16" s="1"/>
  <c r="AK139" i="16" s="1"/>
  <c r="AK150" i="16" s="1"/>
  <c r="AK161" i="16" s="1"/>
  <c r="AL62" i="16"/>
  <c r="AL73" i="16" s="1"/>
  <c r="AL84" i="16" s="1"/>
  <c r="AL95" i="16" s="1"/>
  <c r="AL106" i="16" s="1"/>
  <c r="AL117" i="16" s="1"/>
  <c r="AL128" i="16" s="1"/>
  <c r="AL139" i="16" s="1"/>
  <c r="AL150" i="16" s="1"/>
  <c r="AL161" i="16" s="1"/>
  <c r="AL172" i="16" s="1"/>
  <c r="AD54" i="16"/>
  <c r="AT267" i="6" l="1"/>
  <c r="AT272" i="6"/>
  <c r="AT265" i="6"/>
  <c r="AT273" i="6"/>
  <c r="AT264" i="6"/>
  <c r="AT276" i="6"/>
  <c r="AT277" i="6"/>
  <c r="AD65" i="16"/>
  <c r="AJ81" i="16"/>
  <c r="AJ92" i="16" s="1"/>
  <c r="AJ76" i="16"/>
  <c r="AF76" i="16"/>
  <c r="AF81" i="16"/>
  <c r="AF87" i="16" s="1"/>
  <c r="AF65" i="16"/>
  <c r="AG73" i="16"/>
  <c r="AG84" i="16" s="1"/>
  <c r="AG95" i="16" s="1"/>
  <c r="AG106" i="16" s="1"/>
  <c r="AK76" i="16"/>
  <c r="AJ65" i="16"/>
  <c r="AE76" i="16"/>
  <c r="AH65" i="16"/>
  <c r="AH70" i="16"/>
  <c r="AL65" i="16"/>
  <c r="AL70" i="16"/>
  <c r="AI87" i="16"/>
  <c r="AI76" i="16"/>
  <c r="AG81" i="16"/>
  <c r="AI92" i="16"/>
  <c r="AK65" i="16"/>
  <c r="AI65" i="16"/>
  <c r="AE65" i="16"/>
  <c r="AK81" i="16"/>
  <c r="AJ87" i="16" l="1"/>
  <c r="AG76" i="16"/>
  <c r="AI98" i="16"/>
  <c r="AI103" i="16"/>
  <c r="AG92" i="16"/>
  <c r="AG87" i="16"/>
  <c r="AH76" i="16"/>
  <c r="AH81" i="16"/>
  <c r="AK92" i="16"/>
  <c r="AK87" i="16"/>
  <c r="AJ98" i="16"/>
  <c r="AJ103" i="16"/>
  <c r="AL76" i="16"/>
  <c r="AL81" i="16"/>
  <c r="AL92" i="16" l="1"/>
  <c r="AL87" i="16"/>
  <c r="AK98" i="16"/>
  <c r="AK103" i="16"/>
  <c r="AG98" i="16"/>
  <c r="AG103" i="16"/>
  <c r="AG109" i="16" s="1"/>
  <c r="AJ109" i="16"/>
  <c r="AJ114" i="16"/>
  <c r="AH87" i="16"/>
  <c r="AH92" i="16"/>
  <c r="AI109" i="16"/>
  <c r="AI114" i="16"/>
  <c r="AJ120" i="16" l="1"/>
  <c r="AJ125" i="16"/>
  <c r="AH98" i="16"/>
  <c r="AH103" i="16"/>
  <c r="AI120" i="16"/>
  <c r="AI125" i="16"/>
  <c r="AI131" i="16" s="1"/>
  <c r="AK109" i="16"/>
  <c r="AK114" i="16"/>
  <c r="AL98" i="16"/>
  <c r="AL103" i="16"/>
  <c r="AH109" i="16" l="1"/>
  <c r="AH114" i="16"/>
  <c r="AH120" i="16" s="1"/>
  <c r="AL109" i="16"/>
  <c r="AL114" i="16"/>
  <c r="AK120" i="16"/>
  <c r="AK125" i="16"/>
  <c r="AJ131" i="16"/>
  <c r="AJ136" i="16"/>
  <c r="AJ142" i="16" l="1"/>
  <c r="AJ147" i="16"/>
  <c r="AJ153" i="16" s="1"/>
  <c r="AL120" i="16"/>
  <c r="AL125" i="16"/>
  <c r="AK131" i="16"/>
  <c r="AK136" i="16"/>
  <c r="AL131" i="16" l="1"/>
  <c r="AL136" i="16"/>
  <c r="AK142" i="16"/>
  <c r="AK147" i="16"/>
  <c r="AK153" i="16" l="1"/>
  <c r="AK158" i="16"/>
  <c r="AK164" i="16" s="1"/>
  <c r="AL142" i="16"/>
  <c r="AL147" i="16"/>
  <c r="AL153" i="16" l="1"/>
  <c r="AL158" i="16"/>
  <c r="AL164" i="16" l="1"/>
  <c r="AL169" i="16"/>
  <c r="AL175" i="16" s="1"/>
  <c r="AD22" i="16" l="1"/>
  <c r="AH22" i="16"/>
  <c r="E22" i="16"/>
  <c r="H22" i="16"/>
  <c r="P22" i="16"/>
  <c r="Q22" i="16"/>
  <c r="P9" i="16"/>
  <c r="AC22" i="16" s="1"/>
  <c r="P8" i="16"/>
  <c r="M22" i="16" l="1"/>
  <c r="AL22" i="16"/>
  <c r="AA22" i="16"/>
  <c r="B22" i="16"/>
  <c r="I22" i="16"/>
  <c r="AK22" i="16"/>
  <c r="Z22" i="16"/>
  <c r="L22" i="16"/>
  <c r="D22" i="16"/>
  <c r="AG22" i="16"/>
  <c r="P3" i="16"/>
  <c r="K12" i="16"/>
  <c r="P4" i="16"/>
  <c r="P5" i="16"/>
  <c r="O22" i="16"/>
  <c r="K22" i="16"/>
  <c r="G22" i="16"/>
  <c r="C22" i="16"/>
  <c r="AJ22" i="16"/>
  <c r="AF22" i="16"/>
  <c r="AB22" i="16"/>
  <c r="X22" i="16"/>
  <c r="P6" i="16"/>
  <c r="N22" i="16"/>
  <c r="J22" i="16"/>
  <c r="F22" i="16"/>
  <c r="AI22" i="16"/>
  <c r="AE22" i="16"/>
  <c r="AB185" i="16" l="1"/>
  <c r="AF185" i="16"/>
  <c r="AJ185" i="16"/>
  <c r="X185" i="16"/>
  <c r="Y185" i="16"/>
  <c r="AC185" i="16"/>
  <c r="AG185" i="16"/>
  <c r="AK185" i="16"/>
  <c r="AK189" i="16" s="1"/>
  <c r="AK191" i="16" s="1"/>
  <c r="AK193" i="16" s="1"/>
  <c r="AK195" i="16" s="1"/>
  <c r="AE185" i="16"/>
  <c r="Z185" i="16"/>
  <c r="AD185" i="16"/>
  <c r="AH185" i="16"/>
  <c r="AL185" i="16"/>
  <c r="AA185" i="16"/>
  <c r="AI185" i="16"/>
  <c r="B21" i="16"/>
  <c r="Y186" i="16"/>
  <c r="AC186" i="16"/>
  <c r="AG186" i="16"/>
  <c r="AK186" i="16"/>
  <c r="Z186" i="16"/>
  <c r="Z200" i="16" s="1"/>
  <c r="Z201" i="16" s="1"/>
  <c r="Z202" i="16" s="1"/>
  <c r="Z203" i="16" s="1"/>
  <c r="Z205" i="16" s="1"/>
  <c r="Z206" i="16" s="1"/>
  <c r="AD186" i="16"/>
  <c r="AH186" i="16"/>
  <c r="AL186" i="16"/>
  <c r="AL189" i="16" s="1"/>
  <c r="AL191" i="16" s="1"/>
  <c r="AL193" i="16" s="1"/>
  <c r="AL195" i="16" s="1"/>
  <c r="W186" i="16"/>
  <c r="W21" i="16"/>
  <c r="X186" i="16"/>
  <c r="AF186" i="16"/>
  <c r="AF189" i="16" s="1"/>
  <c r="AF191" i="16" s="1"/>
  <c r="AF193" i="16" s="1"/>
  <c r="AF195" i="16" s="1"/>
  <c r="AA186" i="16"/>
  <c r="AE186" i="16"/>
  <c r="AI186" i="16"/>
  <c r="AB186" i="16"/>
  <c r="AB189" i="16" s="1"/>
  <c r="AB191" i="16" s="1"/>
  <c r="AB193" i="16" s="1"/>
  <c r="AB195" i="16" s="1"/>
  <c r="AJ186" i="16"/>
  <c r="AJ189" i="16" s="1"/>
  <c r="AJ191" i="16" s="1"/>
  <c r="AJ193" i="16" s="1"/>
  <c r="AJ195" i="16" s="1"/>
  <c r="W24" i="16"/>
  <c r="W50" i="16" s="1"/>
  <c r="AJ88" i="16"/>
  <c r="AG77" i="16"/>
  <c r="AK77" i="16"/>
  <c r="AF66" i="16"/>
  <c r="AK66" i="16"/>
  <c r="AF55" i="16"/>
  <c r="AJ55" i="16"/>
  <c r="AG88" i="16"/>
  <c r="AK88" i="16"/>
  <c r="AF88" i="16"/>
  <c r="AH77" i="16"/>
  <c r="AL77" i="16"/>
  <c r="AG66" i="16"/>
  <c r="AL66" i="16"/>
  <c r="AG55" i="16"/>
  <c r="AK55" i="16"/>
  <c r="AH88" i="16"/>
  <c r="AI77" i="16"/>
  <c r="AH66" i="16"/>
  <c r="AL55" i="16"/>
  <c r="AI88" i="16"/>
  <c r="AJ77" i="16"/>
  <c r="AI66" i="16"/>
  <c r="AE55" i="16"/>
  <c r="AD55" i="16"/>
  <c r="AL88" i="16"/>
  <c r="AE77" i="16"/>
  <c r="AD66" i="16"/>
  <c r="AH55" i="16"/>
  <c r="AF77" i="16"/>
  <c r="AI55" i="16"/>
  <c r="AE66" i="16"/>
  <c r="AL176" i="16"/>
  <c r="AL154" i="16"/>
  <c r="AI132" i="16"/>
  <c r="AJ132" i="16"/>
  <c r="AI121" i="16"/>
  <c r="AJ121" i="16"/>
  <c r="AJ99" i="16"/>
  <c r="AJ154" i="16"/>
  <c r="AJ143" i="16"/>
  <c r="AH121" i="16"/>
  <c r="AG110" i="16"/>
  <c r="AH110" i="16"/>
  <c r="AG99" i="16"/>
  <c r="AH99" i="16"/>
  <c r="AI99" i="16"/>
  <c r="AJ66" i="16"/>
  <c r="AK165" i="16"/>
  <c r="AK143" i="16"/>
  <c r="AL132" i="16"/>
  <c r="AK121" i="16"/>
  <c r="AK110" i="16"/>
  <c r="AL99" i="16"/>
  <c r="AL165" i="16"/>
  <c r="AI110" i="16"/>
  <c r="AL143" i="16"/>
  <c r="AK132" i="16"/>
  <c r="AL121" i="16"/>
  <c r="AL110" i="16"/>
  <c r="AK99" i="16"/>
  <c r="AJ110" i="16"/>
  <c r="AK154" i="16"/>
  <c r="Y20" i="16"/>
  <c r="AC20" i="16"/>
  <c r="AG20" i="16"/>
  <c r="AK20" i="16"/>
  <c r="D20" i="16"/>
  <c r="H20" i="16"/>
  <c r="L20" i="16"/>
  <c r="P20" i="16"/>
  <c r="Z20" i="16"/>
  <c r="AD20" i="16"/>
  <c r="AH20" i="16"/>
  <c r="AL20" i="16"/>
  <c r="E20" i="16"/>
  <c r="I20" i="16"/>
  <c r="M20" i="16"/>
  <c r="Q20" i="16"/>
  <c r="AA20" i="16"/>
  <c r="AE20" i="16"/>
  <c r="AI20" i="16"/>
  <c r="F20" i="16"/>
  <c r="J20" i="16"/>
  <c r="N20" i="16"/>
  <c r="X20" i="16"/>
  <c r="AB20" i="16"/>
  <c r="AF20" i="16"/>
  <c r="AJ20" i="16"/>
  <c r="C20" i="16"/>
  <c r="G20" i="16"/>
  <c r="K20" i="16"/>
  <c r="O20" i="16"/>
  <c r="B20" i="16"/>
  <c r="Z21" i="16"/>
  <c r="AD21" i="16"/>
  <c r="AH21" i="16"/>
  <c r="AL21" i="16"/>
  <c r="E21" i="16"/>
  <c r="I21" i="16"/>
  <c r="M21" i="16"/>
  <c r="Q21" i="16"/>
  <c r="AA21" i="16"/>
  <c r="AE21" i="16"/>
  <c r="AI21" i="16"/>
  <c r="F21" i="16"/>
  <c r="J21" i="16"/>
  <c r="N21" i="16"/>
  <c r="X21" i="16"/>
  <c r="AB21" i="16"/>
  <c r="AF21" i="16"/>
  <c r="AJ21" i="16"/>
  <c r="C21" i="16"/>
  <c r="G21" i="16"/>
  <c r="K21" i="16"/>
  <c r="O21" i="16"/>
  <c r="Y21" i="16"/>
  <c r="AC21" i="16"/>
  <c r="AG21" i="16"/>
  <c r="AK21" i="16"/>
  <c r="D21" i="16"/>
  <c r="H21" i="16"/>
  <c r="L21" i="16"/>
  <c r="P21" i="16"/>
  <c r="AH89" i="16"/>
  <c r="AL89" i="16"/>
  <c r="AG78" i="16"/>
  <c r="AK78" i="16"/>
  <c r="AE67" i="16"/>
  <c r="AI67" i="16"/>
  <c r="AF56" i="16"/>
  <c r="AJ56" i="16"/>
  <c r="AI89" i="16"/>
  <c r="AH78" i="16"/>
  <c r="AL78" i="16"/>
  <c r="AF67" i="16"/>
  <c r="AJ67" i="16"/>
  <c r="AG56" i="16"/>
  <c r="AK56" i="16"/>
  <c r="AJ89" i="16"/>
  <c r="AI78" i="16"/>
  <c r="AG67" i="16"/>
  <c r="AL56" i="16"/>
  <c r="AK89" i="16"/>
  <c r="AJ78" i="16"/>
  <c r="AH67" i="16"/>
  <c r="AE56" i="16"/>
  <c r="AF89" i="16"/>
  <c r="AE78" i="16"/>
  <c r="AK67" i="16"/>
  <c r="AH56" i="16"/>
  <c r="AD67" i="16"/>
  <c r="AL67" i="16"/>
  <c r="AG89" i="16"/>
  <c r="AF78" i="16"/>
  <c r="AI56" i="16"/>
  <c r="AK166" i="16"/>
  <c r="AJ144" i="16"/>
  <c r="AH122" i="16"/>
  <c r="AG111" i="16"/>
  <c r="AH111" i="16"/>
  <c r="AL166" i="16"/>
  <c r="AK155" i="16"/>
  <c r="AI133" i="16"/>
  <c r="AJ133" i="16"/>
  <c r="AI122" i="16"/>
  <c r="AJ122" i="16"/>
  <c r="AJ111" i="16"/>
  <c r="AJ100" i="16"/>
  <c r="AL100" i="16"/>
  <c r="AI100" i="16"/>
  <c r="AG100" i="16"/>
  <c r="AD56" i="16"/>
  <c r="AJ155" i="16"/>
  <c r="AK144" i="16"/>
  <c r="AL144" i="16"/>
  <c r="AL133" i="16"/>
  <c r="AK133" i="16"/>
  <c r="AK122" i="16"/>
  <c r="AL122" i="16"/>
  <c r="AK111" i="16"/>
  <c r="AL111" i="16"/>
  <c r="AK100" i="16"/>
  <c r="AL177" i="16"/>
  <c r="AL155" i="16"/>
  <c r="AI111" i="16"/>
  <c r="AH100" i="16"/>
  <c r="X19" i="16"/>
  <c r="AB19" i="16"/>
  <c r="AF19" i="16"/>
  <c r="AF24" i="16" s="1"/>
  <c r="AF50" i="16" s="1"/>
  <c r="AJ19" i="16"/>
  <c r="C19" i="16"/>
  <c r="G19" i="16"/>
  <c r="K19" i="16"/>
  <c r="K24" i="16" s="1"/>
  <c r="K58" i="16" s="1"/>
  <c r="K59" i="16" s="1"/>
  <c r="O19" i="16"/>
  <c r="Y19" i="16"/>
  <c r="Y24" i="16" s="1"/>
  <c r="Y50" i="16" s="1"/>
  <c r="Y51" i="16" s="1"/>
  <c r="AC19" i="16"/>
  <c r="AG19" i="16"/>
  <c r="AK19" i="16"/>
  <c r="D19" i="16"/>
  <c r="D24" i="16" s="1"/>
  <c r="H19" i="16"/>
  <c r="H24" i="16" s="1"/>
  <c r="L19" i="16"/>
  <c r="P19" i="16"/>
  <c r="Z19" i="16"/>
  <c r="AD19" i="16"/>
  <c r="AD24" i="16" s="1"/>
  <c r="AD50" i="16" s="1"/>
  <c r="AD61" i="16" s="1"/>
  <c r="AH19" i="16"/>
  <c r="AL19" i="16"/>
  <c r="E19" i="16"/>
  <c r="I19" i="16"/>
  <c r="I24" i="16" s="1"/>
  <c r="I58" i="16" s="1"/>
  <c r="I59" i="16" s="1"/>
  <c r="M19" i="16"/>
  <c r="Q19" i="16"/>
  <c r="AA19" i="16"/>
  <c r="AE19" i="16"/>
  <c r="AE24" i="16" s="1"/>
  <c r="AE50" i="16" s="1"/>
  <c r="AI19" i="16"/>
  <c r="F19" i="16"/>
  <c r="J19" i="16"/>
  <c r="N19" i="16"/>
  <c r="DC189" i="4"/>
  <c r="DD189" i="4"/>
  <c r="DE189" i="4"/>
  <c r="DB189" i="4"/>
  <c r="Q183" i="4"/>
  <c r="Q184" i="4"/>
  <c r="Q185" i="4"/>
  <c r="Q186" i="4"/>
  <c r="Q187" i="4"/>
  <c r="Q188" i="4"/>
  <c r="Q182" i="4"/>
  <c r="AC24" i="16" l="1"/>
  <c r="AC50" i="16" s="1"/>
  <c r="AC61" i="16" s="1"/>
  <c r="Y54" i="16"/>
  <c r="Y55" i="16" s="1"/>
  <c r="Y52" i="16"/>
  <c r="AJ200" i="16"/>
  <c r="AJ201" i="16" s="1"/>
  <c r="AJ202" i="16" s="1"/>
  <c r="AJ203" i="16" s="1"/>
  <c r="AJ205" i="16" s="1"/>
  <c r="AJ206" i="16" s="1"/>
  <c r="AJ196" i="16"/>
  <c r="AJ197" i="16"/>
  <c r="AK200" i="16"/>
  <c r="AK201" i="16" s="1"/>
  <c r="AK202" i="16" s="1"/>
  <c r="AK203" i="16" s="1"/>
  <c r="AK205" i="16" s="1"/>
  <c r="AK206" i="16" s="1"/>
  <c r="AK196" i="16"/>
  <c r="AK197" i="16"/>
  <c r="AB200" i="16"/>
  <c r="AB201" i="16" s="1"/>
  <c r="AB202" i="16" s="1"/>
  <c r="AB203" i="16" s="1"/>
  <c r="AB205" i="16" s="1"/>
  <c r="AB206" i="16" s="1"/>
  <c r="AB196" i="16"/>
  <c r="AB197" i="16"/>
  <c r="AF200" i="16"/>
  <c r="AF201" i="16" s="1"/>
  <c r="AF202" i="16" s="1"/>
  <c r="AF203" i="16" s="1"/>
  <c r="AF205" i="16" s="1"/>
  <c r="AF206" i="16" s="1"/>
  <c r="AF196" i="16"/>
  <c r="AF197" i="16"/>
  <c r="AL200" i="16"/>
  <c r="AL201" i="16" s="1"/>
  <c r="AL202" i="16" s="1"/>
  <c r="AL203" i="16" s="1"/>
  <c r="AL205" i="16" s="1"/>
  <c r="AL206" i="16" s="1"/>
  <c r="AL196" i="16"/>
  <c r="AL197" i="16"/>
  <c r="G24" i="16"/>
  <c r="AB24" i="16"/>
  <c r="AB50" i="16" s="1"/>
  <c r="AB61" i="16" s="1"/>
  <c r="AG189" i="16"/>
  <c r="AG191" i="16" s="1"/>
  <c r="AG193" i="16" s="1"/>
  <c r="AG195" i="16" s="1"/>
  <c r="AA189" i="16"/>
  <c r="AA191" i="16" s="1"/>
  <c r="AA193" i="16" s="1"/>
  <c r="AA195" i="16" s="1"/>
  <c r="J24" i="16"/>
  <c r="J58" i="16" s="1"/>
  <c r="J59" i="16" s="1"/>
  <c r="Z24" i="16"/>
  <c r="Z50" i="16" s="1"/>
  <c r="Z51" i="16" s="1"/>
  <c r="X189" i="16"/>
  <c r="X191" i="16" s="1"/>
  <c r="X193" i="16" s="1"/>
  <c r="X195" i="16" s="1"/>
  <c r="AH189" i="16"/>
  <c r="AH191" i="16" s="1"/>
  <c r="AH193" i="16" s="1"/>
  <c r="AH195" i="16" s="1"/>
  <c r="W195" i="16"/>
  <c r="AC189" i="16"/>
  <c r="AC191" i="16" s="1"/>
  <c r="AC193" i="16" s="1"/>
  <c r="AC195" i="16" s="1"/>
  <c r="AA24" i="16"/>
  <c r="AA50" i="16" s="1"/>
  <c r="AA51" i="16" s="1"/>
  <c r="E24" i="16"/>
  <c r="E50" i="16" s="1"/>
  <c r="E51" i="16" s="1"/>
  <c r="F24" i="16"/>
  <c r="AD189" i="16"/>
  <c r="AD191" i="16" s="1"/>
  <c r="AD193" i="16" s="1"/>
  <c r="AD195" i="16" s="1"/>
  <c r="AI189" i="16"/>
  <c r="AI191" i="16" s="1"/>
  <c r="AI193" i="16" s="1"/>
  <c r="AI195" i="16" s="1"/>
  <c r="AE189" i="16"/>
  <c r="AE191" i="16" s="1"/>
  <c r="AE193" i="16" s="1"/>
  <c r="AE195" i="16" s="1"/>
  <c r="Y189" i="16"/>
  <c r="Y191" i="16" s="1"/>
  <c r="N24" i="16"/>
  <c r="N58" i="16" s="1"/>
  <c r="N59" i="16" s="1"/>
  <c r="AI24" i="16"/>
  <c r="AI50" i="16" s="1"/>
  <c r="AI61" i="16" s="1"/>
  <c r="M24" i="16"/>
  <c r="AH24" i="16"/>
  <c r="AH50" i="16" s="1"/>
  <c r="AH72" i="16" s="1"/>
  <c r="L24" i="16"/>
  <c r="L58" i="16" s="1"/>
  <c r="L59" i="16" s="1"/>
  <c r="AG24" i="16"/>
  <c r="AG50" i="16" s="1"/>
  <c r="AG105" i="16" s="1"/>
  <c r="O24" i="16"/>
  <c r="O58" i="16" s="1"/>
  <c r="O59" i="16" s="1"/>
  <c r="AJ24" i="16"/>
  <c r="AJ50" i="16" s="1"/>
  <c r="AJ83" i="16" s="1"/>
  <c r="Y56" i="16"/>
  <c r="N50" i="16"/>
  <c r="N51" i="16" s="1"/>
  <c r="N53" i="16"/>
  <c r="L50" i="16"/>
  <c r="L51" i="16" s="1"/>
  <c r="L53" i="16"/>
  <c r="J50" i="16"/>
  <c r="J51" i="16" s="1"/>
  <c r="J53" i="16"/>
  <c r="H50" i="16"/>
  <c r="H51" i="16" s="1"/>
  <c r="H53" i="16"/>
  <c r="K50" i="16"/>
  <c r="K51" i="16" s="1"/>
  <c r="K53" i="16"/>
  <c r="F50" i="16"/>
  <c r="F51" i="16" s="1"/>
  <c r="F53" i="16"/>
  <c r="D50" i="16"/>
  <c r="D51" i="16" s="1"/>
  <c r="D53" i="16"/>
  <c r="G50" i="16"/>
  <c r="G51" i="16" s="1"/>
  <c r="G53" i="16"/>
  <c r="AG94" i="16"/>
  <c r="AG72" i="16"/>
  <c r="AE61" i="16"/>
  <c r="AE72" i="16"/>
  <c r="I50" i="16"/>
  <c r="I51" i="16" s="1"/>
  <c r="I53" i="16"/>
  <c r="AC51" i="16"/>
  <c r="AF72" i="16"/>
  <c r="AF61" i="16"/>
  <c r="AF83" i="16"/>
  <c r="W51" i="16"/>
  <c r="Q24" i="16"/>
  <c r="AL24" i="16"/>
  <c r="AL50" i="16" s="1"/>
  <c r="P24" i="16"/>
  <c r="P58" i="16" s="1"/>
  <c r="P59" i="16" s="1"/>
  <c r="AK24" i="16"/>
  <c r="AK50" i="16" s="1"/>
  <c r="B24" i="16"/>
  <c r="C24" i="16"/>
  <c r="X24" i="16"/>
  <c r="X50" i="16" s="1"/>
  <c r="X51" i="16" s="1"/>
  <c r="BC106" i="13"/>
  <c r="M67" i="15"/>
  <c r="M68" i="15"/>
  <c r="M81" i="15"/>
  <c r="P81" i="15"/>
  <c r="H142" i="4"/>
  <c r="H21" i="4"/>
  <c r="R13" i="4"/>
  <c r="H7" i="4"/>
  <c r="Q81" i="15"/>
  <c r="Q80" i="15"/>
  <c r="P80" i="15"/>
  <c r="N81" i="15"/>
  <c r="K81" i="15"/>
  <c r="W73" i="15"/>
  <c r="AH81" i="15"/>
  <c r="AH80" i="15"/>
  <c r="AH79" i="15"/>
  <c r="AH78" i="15"/>
  <c r="AH77" i="15"/>
  <c r="M80" i="15"/>
  <c r="J81" i="15"/>
  <c r="K89" i="15" s="1"/>
  <c r="N80" i="15"/>
  <c r="I79" i="15"/>
  <c r="J79" i="15" s="1"/>
  <c r="K79" i="15" s="1"/>
  <c r="K87" i="15" s="1"/>
  <c r="M78" i="15"/>
  <c r="I78" i="15"/>
  <c r="N78" i="15" s="1"/>
  <c r="I77" i="15"/>
  <c r="J77" i="15" s="1"/>
  <c r="K77" i="15" s="1"/>
  <c r="K85" i="15" s="1"/>
  <c r="M76" i="15"/>
  <c r="I76" i="15"/>
  <c r="N76" i="15" s="1"/>
  <c r="I75" i="15"/>
  <c r="J75" i="15" s="1"/>
  <c r="K75" i="15" s="1"/>
  <c r="K83" i="15" s="1"/>
  <c r="M65" i="15"/>
  <c r="I67" i="15"/>
  <c r="I63" i="15"/>
  <c r="I64" i="15"/>
  <c r="M64" i="15" s="1"/>
  <c r="I65" i="15"/>
  <c r="I66" i="15"/>
  <c r="N66" i="15" s="1"/>
  <c r="N68" i="15"/>
  <c r="I62" i="15"/>
  <c r="CF123" i="13"/>
  <c r="CI123" i="13" s="1"/>
  <c r="AJ18" i="3"/>
  <c r="AJ17" i="3"/>
  <c r="D13" i="8" s="1"/>
  <c r="N65" i="15"/>
  <c r="M66" i="15"/>
  <c r="N67" i="15"/>
  <c r="N63" i="15"/>
  <c r="Q63" i="15" s="1"/>
  <c r="M63" i="15"/>
  <c r="N62" i="15"/>
  <c r="M62" i="15"/>
  <c r="K62" i="15"/>
  <c r="K63" i="15"/>
  <c r="K64" i="15"/>
  <c r="K65" i="15"/>
  <c r="P65" i="15" s="1"/>
  <c r="K66" i="15"/>
  <c r="K67" i="15"/>
  <c r="P67" i="15" s="1"/>
  <c r="K68" i="15"/>
  <c r="AG83" i="16" l="1"/>
  <c r="AA54" i="16"/>
  <c r="AA52" i="16"/>
  <c r="W54" i="16"/>
  <c r="W52" i="16"/>
  <c r="AI94" i="16"/>
  <c r="AJ138" i="16"/>
  <c r="AH116" i="16"/>
  <c r="AH83" i="16"/>
  <c r="AI72" i="16"/>
  <c r="X54" i="16"/>
  <c r="X52" i="16"/>
  <c r="AB51" i="16"/>
  <c r="AI105" i="16"/>
  <c r="AJ94" i="16"/>
  <c r="Z54" i="16"/>
  <c r="Z52" i="16"/>
  <c r="AC62" i="16"/>
  <c r="AC65" i="16" s="1"/>
  <c r="AC67" i="16" s="1"/>
  <c r="AC52" i="16"/>
  <c r="I13" i="8"/>
  <c r="P13" i="8"/>
  <c r="K13" i="8"/>
  <c r="U13" i="8"/>
  <c r="L13" i="8"/>
  <c r="R13" i="8"/>
  <c r="Q13" i="8"/>
  <c r="N13" i="8"/>
  <c r="M13" i="8"/>
  <c r="V13" i="8"/>
  <c r="O13" i="8"/>
  <c r="J13" i="8"/>
  <c r="H13" i="8"/>
  <c r="S13" i="8"/>
  <c r="T13" i="8"/>
  <c r="W200" i="16"/>
  <c r="W201" i="16" s="1"/>
  <c r="W202" i="16" s="1"/>
  <c r="W203" i="16" s="1"/>
  <c r="W205" i="16" s="1"/>
  <c r="W206" i="16" s="1"/>
  <c r="W196" i="16"/>
  <c r="AE200" i="16"/>
  <c r="AE201" i="16" s="1"/>
  <c r="AE202" i="16" s="1"/>
  <c r="AE203" i="16" s="1"/>
  <c r="AE205" i="16" s="1"/>
  <c r="AE206" i="16" s="1"/>
  <c r="AE197" i="16"/>
  <c r="AE196" i="16"/>
  <c r="AH200" i="16"/>
  <c r="AH201" i="16" s="1"/>
  <c r="AH202" i="16" s="1"/>
  <c r="AH203" i="16" s="1"/>
  <c r="AH205" i="16" s="1"/>
  <c r="AH206" i="16" s="1"/>
  <c r="AH196" i="16"/>
  <c r="AH197" i="16"/>
  <c r="AA200" i="16"/>
  <c r="AA201" i="16" s="1"/>
  <c r="AA202" i="16" s="1"/>
  <c r="AA203" i="16" s="1"/>
  <c r="AA205" i="16" s="1"/>
  <c r="AA206" i="16" s="1"/>
  <c r="AA197" i="16"/>
  <c r="AA196" i="16"/>
  <c r="AI200" i="16"/>
  <c r="AI201" i="16" s="1"/>
  <c r="AI202" i="16" s="1"/>
  <c r="AI203" i="16" s="1"/>
  <c r="AI205" i="16" s="1"/>
  <c r="AI206" i="16" s="1"/>
  <c r="AI197" i="16"/>
  <c r="AI196" i="16"/>
  <c r="X200" i="16"/>
  <c r="X201" i="16" s="1"/>
  <c r="X202" i="16" s="1"/>
  <c r="X203" i="16" s="1"/>
  <c r="X205" i="16" s="1"/>
  <c r="X206" i="16" s="1"/>
  <c r="X196" i="16"/>
  <c r="X197" i="16"/>
  <c r="AG200" i="16"/>
  <c r="AG201" i="16" s="1"/>
  <c r="AG202" i="16" s="1"/>
  <c r="AG203" i="16" s="1"/>
  <c r="AG205" i="16" s="1"/>
  <c r="AG206" i="16" s="1"/>
  <c r="AG196" i="16"/>
  <c r="AG197" i="16"/>
  <c r="Y200" i="16"/>
  <c r="Y201" i="16" s="1"/>
  <c r="Y202" i="16" s="1"/>
  <c r="Y203" i="16" s="1"/>
  <c r="Y205" i="16" s="1"/>
  <c r="Y206" i="16" s="1"/>
  <c r="Y196" i="16"/>
  <c r="Y197" i="16"/>
  <c r="AD200" i="16"/>
  <c r="AD201" i="16" s="1"/>
  <c r="AD202" i="16" s="1"/>
  <c r="AD203" i="16" s="1"/>
  <c r="AD205" i="16" s="1"/>
  <c r="AD206" i="16" s="1"/>
  <c r="AD196" i="16"/>
  <c r="AD197" i="16"/>
  <c r="AC200" i="16"/>
  <c r="AC201" i="16" s="1"/>
  <c r="AC202" i="16" s="1"/>
  <c r="AC203" i="16" s="1"/>
  <c r="AC205" i="16" s="1"/>
  <c r="AC206" i="16" s="1"/>
  <c r="AC196" i="16"/>
  <c r="AC197" i="16"/>
  <c r="AC66" i="16"/>
  <c r="M53" i="16"/>
  <c r="M58" i="16"/>
  <c r="M59" i="16" s="1"/>
  <c r="O53" i="16"/>
  <c r="E53" i="16"/>
  <c r="AI116" i="16"/>
  <c r="AI127" i="16"/>
  <c r="AA56" i="16"/>
  <c r="AA55" i="16"/>
  <c r="B53" i="16"/>
  <c r="B50" i="16"/>
  <c r="B51" i="16" s="1"/>
  <c r="Q58" i="16"/>
  <c r="Q59" i="16" s="1"/>
  <c r="Q53" i="16"/>
  <c r="O50" i="16"/>
  <c r="O51" i="16" s="1"/>
  <c r="M50" i="16"/>
  <c r="M51" i="16" s="1"/>
  <c r="AJ116" i="16"/>
  <c r="AH94" i="16"/>
  <c r="AH61" i="16"/>
  <c r="AJ127" i="16"/>
  <c r="AJ105" i="16"/>
  <c r="AH105" i="16"/>
  <c r="AJ61" i="16"/>
  <c r="AJ72" i="16"/>
  <c r="AG61" i="16"/>
  <c r="AI83" i="16"/>
  <c r="AJ149" i="16"/>
  <c r="AL149" i="16"/>
  <c r="AL138" i="16"/>
  <c r="AL61" i="16"/>
  <c r="AL171" i="16"/>
  <c r="AL127" i="16"/>
  <c r="AL116" i="16"/>
  <c r="AL160" i="16"/>
  <c r="AL83" i="16"/>
  <c r="AL72" i="16"/>
  <c r="AL94" i="16"/>
  <c r="AL105" i="16"/>
  <c r="AC54" i="16"/>
  <c r="AK105" i="16"/>
  <c r="AK94" i="16"/>
  <c r="AK149" i="16"/>
  <c r="AK138" i="16"/>
  <c r="AK83" i="16"/>
  <c r="AK72" i="16"/>
  <c r="AK127" i="16"/>
  <c r="AK116" i="16"/>
  <c r="AK61" i="16"/>
  <c r="AK160" i="16"/>
  <c r="W55" i="16"/>
  <c r="W56" i="16"/>
  <c r="C50" i="16"/>
  <c r="C51" i="16" s="1"/>
  <c r="C53" i="16"/>
  <c r="Q50" i="16"/>
  <c r="Q51" i="16" s="1"/>
  <c r="X55" i="16"/>
  <c r="X56" i="16"/>
  <c r="P50" i="16"/>
  <c r="P51" i="16" s="1"/>
  <c r="P53" i="16"/>
  <c r="AB54" i="16"/>
  <c r="AB55" i="16" s="1"/>
  <c r="Q68" i="15"/>
  <c r="P66" i="15"/>
  <c r="P62" i="15"/>
  <c r="P63" i="15"/>
  <c r="Q66" i="15"/>
  <c r="Q62" i="15"/>
  <c r="P68" i="15"/>
  <c r="M75" i="15"/>
  <c r="P75" i="15" s="1"/>
  <c r="M77" i="15"/>
  <c r="P77" i="15" s="1"/>
  <c r="M79" i="15"/>
  <c r="P79" i="15" s="1"/>
  <c r="N75" i="15"/>
  <c r="Q75" i="15" s="1"/>
  <c r="J76" i="15"/>
  <c r="Q76" i="15" s="1"/>
  <c r="N77" i="15"/>
  <c r="Q77" i="15" s="1"/>
  <c r="J78" i="15"/>
  <c r="N79" i="15"/>
  <c r="Q79" i="15" s="1"/>
  <c r="J80" i="15"/>
  <c r="P64" i="15"/>
  <c r="N64" i="15"/>
  <c r="Q64" i="15" s="1"/>
  <c r="Q67" i="15"/>
  <c r="Q65" i="15"/>
  <c r="Y46" i="15"/>
  <c r="Z46" i="15"/>
  <c r="Y47" i="15"/>
  <c r="Z47" i="15"/>
  <c r="Y48" i="15"/>
  <c r="Z48" i="15"/>
  <c r="Y49" i="15"/>
  <c r="Z49" i="15"/>
  <c r="Y50" i="15"/>
  <c r="Z50" i="15"/>
  <c r="Y51" i="15"/>
  <c r="Z51" i="15"/>
  <c r="Y52" i="15"/>
  <c r="Z52" i="15"/>
  <c r="Y53" i="15"/>
  <c r="Z53" i="15"/>
  <c r="Y54" i="15"/>
  <c r="Z54" i="15"/>
  <c r="Y55" i="15"/>
  <c r="Z55" i="15"/>
  <c r="Y56" i="15"/>
  <c r="Z56" i="15"/>
  <c r="Y57" i="15"/>
  <c r="Z57" i="15"/>
  <c r="Y58" i="15"/>
  <c r="Z58" i="15"/>
  <c r="Y59" i="15"/>
  <c r="Z59" i="15"/>
  <c r="Y60" i="15"/>
  <c r="Z60" i="15"/>
  <c r="Y61" i="15"/>
  <c r="Z61" i="15"/>
  <c r="Y62" i="15"/>
  <c r="Z62" i="15"/>
  <c r="Y63" i="15"/>
  <c r="Z63" i="15"/>
  <c r="Y64" i="15"/>
  <c r="Z64" i="15"/>
  <c r="Y65" i="15"/>
  <c r="Z65" i="15"/>
  <c r="Y66" i="15"/>
  <c r="Z66" i="15"/>
  <c r="Y67" i="15"/>
  <c r="Z67" i="15"/>
  <c r="Y68" i="15"/>
  <c r="Z68" i="15"/>
  <c r="Y69" i="15"/>
  <c r="Z69" i="15"/>
  <c r="Y70" i="15"/>
  <c r="Z70" i="15"/>
  <c r="Y71" i="15"/>
  <c r="Z71" i="15"/>
  <c r="Y72" i="15"/>
  <c r="Z72" i="15"/>
  <c r="Y73" i="15"/>
  <c r="Z73" i="15"/>
  <c r="Y74" i="15"/>
  <c r="Z74" i="15"/>
  <c r="Y75" i="15"/>
  <c r="Z75" i="15"/>
  <c r="Y76" i="15"/>
  <c r="Z76" i="15"/>
  <c r="Y77" i="15"/>
  <c r="Z77" i="15"/>
  <c r="Y78" i="15"/>
  <c r="Z78" i="15"/>
  <c r="Y79" i="15"/>
  <c r="Z79" i="15"/>
  <c r="Y80" i="15"/>
  <c r="Z80" i="15"/>
  <c r="Y81" i="15"/>
  <c r="Z81" i="15"/>
  <c r="Y82" i="15"/>
  <c r="Z82" i="15"/>
  <c r="Y83" i="15"/>
  <c r="Z83" i="15"/>
  <c r="Y84" i="15"/>
  <c r="Z84" i="15"/>
  <c r="Y85" i="15"/>
  <c r="Z85" i="15"/>
  <c r="Y86" i="15"/>
  <c r="Z86" i="15"/>
  <c r="Y87" i="15"/>
  <c r="Z87" i="15"/>
  <c r="Y88" i="15"/>
  <c r="Z88" i="15"/>
  <c r="Y89" i="15"/>
  <c r="Z89" i="15"/>
  <c r="Y90" i="15"/>
  <c r="Z90" i="15"/>
  <c r="Y91" i="15"/>
  <c r="Z91" i="15"/>
  <c r="Y92" i="15"/>
  <c r="Z92" i="15"/>
  <c r="Y93" i="15"/>
  <c r="Z93" i="15"/>
  <c r="Y94" i="15"/>
  <c r="Z94" i="15"/>
  <c r="Y95" i="15"/>
  <c r="Z95" i="15"/>
  <c r="Y96" i="15"/>
  <c r="Z96" i="15"/>
  <c r="Y97" i="15"/>
  <c r="Z97" i="15"/>
  <c r="Y98" i="15"/>
  <c r="Z98" i="15"/>
  <c r="Y99" i="15"/>
  <c r="Z99" i="15"/>
  <c r="Z45" i="15"/>
  <c r="Y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4" i="15"/>
  <c r="W75" i="15"/>
  <c r="W76" i="15"/>
  <c r="W77" i="15"/>
  <c r="W78" i="15"/>
  <c r="W79" i="15"/>
  <c r="W80" i="15"/>
  <c r="W81" i="15"/>
  <c r="W82" i="15"/>
  <c r="W83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45" i="15"/>
  <c r="Z55" i="16" l="1"/>
  <c r="Z56" i="16"/>
  <c r="AB62" i="16"/>
  <c r="AB65" i="16" s="1"/>
  <c r="AB52" i="16"/>
  <c r="AB56" i="16"/>
  <c r="AC56" i="16"/>
  <c r="AC55" i="16"/>
  <c r="K80" i="15"/>
  <c r="P78" i="15"/>
  <c r="K78" i="15"/>
  <c r="K86" i="15" s="1"/>
  <c r="P76" i="15"/>
  <c r="K76" i="15"/>
  <c r="K84" i="15" s="1"/>
  <c r="Q78" i="15"/>
  <c r="Y6" i="15"/>
  <c r="Y7" i="15"/>
  <c r="Y8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5" i="15"/>
  <c r="AB67" i="16" l="1"/>
  <c r="AB66" i="16"/>
  <c r="F64" i="14"/>
  <c r="F63" i="14"/>
  <c r="F62" i="14"/>
  <c r="F61" i="14"/>
  <c r="F59" i="14"/>
  <c r="F58" i="14"/>
  <c r="F57" i="14"/>
  <c r="F56" i="14"/>
  <c r="F55" i="14"/>
  <c r="F54" i="14"/>
  <c r="F52" i="14"/>
  <c r="F51" i="14"/>
  <c r="F50" i="14"/>
  <c r="F49" i="14"/>
  <c r="F48" i="14"/>
  <c r="F47" i="14"/>
  <c r="F46" i="14"/>
  <c r="F45" i="14"/>
  <c r="F42" i="14"/>
  <c r="F41" i="14"/>
  <c r="F40" i="14"/>
  <c r="F39" i="14"/>
  <c r="F38" i="14"/>
  <c r="F37" i="14"/>
  <c r="F36" i="14"/>
  <c r="F35" i="14"/>
  <c r="F33" i="14"/>
  <c r="F32" i="14"/>
  <c r="F31" i="14"/>
  <c r="F30" i="14"/>
  <c r="F29" i="14"/>
  <c r="F28" i="14"/>
  <c r="F27" i="14"/>
  <c r="F26" i="14"/>
  <c r="F23" i="14"/>
  <c r="F22" i="14"/>
  <c r="F21" i="14"/>
  <c r="F20" i="14"/>
  <c r="F19" i="14"/>
  <c r="F18" i="14"/>
  <c r="F17" i="14"/>
  <c r="F16" i="14"/>
  <c r="F7" i="14"/>
  <c r="F8" i="14"/>
  <c r="F9" i="14"/>
  <c r="F11" i="14"/>
  <c r="F12" i="14"/>
  <c r="F13" i="14"/>
  <c r="F6" i="14"/>
  <c r="BU110" i="13"/>
  <c r="BI109" i="13"/>
  <c r="BJ109" i="13" s="1"/>
  <c r="BV110" i="13"/>
  <c r="AV110" i="13"/>
  <c r="AW110" i="13" s="1"/>
  <c r="AV109" i="13"/>
  <c r="AW109" i="13" s="1"/>
  <c r="CI118" i="13"/>
  <c r="CI117" i="13"/>
  <c r="CI116" i="13"/>
  <c r="CH123" i="13"/>
  <c r="CH122" i="13"/>
  <c r="CH121" i="13"/>
  <c r="CH120" i="13"/>
  <c r="CH119" i="13"/>
  <c r="CH118" i="13"/>
  <c r="CH117" i="13"/>
  <c r="CH116" i="13"/>
  <c r="CG116" i="13"/>
  <c r="CG117" i="13"/>
  <c r="CG118" i="13"/>
  <c r="CG120" i="13"/>
  <c r="CG121" i="13"/>
  <c r="CG122" i="13"/>
  <c r="CG123" i="13"/>
  <c r="BT123" i="13"/>
  <c r="BW122" i="13"/>
  <c r="BW121" i="13"/>
  <c r="BW120" i="13"/>
  <c r="BW119" i="13"/>
  <c r="BW118" i="13"/>
  <c r="BW117" i="13"/>
  <c r="BY117" i="13" s="1"/>
  <c r="BW116" i="13"/>
  <c r="BY116" i="13" s="1"/>
  <c r="BV122" i="13"/>
  <c r="BV121" i="13"/>
  <c r="BV120" i="13"/>
  <c r="BV119" i="13"/>
  <c r="BV118" i="13"/>
  <c r="BV117" i="13"/>
  <c r="BV116" i="13"/>
  <c r="BU116" i="13"/>
  <c r="BU117" i="13"/>
  <c r="BU118" i="13"/>
  <c r="BU119" i="13"/>
  <c r="BU120" i="13"/>
  <c r="BU121" i="13"/>
  <c r="BU122" i="13"/>
  <c r="BJ122" i="13"/>
  <c r="BJ121" i="13"/>
  <c r="BJ120" i="13"/>
  <c r="BJ119" i="13"/>
  <c r="BJ118" i="13"/>
  <c r="BJ117" i="13"/>
  <c r="BJ116" i="13"/>
  <c r="BI122" i="13"/>
  <c r="BI121" i="13"/>
  <c r="BI120" i="13"/>
  <c r="BI119" i="13"/>
  <c r="BI118" i="13"/>
  <c r="BI117" i="13"/>
  <c r="BI116" i="13"/>
  <c r="BH116" i="13"/>
  <c r="BH117" i="13"/>
  <c r="BH118" i="13"/>
  <c r="BH119" i="13"/>
  <c r="BH120" i="13"/>
  <c r="BH121" i="13"/>
  <c r="BH122" i="13"/>
  <c r="AW122" i="13"/>
  <c r="AW121" i="13"/>
  <c r="AW120" i="13"/>
  <c r="AW119" i="13"/>
  <c r="AW118" i="13"/>
  <c r="AW117" i="13"/>
  <c r="AW116" i="13"/>
  <c r="AV122" i="13"/>
  <c r="AV121" i="13"/>
  <c r="AV120" i="13"/>
  <c r="AV119" i="13"/>
  <c r="AV118" i="13"/>
  <c r="AV117" i="13"/>
  <c r="AV116" i="13"/>
  <c r="AU116" i="13"/>
  <c r="AU117" i="13"/>
  <c r="AU118" i="13"/>
  <c r="AU119" i="13"/>
  <c r="AU120" i="13"/>
  <c r="AU121" i="13"/>
  <c r="AU122" i="13"/>
  <c r="AI122" i="13"/>
  <c r="AK122" i="13" s="1"/>
  <c r="AI121" i="13"/>
  <c r="AK121" i="13" s="1"/>
  <c r="AI120" i="13"/>
  <c r="AI119" i="13"/>
  <c r="AK119" i="13" s="1"/>
  <c r="AI118" i="13"/>
  <c r="AI117" i="13"/>
  <c r="AK117" i="13" s="1"/>
  <c r="AI116" i="13"/>
  <c r="AK116" i="13" s="1"/>
  <c r="AH122" i="13"/>
  <c r="AH121" i="13"/>
  <c r="AH120" i="13"/>
  <c r="AH119" i="13"/>
  <c r="AH118" i="13"/>
  <c r="AH117" i="13"/>
  <c r="AH116" i="13"/>
  <c r="AG116" i="13"/>
  <c r="AG117" i="13"/>
  <c r="AG118" i="13"/>
  <c r="AG119" i="13"/>
  <c r="AG120" i="13"/>
  <c r="AG121" i="13"/>
  <c r="AG122" i="13"/>
  <c r="U122" i="13"/>
  <c r="W122" i="13" s="1"/>
  <c r="U121" i="13"/>
  <c r="W121" i="13" s="1"/>
  <c r="U120" i="13"/>
  <c r="W120" i="13" s="1"/>
  <c r="U119" i="13"/>
  <c r="W119" i="13" s="1"/>
  <c r="U118" i="13"/>
  <c r="W118" i="13" s="1"/>
  <c r="U117" i="13"/>
  <c r="W117" i="13" s="1"/>
  <c r="U116" i="13"/>
  <c r="W116" i="13" s="1"/>
  <c r="T122" i="13"/>
  <c r="T121" i="13"/>
  <c r="T120" i="13"/>
  <c r="T119" i="13"/>
  <c r="T118" i="13"/>
  <c r="T117" i="13"/>
  <c r="T116" i="13"/>
  <c r="S116" i="13"/>
  <c r="S117" i="13"/>
  <c r="S118" i="13"/>
  <c r="S119" i="13"/>
  <c r="S120" i="13"/>
  <c r="S121" i="13"/>
  <c r="S122" i="13"/>
  <c r="BU123" i="13"/>
  <c r="BG123" i="13"/>
  <c r="BH123" i="13" s="1"/>
  <c r="AT123" i="13"/>
  <c r="AU123" i="13" s="1"/>
  <c r="AF123" i="13"/>
  <c r="AG123" i="13" s="1"/>
  <c r="R123" i="13"/>
  <c r="C123" i="13"/>
  <c r="AK118" i="13"/>
  <c r="AK120" i="13"/>
  <c r="CI129" i="13"/>
  <c r="CJ129" i="13" s="1"/>
  <c r="CK129" i="13" s="1"/>
  <c r="CK131" i="13" s="1"/>
  <c r="CG144" i="13" s="1"/>
  <c r="BW129" i="13"/>
  <c r="BX129" i="13" s="1"/>
  <c r="BY129" i="13" s="1"/>
  <c r="BY131" i="13" s="1"/>
  <c r="CJ104" i="13"/>
  <c r="CI104" i="13"/>
  <c r="BW104" i="13"/>
  <c r="BX104" i="13" s="1"/>
  <c r="CB110" i="13"/>
  <c r="BV104" i="13" s="1"/>
  <c r="CG87" i="13"/>
  <c r="CG85" i="13"/>
  <c r="CG92" i="13" s="1"/>
  <c r="CG84" i="13"/>
  <c r="CG91" i="13" s="1"/>
  <c r="CG83" i="13"/>
  <c r="CG52" i="13"/>
  <c r="CG56" i="13" s="1"/>
  <c r="CG60" i="13" s="1"/>
  <c r="CG51" i="13"/>
  <c r="CG55" i="13" s="1"/>
  <c r="CG59" i="13" s="1"/>
  <c r="CN11" i="13"/>
  <c r="CG9" i="13" s="1"/>
  <c r="J67" i="3"/>
  <c r="J66" i="3"/>
  <c r="CH7" i="13"/>
  <c r="CI7" i="13" s="1"/>
  <c r="CJ7" i="13" s="1"/>
  <c r="CG86" i="13"/>
  <c r="BT87" i="13"/>
  <c r="BT85" i="13"/>
  <c r="BT92" i="13" s="1"/>
  <c r="BT84" i="13"/>
  <c r="BT91" i="13" s="1"/>
  <c r="BT83" i="13"/>
  <c r="BT52" i="13"/>
  <c r="BT56" i="13" s="1"/>
  <c r="BT60" i="13" s="1"/>
  <c r="BT51" i="13"/>
  <c r="BT55" i="13" s="1"/>
  <c r="BT59" i="13" s="1"/>
  <c r="BU7" i="13"/>
  <c r="BV7" i="13" s="1"/>
  <c r="BW7" i="13" s="1"/>
  <c r="CA11" i="13"/>
  <c r="BT86" i="13"/>
  <c r="BJ129" i="13"/>
  <c r="BK129" i="13" s="1"/>
  <c r="BL129" i="13" s="1"/>
  <c r="BL131" i="13" s="1"/>
  <c r="BP106" i="13"/>
  <c r="BI104" i="13" s="1"/>
  <c r="BJ104" i="13"/>
  <c r="BK104" i="13" s="1"/>
  <c r="BG87" i="13"/>
  <c r="BG85" i="13"/>
  <c r="BG92" i="13" s="1"/>
  <c r="BG84" i="13"/>
  <c r="BG91" i="13" s="1"/>
  <c r="BG83" i="13"/>
  <c r="BG52" i="13"/>
  <c r="BG56" i="13" s="1"/>
  <c r="BG60" i="13" s="1"/>
  <c r="BG51" i="13"/>
  <c r="BG55" i="13" s="1"/>
  <c r="BG59" i="13" s="1"/>
  <c r="BG63" i="13" s="1"/>
  <c r="BH7" i="13"/>
  <c r="BI7" i="13" s="1"/>
  <c r="BJ7" i="13" s="1"/>
  <c r="BN11" i="13"/>
  <c r="BG8" i="13" s="1"/>
  <c r="BG86" i="13"/>
  <c r="AT52" i="13"/>
  <c r="AT56" i="13" s="1"/>
  <c r="AT60" i="13" s="1"/>
  <c r="AT51" i="13"/>
  <c r="AT55" i="13" s="1"/>
  <c r="AT59" i="13" s="1"/>
  <c r="AT87" i="13"/>
  <c r="AT85" i="13"/>
  <c r="AT92" i="13" s="1"/>
  <c r="AT84" i="13"/>
  <c r="AT91" i="13" s="1"/>
  <c r="AT83" i="13"/>
  <c r="AU7" i="13"/>
  <c r="AV7" i="13" s="1"/>
  <c r="AW7" i="13" s="1"/>
  <c r="AT86" i="13"/>
  <c r="BA11" i="13"/>
  <c r="AT9" i="13" s="1"/>
  <c r="AV104" i="13"/>
  <c r="AW129" i="13"/>
  <c r="AX129" i="13" s="1"/>
  <c r="AY129" i="13" s="1"/>
  <c r="AY131" i="13" s="1"/>
  <c r="AW104" i="13"/>
  <c r="AX104" i="13" s="1"/>
  <c r="C209" i="9"/>
  <c r="C197" i="9"/>
  <c r="C186" i="9"/>
  <c r="C177" i="9"/>
  <c r="DD6" i="4"/>
  <c r="DD22" i="4"/>
  <c r="DD8" i="4"/>
  <c r="DM13" i="4"/>
  <c r="DM11" i="4"/>
  <c r="M50" i="10"/>
  <c r="M69" i="10" s="1"/>
  <c r="M51" i="10"/>
  <c r="M70" i="10" s="1"/>
  <c r="M52" i="10"/>
  <c r="M71" i="10" s="1"/>
  <c r="M53" i="10"/>
  <c r="M72" i="10" s="1"/>
  <c r="M54" i="10"/>
  <c r="M73" i="10" s="1"/>
  <c r="M55" i="10"/>
  <c r="M74" i="10" s="1"/>
  <c r="M49" i="10"/>
  <c r="M68" i="10" s="1"/>
  <c r="K45" i="10"/>
  <c r="W45" i="10" s="1"/>
  <c r="Z45" i="10" s="1"/>
  <c r="K44" i="10"/>
  <c r="W44" i="10" s="1"/>
  <c r="Z44" i="10" s="1"/>
  <c r="K43" i="10"/>
  <c r="W43" i="10" s="1"/>
  <c r="Z43" i="10" s="1"/>
  <c r="K42" i="10"/>
  <c r="W42" i="10" s="1"/>
  <c r="Z42" i="10" s="1"/>
  <c r="K41" i="10"/>
  <c r="W41" i="10" s="1"/>
  <c r="Z41" i="10" s="1"/>
  <c r="K40" i="10"/>
  <c r="W40" i="10" s="1"/>
  <c r="Z40" i="10" s="1"/>
  <c r="K39" i="10"/>
  <c r="W39" i="10" s="1"/>
  <c r="Z39" i="10" s="1"/>
  <c r="K38" i="10"/>
  <c r="W38" i="10" s="1"/>
  <c r="Z38" i="10" s="1"/>
  <c r="K37" i="10"/>
  <c r="W37" i="10" s="1"/>
  <c r="Z37" i="10" s="1"/>
  <c r="D4" i="10"/>
  <c r="D12" i="10" s="1"/>
  <c r="K24" i="10"/>
  <c r="W24" i="10" s="1"/>
  <c r="K23" i="10"/>
  <c r="W23" i="10" s="1"/>
  <c r="K22" i="10"/>
  <c r="W22" i="10" s="1"/>
  <c r="K21" i="10"/>
  <c r="W21" i="10" s="1"/>
  <c r="K20" i="10"/>
  <c r="W20" i="10" s="1"/>
  <c r="K19" i="10"/>
  <c r="W19" i="10" s="1"/>
  <c r="K18" i="10"/>
  <c r="W18" i="10" s="1"/>
  <c r="K17" i="10"/>
  <c r="W17" i="10" s="1"/>
  <c r="K16" i="10"/>
  <c r="W16" i="10" s="1"/>
  <c r="K15" i="10"/>
  <c r="W15" i="10" s="1"/>
  <c r="G195" i="4"/>
  <c r="G196" i="4"/>
  <c r="G191" i="4"/>
  <c r="G192" i="4"/>
  <c r="G193" i="4"/>
  <c r="G194" i="4"/>
  <c r="G190" i="4"/>
  <c r="J7" i="8"/>
  <c r="C13" i="25" s="1"/>
  <c r="K7" i="8"/>
  <c r="C14" i="25" s="1"/>
  <c r="L7" i="8"/>
  <c r="C15" i="25" s="1"/>
  <c r="M7" i="8"/>
  <c r="C16" i="25" s="1"/>
  <c r="N7" i="8"/>
  <c r="C17" i="25" s="1"/>
  <c r="H7" i="8"/>
  <c r="CI144" i="13" l="1"/>
  <c r="CG146" i="13"/>
  <c r="CG145" i="13"/>
  <c r="CH144" i="13"/>
  <c r="CK104" i="13"/>
  <c r="CW104" i="13" s="1"/>
  <c r="CX104" i="13" s="1"/>
  <c r="CV104" i="13"/>
  <c r="DH104" i="13" s="1"/>
  <c r="U123" i="13"/>
  <c r="W123" i="13" s="1"/>
  <c r="Y123" i="13"/>
  <c r="H16" i="25"/>
  <c r="I16" i="25" s="1"/>
  <c r="C9" i="31"/>
  <c r="F16" i="25"/>
  <c r="G16" i="25" s="1"/>
  <c r="H13" i="25"/>
  <c r="I13" i="25" s="1"/>
  <c r="C6" i="31"/>
  <c r="F13" i="25"/>
  <c r="G13" i="25" s="1"/>
  <c r="C8" i="31"/>
  <c r="F15" i="25"/>
  <c r="G15" i="25" s="1"/>
  <c r="H15" i="25"/>
  <c r="I15" i="25" s="1"/>
  <c r="H17" i="25"/>
  <c r="I17" i="25" s="1"/>
  <c r="C10" i="31"/>
  <c r="F17" i="25"/>
  <c r="G17" i="25" s="1"/>
  <c r="H14" i="25"/>
  <c r="I14" i="25" s="1"/>
  <c r="C7" i="31"/>
  <c r="F14" i="25"/>
  <c r="G14" i="25" s="1"/>
  <c r="H15" i="8"/>
  <c r="C11" i="25"/>
  <c r="BG9" i="13"/>
  <c r="CI110" i="13"/>
  <c r="CJ111" i="13" s="1"/>
  <c r="AT17" i="10"/>
  <c r="AT15" i="10"/>
  <c r="AT16" i="10"/>
  <c r="AT37" i="10"/>
  <c r="E6" i="29" s="1"/>
  <c r="AT38" i="10"/>
  <c r="G6" i="29" s="1"/>
  <c r="S123" i="13"/>
  <c r="T123" i="13"/>
  <c r="AY118" i="13"/>
  <c r="BY104" i="13"/>
  <c r="BW110" i="13"/>
  <c r="BX111" i="13" s="1"/>
  <c r="BK111" i="13"/>
  <c r="BL104" i="13"/>
  <c r="AY104" i="13"/>
  <c r="AH123" i="13"/>
  <c r="AI123" i="13"/>
  <c r="AV123" i="13"/>
  <c r="AW123" i="13"/>
  <c r="BI123" i="13"/>
  <c r="BJ123" i="13"/>
  <c r="BV123" i="13"/>
  <c r="BW123" i="13"/>
  <c r="BG70" i="13"/>
  <c r="BG64" i="13"/>
  <c r="BG67" i="13" s="1"/>
  <c r="AT8" i="13"/>
  <c r="AW8" i="13" s="1"/>
  <c r="BT9" i="13"/>
  <c r="CG69" i="13"/>
  <c r="CG63" i="13"/>
  <c r="CG66" i="13" s="1"/>
  <c r="CG70" i="13"/>
  <c r="CG64" i="13"/>
  <c r="CG67" i="13" s="1"/>
  <c r="CG8" i="13"/>
  <c r="CJ8" i="13" s="1"/>
  <c r="BT69" i="13"/>
  <c r="BT63" i="13"/>
  <c r="BT66" i="13" s="1"/>
  <c r="BT70" i="13"/>
  <c r="BT64" i="13"/>
  <c r="BT67" i="13" s="1"/>
  <c r="BT8" i="13"/>
  <c r="BW8" i="13" s="1"/>
  <c r="BG69" i="13"/>
  <c r="BG66" i="13"/>
  <c r="BJ8" i="13"/>
  <c r="AT69" i="13"/>
  <c r="AT63" i="13"/>
  <c r="AT66" i="13" s="1"/>
  <c r="AT70" i="13"/>
  <c r="AT64" i="13"/>
  <c r="AT67" i="13" s="1"/>
  <c r="K182" i="4"/>
  <c r="K183" i="4"/>
  <c r="K184" i="4"/>
  <c r="K185" i="4"/>
  <c r="K186" i="4"/>
  <c r="K187" i="4"/>
  <c r="K188" i="4"/>
  <c r="L162" i="4"/>
  <c r="AF52" i="13"/>
  <c r="AF56" i="13" s="1"/>
  <c r="AF60" i="13" s="1"/>
  <c r="AF64" i="13" s="1"/>
  <c r="AP33" i="13"/>
  <c r="AG7" i="13"/>
  <c r="AI7" i="13" s="1"/>
  <c r="AM15" i="13"/>
  <c r="AP11" i="13"/>
  <c r="AO103" i="13"/>
  <c r="AO106" i="13" s="1"/>
  <c r="AH104" i="13" s="1"/>
  <c r="AI129" i="13"/>
  <c r="AJ129" i="13" s="1"/>
  <c r="AK129" i="13" s="1"/>
  <c r="AK131" i="13" s="1"/>
  <c r="AI104" i="13"/>
  <c r="AJ104" i="13" s="1"/>
  <c r="AF85" i="13"/>
  <c r="AF92" i="13" s="1"/>
  <c r="AF84" i="13"/>
  <c r="AF91" i="13" s="1"/>
  <c r="AF83" i="13"/>
  <c r="AM26" i="13"/>
  <c r="AH22" i="13"/>
  <c r="AM11" i="13"/>
  <c r="AF10" i="13" s="1"/>
  <c r="AF24" i="13" s="1"/>
  <c r="AH9" i="13"/>
  <c r="AF86" i="13"/>
  <c r="U129" i="13"/>
  <c r="V129" i="13" s="1"/>
  <c r="W129" i="13" s="1"/>
  <c r="F129" i="13"/>
  <c r="G129" i="13" s="1"/>
  <c r="H129" i="13" s="1"/>
  <c r="AA103" i="13"/>
  <c r="AA106" i="13" s="1"/>
  <c r="T104" i="13" s="1"/>
  <c r="U104" i="13"/>
  <c r="V104" i="13" s="1"/>
  <c r="R52" i="13"/>
  <c r="R56" i="13" s="1"/>
  <c r="R60" i="13" s="1"/>
  <c r="R85" i="13"/>
  <c r="R92" i="13" s="1"/>
  <c r="R84" i="13"/>
  <c r="R91" i="13" s="1"/>
  <c r="R83" i="13"/>
  <c r="S20" i="13"/>
  <c r="T20" i="13" s="1"/>
  <c r="Y26" i="13"/>
  <c r="R51" i="13" s="1"/>
  <c r="R55" i="13" s="1"/>
  <c r="R59" i="13" s="1"/>
  <c r="S7" i="13"/>
  <c r="T7" i="13" s="1"/>
  <c r="T22" i="13"/>
  <c r="T9" i="13"/>
  <c r="R86" i="13"/>
  <c r="Y15" i="13"/>
  <c r="Y11" i="13"/>
  <c r="F120" i="13"/>
  <c r="H120" i="13" s="1"/>
  <c r="F122" i="13"/>
  <c r="H122" i="13" s="1"/>
  <c r="E122" i="13"/>
  <c r="D122" i="13"/>
  <c r="CH145" i="13" l="1"/>
  <c r="CG147" i="13"/>
  <c r="CI145" i="13"/>
  <c r="CG148" i="13"/>
  <c r="CH146" i="13"/>
  <c r="CI146" i="13"/>
  <c r="CL104" i="13"/>
  <c r="C4" i="31"/>
  <c r="F11" i="25"/>
  <c r="G11" i="25" s="1"/>
  <c r="H11" i="25"/>
  <c r="I11" i="25" s="1"/>
  <c r="CM119" i="13"/>
  <c r="CM123" i="13"/>
  <c r="CM120" i="13"/>
  <c r="CM124" i="13"/>
  <c r="CM121" i="13"/>
  <c r="CK124" i="13"/>
  <c r="CM122" i="13"/>
  <c r="CK121" i="13"/>
  <c r="CK122" i="13"/>
  <c r="CK119" i="13"/>
  <c r="CK123" i="13"/>
  <c r="CK120" i="13"/>
  <c r="AN27" i="29"/>
  <c r="BB27" i="29" s="1"/>
  <c r="BN27" i="29" s="1"/>
  <c r="AN6" i="29"/>
  <c r="BB6" i="29" s="1"/>
  <c r="BN6" i="29" s="1"/>
  <c r="AL27" i="29"/>
  <c r="AZ27" i="29" s="1"/>
  <c r="BM27" i="29" s="1"/>
  <c r="AL6" i="29"/>
  <c r="AZ6" i="29" s="1"/>
  <c r="BM6" i="29" s="1"/>
  <c r="BY119" i="13"/>
  <c r="BY124" i="13"/>
  <c r="AM36" i="13"/>
  <c r="AF22" i="13" s="1"/>
  <c r="AI22" i="13" s="1"/>
  <c r="AF51" i="13"/>
  <c r="AF55" i="13" s="1"/>
  <c r="AF59" i="13" s="1"/>
  <c r="AF63" i="13" s="1"/>
  <c r="AF66" i="13" s="1"/>
  <c r="AY123" i="13"/>
  <c r="AY119" i="13"/>
  <c r="AY117" i="13"/>
  <c r="AY120" i="13"/>
  <c r="AY122" i="13"/>
  <c r="AY116" i="13"/>
  <c r="BY120" i="13"/>
  <c r="BY121" i="13"/>
  <c r="BY123" i="13"/>
  <c r="BY118" i="13"/>
  <c r="BY122" i="13"/>
  <c r="BL119" i="13"/>
  <c r="BL123" i="13"/>
  <c r="BL120" i="13"/>
  <c r="BL116" i="13"/>
  <c r="BL117" i="13"/>
  <c r="BL121" i="13"/>
  <c r="BL118" i="13"/>
  <c r="BL122" i="13"/>
  <c r="E120" i="13"/>
  <c r="F119" i="13"/>
  <c r="H119" i="13" s="1"/>
  <c r="D120" i="13"/>
  <c r="E119" i="13"/>
  <c r="D119" i="13"/>
  <c r="CG72" i="13"/>
  <c r="CG76" i="13" s="1"/>
  <c r="CG79" i="13" s="1"/>
  <c r="CG93" i="13" s="1"/>
  <c r="BG72" i="13"/>
  <c r="BG76" i="13" s="1"/>
  <c r="BT72" i="13"/>
  <c r="BT76" i="13" s="1"/>
  <c r="AT72" i="13"/>
  <c r="AT76" i="13" s="1"/>
  <c r="AP12" i="13"/>
  <c r="AM22" i="13" s="1"/>
  <c r="AF9" i="13" s="1"/>
  <c r="AM33" i="13"/>
  <c r="AP34" i="13" s="1"/>
  <c r="AF21" i="13" s="1"/>
  <c r="AI21" i="13" s="1"/>
  <c r="AG20" i="13"/>
  <c r="AH20" i="13" s="1"/>
  <c r="AH7" i="13"/>
  <c r="AK104" i="13"/>
  <c r="AK123" i="13"/>
  <c r="AF70" i="13"/>
  <c r="AF67" i="13"/>
  <c r="AI24" i="13"/>
  <c r="AI10" i="13"/>
  <c r="Y36" i="13"/>
  <c r="R22" i="13" s="1"/>
  <c r="U22" i="13" s="1"/>
  <c r="D123" i="13"/>
  <c r="F121" i="13"/>
  <c r="H121" i="13" s="1"/>
  <c r="D121" i="13"/>
  <c r="E123" i="13"/>
  <c r="F123" i="13"/>
  <c r="R10" i="13"/>
  <c r="E121" i="13"/>
  <c r="Y33" i="13"/>
  <c r="R21" i="13" s="1"/>
  <c r="U21" i="13" s="1"/>
  <c r="Y22" i="13"/>
  <c r="Y38" i="13" s="1"/>
  <c r="W104" i="13"/>
  <c r="R69" i="13"/>
  <c r="R63" i="13"/>
  <c r="R66" i="13" s="1"/>
  <c r="R70" i="13"/>
  <c r="R64" i="13"/>
  <c r="R67" i="13" s="1"/>
  <c r="U20" i="13"/>
  <c r="U7" i="13"/>
  <c r="R8" i="13"/>
  <c r="U8" i="13" s="1"/>
  <c r="E104" i="13"/>
  <c r="F104" i="13"/>
  <c r="G104" i="13" s="1"/>
  <c r="E85" i="13"/>
  <c r="E92" i="13" s="1"/>
  <c r="E84" i="13"/>
  <c r="E91" i="13" s="1"/>
  <c r="E83" i="13"/>
  <c r="H157" i="4"/>
  <c r="H156" i="4"/>
  <c r="H155" i="4"/>
  <c r="H139" i="4"/>
  <c r="H136" i="4"/>
  <c r="E52" i="13"/>
  <c r="E56" i="13" s="1"/>
  <c r="E60" i="13" s="1"/>
  <c r="E70" i="13" s="1"/>
  <c r="E51" i="13"/>
  <c r="E55" i="13" s="1"/>
  <c r="E59" i="13" s="1"/>
  <c r="E69" i="13" s="1"/>
  <c r="G22" i="13"/>
  <c r="L36" i="13"/>
  <c r="E22" i="13" s="1"/>
  <c r="H22" i="13" s="1"/>
  <c r="G21" i="13"/>
  <c r="L33" i="13"/>
  <c r="E21" i="13" s="1"/>
  <c r="H21" i="13" s="1"/>
  <c r="F20" i="13"/>
  <c r="H20" i="13" s="1"/>
  <c r="F7" i="13"/>
  <c r="H7" i="13" s="1"/>
  <c r="G8" i="13"/>
  <c r="E86" i="13" s="1"/>
  <c r="G9" i="13"/>
  <c r="H8" i="13"/>
  <c r="L15" i="13"/>
  <c r="C205" i="9"/>
  <c r="C200" i="9"/>
  <c r="C180" i="9"/>
  <c r="C153" i="9"/>
  <c r="C170" i="9"/>
  <c r="C208" i="9"/>
  <c r="C196" i="9"/>
  <c r="C185" i="9"/>
  <c r="I60" i="3"/>
  <c r="AK60" i="3" s="1"/>
  <c r="AO60" i="3" s="1"/>
  <c r="I43" i="3"/>
  <c r="AK43" i="3" s="1"/>
  <c r="AO43" i="3" s="1"/>
  <c r="I44" i="3"/>
  <c r="AK44" i="3" s="1"/>
  <c r="AO44" i="3" s="1"/>
  <c r="I45" i="3"/>
  <c r="AJ45" i="3" s="1"/>
  <c r="I46" i="3"/>
  <c r="AK46" i="3" s="1"/>
  <c r="AO46" i="3" s="1"/>
  <c r="I59" i="3"/>
  <c r="AK59" i="3" s="1"/>
  <c r="AO59" i="3" s="1"/>
  <c r="I50" i="3"/>
  <c r="AK50" i="3" s="1"/>
  <c r="AO50" i="3" s="1"/>
  <c r="I58" i="3"/>
  <c r="AI58" i="3" s="1"/>
  <c r="I57" i="3"/>
  <c r="AK57" i="3" s="1"/>
  <c r="AO57" i="3" s="1"/>
  <c r="I56" i="3"/>
  <c r="AK56" i="3" s="1"/>
  <c r="AO56" i="3" s="1"/>
  <c r="I55" i="3"/>
  <c r="AK55" i="3" s="1"/>
  <c r="AO55" i="3" s="1"/>
  <c r="I54" i="3"/>
  <c r="AI54" i="3" s="1"/>
  <c r="I53" i="3"/>
  <c r="AK53" i="3" s="1"/>
  <c r="AO53" i="3" s="1"/>
  <c r="I52" i="3"/>
  <c r="AK52" i="3" s="1"/>
  <c r="AO52" i="3" s="1"/>
  <c r="I51" i="3"/>
  <c r="AK51" i="3" s="1"/>
  <c r="AO51" i="3" s="1"/>
  <c r="I49" i="3"/>
  <c r="AJ49" i="3" s="1"/>
  <c r="I48" i="3"/>
  <c r="AK48" i="3" s="1"/>
  <c r="AO48" i="3" s="1"/>
  <c r="I47" i="3"/>
  <c r="AJ47" i="3" s="1"/>
  <c r="AJ20" i="3"/>
  <c r="AJ19" i="3"/>
  <c r="C169" i="9"/>
  <c r="C189" i="9"/>
  <c r="C161" i="9"/>
  <c r="Y26" i="3"/>
  <c r="AR17" i="3"/>
  <c r="AR23" i="3" s="1"/>
  <c r="AS17" i="3"/>
  <c r="AS20" i="3" s="1"/>
  <c r="AR6" i="3"/>
  <c r="AS6" i="3" s="1"/>
  <c r="AR7" i="3"/>
  <c r="AT7" i="3" s="1"/>
  <c r="AR8" i="3"/>
  <c r="AS8" i="3" s="1"/>
  <c r="AR9" i="3"/>
  <c r="AS9" i="3" s="1"/>
  <c r="AR10" i="3"/>
  <c r="AS10" i="3" s="1"/>
  <c r="AR11" i="3"/>
  <c r="AT11" i="3" s="1"/>
  <c r="AR5" i="3"/>
  <c r="AS5" i="3" s="1"/>
  <c r="CH147" i="13" l="1"/>
  <c r="CG149" i="13"/>
  <c r="CI147" i="13"/>
  <c r="CI148" i="13"/>
  <c r="CH148" i="13"/>
  <c r="CG150" i="13"/>
  <c r="H104" i="13"/>
  <c r="I35" i="14" s="1"/>
  <c r="CG80" i="13"/>
  <c r="CG94" i="13" s="1"/>
  <c r="AI57" i="3"/>
  <c r="AI53" i="3"/>
  <c r="AI49" i="3"/>
  <c r="AI45" i="3"/>
  <c r="AJ58" i="3"/>
  <c r="AJ54" i="3"/>
  <c r="AJ44" i="3"/>
  <c r="AJ48" i="3"/>
  <c r="AK58" i="3"/>
  <c r="AO58" i="3" s="1"/>
  <c r="AK54" i="3"/>
  <c r="AO54" i="3" s="1"/>
  <c r="AK49" i="3"/>
  <c r="AO49" i="3" s="1"/>
  <c r="AK45" i="3"/>
  <c r="AO45" i="3" s="1"/>
  <c r="AI43" i="3"/>
  <c r="AI56" i="3"/>
  <c r="AI52" i="3"/>
  <c r="AI48" i="3"/>
  <c r="AI44" i="3"/>
  <c r="AJ57" i="3"/>
  <c r="AJ53" i="3"/>
  <c r="AI60" i="3"/>
  <c r="AI59" i="3"/>
  <c r="AI55" i="3"/>
  <c r="AI51" i="3"/>
  <c r="AI47" i="3"/>
  <c r="AJ43" i="3"/>
  <c r="AJ56" i="3"/>
  <c r="AJ52" i="3"/>
  <c r="AJ46" i="3"/>
  <c r="AJ50" i="3"/>
  <c r="AK47" i="3"/>
  <c r="AO47" i="3" s="1"/>
  <c r="AJ60" i="3"/>
  <c r="AI50" i="3"/>
  <c r="AI46" i="3"/>
  <c r="AJ59" i="3"/>
  <c r="AJ55" i="3"/>
  <c r="AJ51" i="3"/>
  <c r="I39" i="14"/>
  <c r="I57" i="14"/>
  <c r="I30" i="14"/>
  <c r="I21" i="14"/>
  <c r="I20" i="14"/>
  <c r="I40" i="14"/>
  <c r="I64" i="14"/>
  <c r="I12" i="14"/>
  <c r="I26" i="14"/>
  <c r="I28" i="14"/>
  <c r="I49" i="14"/>
  <c r="I32" i="14"/>
  <c r="I18" i="14"/>
  <c r="I38" i="14"/>
  <c r="I56" i="14"/>
  <c r="I27" i="14"/>
  <c r="I46" i="14"/>
  <c r="I59" i="14"/>
  <c r="I37" i="14"/>
  <c r="I10" i="14"/>
  <c r="I41" i="14"/>
  <c r="I31" i="14"/>
  <c r="I50" i="14"/>
  <c r="I61" i="14"/>
  <c r="I63" i="14"/>
  <c r="I47" i="14"/>
  <c r="I9" i="14"/>
  <c r="I51" i="14"/>
  <c r="I29" i="14"/>
  <c r="I48" i="14"/>
  <c r="I16" i="14"/>
  <c r="I36" i="14"/>
  <c r="I58" i="14"/>
  <c r="CK118" i="13"/>
  <c r="E118" i="13"/>
  <c r="F118" i="13"/>
  <c r="H118" i="13" s="1"/>
  <c r="I8" i="14" s="1"/>
  <c r="D118" i="13"/>
  <c r="BG79" i="13"/>
  <c r="BG90" i="13"/>
  <c r="CG90" i="13"/>
  <c r="CG96" i="13" s="1"/>
  <c r="BT79" i="13"/>
  <c r="BT90" i="13"/>
  <c r="AT79" i="13"/>
  <c r="AT90" i="13"/>
  <c r="AF8" i="13"/>
  <c r="AI8" i="13" s="1"/>
  <c r="AM38" i="13"/>
  <c r="AM40" i="13" s="1"/>
  <c r="AF23" i="13" s="1"/>
  <c r="AF69" i="13"/>
  <c r="AF72" i="13" s="1"/>
  <c r="AF76" i="13" s="1"/>
  <c r="AI20" i="13"/>
  <c r="AI9" i="13"/>
  <c r="Y40" i="13"/>
  <c r="R23" i="13" s="1"/>
  <c r="G7" i="13"/>
  <c r="E72" i="13"/>
  <c r="E76" i="13" s="1"/>
  <c r="E90" i="13" s="1"/>
  <c r="R9" i="13"/>
  <c r="U9" i="13" s="1"/>
  <c r="R72" i="13"/>
  <c r="R76" i="13" s="1"/>
  <c r="R90" i="13" s="1"/>
  <c r="U10" i="13"/>
  <c r="R24" i="13"/>
  <c r="U24" i="13" s="1"/>
  <c r="G20" i="13"/>
  <c r="E10" i="13"/>
  <c r="L22" i="13"/>
  <c r="E63" i="13"/>
  <c r="E66" i="13" s="1"/>
  <c r="E64" i="13"/>
  <c r="E67" i="13" s="1"/>
  <c r="AT10" i="3"/>
  <c r="AT9" i="3"/>
  <c r="AT6" i="3"/>
  <c r="AS7" i="3"/>
  <c r="AT5" i="3"/>
  <c r="AT8" i="3"/>
  <c r="AS11" i="3"/>
  <c r="CH150" i="13" l="1"/>
  <c r="CG152" i="13"/>
  <c r="CI150" i="13"/>
  <c r="CI149" i="13"/>
  <c r="CH149" i="13"/>
  <c r="CG151" i="13"/>
  <c r="I22" i="14"/>
  <c r="I45" i="14"/>
  <c r="I17" i="14"/>
  <c r="Q10" i="29"/>
  <c r="AB31" i="29" s="1"/>
  <c r="I62" i="14"/>
  <c r="I19" i="14"/>
  <c r="I54" i="14"/>
  <c r="I65" i="14"/>
  <c r="I55" i="14"/>
  <c r="I52" i="14"/>
  <c r="I13" i="14"/>
  <c r="Q5" i="29"/>
  <c r="Q9" i="29"/>
  <c r="I42" i="14"/>
  <c r="Q8" i="29"/>
  <c r="I33" i="14"/>
  <c r="Q7" i="29"/>
  <c r="I23" i="14"/>
  <c r="Q6" i="29"/>
  <c r="U12" i="13"/>
  <c r="CK117" i="13"/>
  <c r="D117" i="13"/>
  <c r="E117" i="13"/>
  <c r="F117" i="13"/>
  <c r="H117" i="13" s="1"/>
  <c r="I7" i="14" s="1"/>
  <c r="AI12" i="13"/>
  <c r="BG80" i="13"/>
  <c r="BG94" i="13" s="1"/>
  <c r="BG93" i="13"/>
  <c r="BT80" i="13"/>
  <c r="BT94" i="13" s="1"/>
  <c r="BT93" i="13"/>
  <c r="AT80" i="13"/>
  <c r="AT94" i="13" s="1"/>
  <c r="AT93" i="13"/>
  <c r="AF90" i="13"/>
  <c r="AF79" i="13"/>
  <c r="E79" i="13"/>
  <c r="E80" i="13" s="1"/>
  <c r="R79" i="13"/>
  <c r="R93" i="13" s="1"/>
  <c r="L38" i="13"/>
  <c r="L40" i="13" s="1"/>
  <c r="E9" i="13"/>
  <c r="H9" i="13" s="1"/>
  <c r="H10" i="13"/>
  <c r="E24" i="13"/>
  <c r="H24" i="13" s="1"/>
  <c r="Y17" i="3"/>
  <c r="T17" i="3" s="1"/>
  <c r="Y18" i="3"/>
  <c r="T18" i="3" s="1"/>
  <c r="Y19" i="3"/>
  <c r="T19" i="3" s="1"/>
  <c r="Y20" i="3"/>
  <c r="T20" i="3" s="1"/>
  <c r="Y21" i="3"/>
  <c r="T21" i="3" s="1"/>
  <c r="Y22" i="3"/>
  <c r="T22" i="3" s="1"/>
  <c r="Y23" i="3"/>
  <c r="T23" i="3" s="1"/>
  <c r="Y24" i="3"/>
  <c r="T24" i="3" s="1"/>
  <c r="Y25" i="3"/>
  <c r="T25" i="3" s="1"/>
  <c r="T26" i="3"/>
  <c r="Y27" i="3"/>
  <c r="T27" i="3" s="1"/>
  <c r="Y28" i="3"/>
  <c r="T28" i="3" s="1"/>
  <c r="Y29" i="3"/>
  <c r="T29" i="3" s="1"/>
  <c r="Y30" i="3"/>
  <c r="T30" i="3" s="1"/>
  <c r="Y31" i="3"/>
  <c r="T31" i="3" s="1"/>
  <c r="Y32" i="3"/>
  <c r="T32" i="3" s="1"/>
  <c r="Y33" i="3"/>
  <c r="T33" i="3" s="1"/>
  <c r="Y34" i="3"/>
  <c r="T34" i="3" s="1"/>
  <c r="Y35" i="3"/>
  <c r="T35" i="3" s="1"/>
  <c r="Y36" i="3"/>
  <c r="T36" i="3" s="1"/>
  <c r="Y37" i="3"/>
  <c r="T37" i="3" s="1"/>
  <c r="Y38" i="3"/>
  <c r="T38" i="3" s="1"/>
  <c r="Y39" i="3"/>
  <c r="T39" i="3" s="1"/>
  <c r="Y40" i="3"/>
  <c r="T40" i="3" s="1"/>
  <c r="Y6" i="3"/>
  <c r="T6" i="3" s="1"/>
  <c r="Y7" i="3"/>
  <c r="T7" i="3" s="1"/>
  <c r="Y8" i="3"/>
  <c r="T8" i="3" s="1"/>
  <c r="Y9" i="3"/>
  <c r="T9" i="3" s="1"/>
  <c r="Y10" i="3"/>
  <c r="T10" i="3" s="1"/>
  <c r="Y11" i="3"/>
  <c r="T11" i="3" s="1"/>
  <c r="Y12" i="3"/>
  <c r="T12" i="3" s="1"/>
  <c r="Y13" i="3"/>
  <c r="T13" i="3" s="1"/>
  <c r="Y14" i="3"/>
  <c r="T14" i="3" s="1"/>
  <c r="Y16" i="3"/>
  <c r="T16" i="3" s="1"/>
  <c r="Y5" i="3"/>
  <c r="T5" i="3" s="1"/>
  <c r="L16" i="3"/>
  <c r="K33" i="3" s="1"/>
  <c r="L5" i="3"/>
  <c r="K9" i="3" s="1"/>
  <c r="Z14" i="3"/>
  <c r="U14" i="3" s="1"/>
  <c r="X20" i="3"/>
  <c r="S20" i="3" s="1"/>
  <c r="AA19" i="3"/>
  <c r="CH151" i="13" l="1"/>
  <c r="CG153" i="13"/>
  <c r="CI151" i="13"/>
  <c r="CG154" i="13"/>
  <c r="CH152" i="13"/>
  <c r="CI152" i="13"/>
  <c r="AB10" i="29"/>
  <c r="I11" i="14"/>
  <c r="Q11" i="29"/>
  <c r="BT96" i="13"/>
  <c r="BT98" i="13" s="1"/>
  <c r="H53" i="14" s="1"/>
  <c r="H60" i="14" s="1"/>
  <c r="H12" i="13"/>
  <c r="G4" i="14" s="1"/>
  <c r="I5" i="29" s="1"/>
  <c r="AB27" i="29"/>
  <c r="AB6" i="29"/>
  <c r="AB29" i="29"/>
  <c r="AB8" i="29"/>
  <c r="AB28" i="29"/>
  <c r="AB7" i="29"/>
  <c r="AB26" i="29"/>
  <c r="AB5" i="29"/>
  <c r="AB30" i="29"/>
  <c r="AB9" i="29"/>
  <c r="G24" i="14"/>
  <c r="I7" i="29" s="1"/>
  <c r="G14" i="14"/>
  <c r="I6" i="29" s="1"/>
  <c r="BG96" i="13"/>
  <c r="BG98" i="13" s="1"/>
  <c r="H44" i="14" s="1"/>
  <c r="CK116" i="13"/>
  <c r="E116" i="13"/>
  <c r="F116" i="13"/>
  <c r="H116" i="13" s="1"/>
  <c r="I6" i="14" s="1"/>
  <c r="D116" i="13"/>
  <c r="AT96" i="13"/>
  <c r="AT98" i="13" s="1"/>
  <c r="H34" i="14" s="1"/>
  <c r="AF80" i="13"/>
  <c r="AF93" i="13"/>
  <c r="E93" i="13"/>
  <c r="R80" i="13"/>
  <c r="Z16" i="3"/>
  <c r="K28" i="3"/>
  <c r="X35" i="3"/>
  <c r="S35" i="3" s="1"/>
  <c r="X40" i="3"/>
  <c r="S40" i="3" s="1"/>
  <c r="X31" i="3"/>
  <c r="S31" i="3" s="1"/>
  <c r="X28" i="3"/>
  <c r="S28" i="3" s="1"/>
  <c r="AA21" i="3"/>
  <c r="V21" i="3" s="1"/>
  <c r="X19" i="3"/>
  <c r="S19" i="3" s="1"/>
  <c r="X16" i="3"/>
  <c r="S16" i="3" s="1"/>
  <c r="X12" i="3"/>
  <c r="S12" i="3" s="1"/>
  <c r="X9" i="3"/>
  <c r="S9" i="3" s="1"/>
  <c r="AA37" i="3"/>
  <c r="V37" i="3" s="1"/>
  <c r="X24" i="3"/>
  <c r="S24" i="3" s="1"/>
  <c r="K12" i="3"/>
  <c r="K7" i="3"/>
  <c r="K38" i="3"/>
  <c r="K6" i="3"/>
  <c r="K10" i="3"/>
  <c r="X5" i="3"/>
  <c r="S5" i="3" s="1"/>
  <c r="X13" i="3"/>
  <c r="S13" i="3" s="1"/>
  <c r="AA10" i="3"/>
  <c r="V10" i="3" s="1"/>
  <c r="X39" i="3"/>
  <c r="S39" i="3" s="1"/>
  <c r="X32" i="3"/>
  <c r="S32" i="3" s="1"/>
  <c r="AA29" i="3"/>
  <c r="V29" i="3" s="1"/>
  <c r="X23" i="3"/>
  <c r="K22" i="3"/>
  <c r="K11" i="3"/>
  <c r="AA6" i="3"/>
  <c r="V6" i="3" s="1"/>
  <c r="AA25" i="3"/>
  <c r="K14" i="3"/>
  <c r="K8" i="3"/>
  <c r="X8" i="3"/>
  <c r="S8" i="3" s="1"/>
  <c r="X36" i="3"/>
  <c r="AA33" i="3"/>
  <c r="X27" i="3"/>
  <c r="S27" i="3" s="1"/>
  <c r="AA17" i="3"/>
  <c r="V17" i="3" s="1"/>
  <c r="X29" i="3"/>
  <c r="S29" i="3" s="1"/>
  <c r="AA27" i="3"/>
  <c r="V27" i="3" s="1"/>
  <c r="X25" i="3"/>
  <c r="S25" i="3" s="1"/>
  <c r="AA23" i="3"/>
  <c r="V23" i="3" s="1"/>
  <c r="X21" i="3"/>
  <c r="S21" i="3" s="1"/>
  <c r="X17" i="3"/>
  <c r="S17" i="3" s="1"/>
  <c r="S36" i="3"/>
  <c r="S23" i="3"/>
  <c r="AA14" i="3"/>
  <c r="V14" i="3" s="1"/>
  <c r="E16" i="3"/>
  <c r="AA5" i="3"/>
  <c r="V5" i="3" s="1"/>
  <c r="V19" i="3"/>
  <c r="V25" i="3"/>
  <c r="K19" i="3"/>
  <c r="K23" i="3"/>
  <c r="K27" i="3"/>
  <c r="K31" i="3"/>
  <c r="K35" i="3"/>
  <c r="K39" i="3"/>
  <c r="K37" i="3"/>
  <c r="K32" i="3"/>
  <c r="K26" i="3"/>
  <c r="K21" i="3"/>
  <c r="AA11" i="3"/>
  <c r="V11" i="3" s="1"/>
  <c r="AA7" i="3"/>
  <c r="V7" i="3" s="1"/>
  <c r="AA38" i="3"/>
  <c r="V38" i="3" s="1"/>
  <c r="AA34" i="3"/>
  <c r="V34" i="3" s="1"/>
  <c r="AA30" i="3"/>
  <c r="V30" i="3" s="1"/>
  <c r="AA26" i="3"/>
  <c r="V26" i="3" s="1"/>
  <c r="AA22" i="3"/>
  <c r="V22" i="3" s="1"/>
  <c r="AA18" i="3"/>
  <c r="V18" i="3" s="1"/>
  <c r="K17" i="3"/>
  <c r="K36" i="3"/>
  <c r="K30" i="3"/>
  <c r="K25" i="3"/>
  <c r="K20" i="3"/>
  <c r="AA12" i="3"/>
  <c r="V12" i="3" s="1"/>
  <c r="X10" i="3"/>
  <c r="S10" i="3" s="1"/>
  <c r="AA8" i="3"/>
  <c r="V8" i="3" s="1"/>
  <c r="X6" i="3"/>
  <c r="S6" i="3" s="1"/>
  <c r="AA39" i="3"/>
  <c r="V39" i="3" s="1"/>
  <c r="X37" i="3"/>
  <c r="S37" i="3" s="1"/>
  <c r="AA35" i="3"/>
  <c r="V35" i="3" s="1"/>
  <c r="X33" i="3"/>
  <c r="S33" i="3" s="1"/>
  <c r="AA31" i="3"/>
  <c r="V31" i="3" s="1"/>
  <c r="U16" i="3"/>
  <c r="Z17" i="3"/>
  <c r="U17" i="3" s="1"/>
  <c r="Z18" i="3"/>
  <c r="U18" i="3" s="1"/>
  <c r="Z19" i="3"/>
  <c r="U19" i="3" s="1"/>
  <c r="Z20" i="3"/>
  <c r="U20" i="3" s="1"/>
  <c r="Z21" i="3"/>
  <c r="U21" i="3" s="1"/>
  <c r="Z22" i="3"/>
  <c r="U22" i="3" s="1"/>
  <c r="Z23" i="3"/>
  <c r="U23" i="3" s="1"/>
  <c r="Z24" i="3"/>
  <c r="U24" i="3" s="1"/>
  <c r="Z25" i="3"/>
  <c r="U25" i="3" s="1"/>
  <c r="Z26" i="3"/>
  <c r="U26" i="3" s="1"/>
  <c r="Z27" i="3"/>
  <c r="U27" i="3" s="1"/>
  <c r="Z28" i="3"/>
  <c r="U28" i="3" s="1"/>
  <c r="Z29" i="3"/>
  <c r="U29" i="3" s="1"/>
  <c r="Z30" i="3"/>
  <c r="U30" i="3" s="1"/>
  <c r="Z31" i="3"/>
  <c r="U31" i="3" s="1"/>
  <c r="Z32" i="3"/>
  <c r="U32" i="3" s="1"/>
  <c r="Z33" i="3"/>
  <c r="U33" i="3" s="1"/>
  <c r="Z34" i="3"/>
  <c r="U34" i="3" s="1"/>
  <c r="Z35" i="3"/>
  <c r="U35" i="3" s="1"/>
  <c r="Z36" i="3"/>
  <c r="U36" i="3" s="1"/>
  <c r="Z37" i="3"/>
  <c r="U37" i="3" s="1"/>
  <c r="Z38" i="3"/>
  <c r="U38" i="3" s="1"/>
  <c r="Z39" i="3"/>
  <c r="U39" i="3" s="1"/>
  <c r="Z40" i="3"/>
  <c r="U40" i="3" s="1"/>
  <c r="Z6" i="3"/>
  <c r="U6" i="3" s="1"/>
  <c r="Z7" i="3"/>
  <c r="U7" i="3" s="1"/>
  <c r="Z8" i="3"/>
  <c r="U8" i="3" s="1"/>
  <c r="Z9" i="3"/>
  <c r="U9" i="3" s="1"/>
  <c r="Z10" i="3"/>
  <c r="U10" i="3" s="1"/>
  <c r="Z11" i="3"/>
  <c r="U11" i="3" s="1"/>
  <c r="Z12" i="3"/>
  <c r="U12" i="3" s="1"/>
  <c r="Z13" i="3"/>
  <c r="U13" i="3" s="1"/>
  <c r="K40" i="3"/>
  <c r="K34" i="3"/>
  <c r="K29" i="3"/>
  <c r="K24" i="3"/>
  <c r="K18" i="3"/>
  <c r="Z5" i="3"/>
  <c r="U5" i="3" s="1"/>
  <c r="AA16" i="3"/>
  <c r="V16" i="3" s="1"/>
  <c r="AA13" i="3"/>
  <c r="V13" i="3" s="1"/>
  <c r="X11" i="3"/>
  <c r="S11" i="3" s="1"/>
  <c r="AA9" i="3"/>
  <c r="V9" i="3" s="1"/>
  <c r="X7" i="3"/>
  <c r="S7" i="3" s="1"/>
  <c r="AA40" i="3"/>
  <c r="V40" i="3" s="1"/>
  <c r="X38" i="3"/>
  <c r="S38" i="3" s="1"/>
  <c r="AA36" i="3"/>
  <c r="V36" i="3" s="1"/>
  <c r="X34" i="3"/>
  <c r="S34" i="3" s="1"/>
  <c r="AA32" i="3"/>
  <c r="V32" i="3" s="1"/>
  <c r="X30" i="3"/>
  <c r="S30" i="3" s="1"/>
  <c r="AA28" i="3"/>
  <c r="V28" i="3" s="1"/>
  <c r="X26" i="3"/>
  <c r="S26" i="3" s="1"/>
  <c r="AA24" i="3"/>
  <c r="V24" i="3" s="1"/>
  <c r="X22" i="3"/>
  <c r="S22" i="3" s="1"/>
  <c r="AA20" i="3"/>
  <c r="V20" i="3" s="1"/>
  <c r="X18" i="3"/>
  <c r="S18" i="3" s="1"/>
  <c r="V33" i="3"/>
  <c r="K13" i="3"/>
  <c r="AN6" i="3"/>
  <c r="CG156" i="13" l="1"/>
  <c r="CI154" i="13"/>
  <c r="CH154" i="13"/>
  <c r="CH153" i="13"/>
  <c r="CG155" i="13"/>
  <c r="CI153" i="13"/>
  <c r="AB32" i="29"/>
  <c r="AB11" i="29"/>
  <c r="AP28" i="29"/>
  <c r="BD28" i="29" s="1"/>
  <c r="BO28" i="29" s="1"/>
  <c r="AP7" i="29"/>
  <c r="BD7" i="29" s="1"/>
  <c r="BO7" i="29" s="1"/>
  <c r="BU7" i="29" s="1"/>
  <c r="AP27" i="29"/>
  <c r="BD27" i="29" s="1"/>
  <c r="BO27" i="29" s="1"/>
  <c r="AP6" i="29"/>
  <c r="BD6" i="29" s="1"/>
  <c r="BO6" i="29" s="1"/>
  <c r="BU6" i="29" s="1"/>
  <c r="AP26" i="29"/>
  <c r="BD26" i="29" s="1"/>
  <c r="BO26" i="29" s="1"/>
  <c r="AP5" i="29"/>
  <c r="BD5" i="29" s="1"/>
  <c r="BO5" i="29" s="1"/>
  <c r="BU5" i="29" s="1"/>
  <c r="AO6" i="3"/>
  <c r="AT17" i="3"/>
  <c r="AU17" i="3"/>
  <c r="AV17" i="3"/>
  <c r="AW17" i="3"/>
  <c r="AX17" i="3"/>
  <c r="AJ7" i="3"/>
  <c r="CI155" i="13" l="1"/>
  <c r="CH155" i="13"/>
  <c r="CG157" i="13"/>
  <c r="CH156" i="13"/>
  <c r="CI156" i="13"/>
  <c r="CG158" i="13"/>
  <c r="AV24" i="3"/>
  <c r="AS23" i="3"/>
  <c r="AV23" i="3"/>
  <c r="AR18" i="3"/>
  <c r="AR19" i="3" s="1"/>
  <c r="AR20" i="3"/>
  <c r="AX18" i="3"/>
  <c r="AX19" i="3" s="1"/>
  <c r="AX20" i="3"/>
  <c r="AW18" i="3"/>
  <c r="AW19" i="3" s="1"/>
  <c r="AW20" i="3"/>
  <c r="AV18" i="3"/>
  <c r="AV19" i="3" s="1"/>
  <c r="AV20" i="3"/>
  <c r="AT18" i="3"/>
  <c r="AT19" i="3" s="1"/>
  <c r="AT20" i="3"/>
  <c r="AU18" i="3"/>
  <c r="AU19" i="3" s="1"/>
  <c r="AU20" i="3"/>
  <c r="AS18" i="3"/>
  <c r="AS19" i="3" s="1"/>
  <c r="AU23" i="3"/>
  <c r="AU24" i="3"/>
  <c r="AT23" i="3"/>
  <c r="AT24" i="3"/>
  <c r="AR24" i="3"/>
  <c r="AS24" i="3"/>
  <c r="AX23" i="3"/>
  <c r="AX24" i="3"/>
  <c r="AW23" i="3"/>
  <c r="AW24" i="3"/>
  <c r="DQ121" i="4"/>
  <c r="DR121" i="4" s="1"/>
  <c r="DS121" i="4" s="1"/>
  <c r="DT121" i="4" s="1"/>
  <c r="DU121" i="4" s="1"/>
  <c r="DV121" i="4" s="1"/>
  <c r="DW121" i="4" s="1"/>
  <c r="DX121" i="4" s="1"/>
  <c r="DY121" i="4" s="1"/>
  <c r="DZ121" i="4" s="1"/>
  <c r="DD121" i="4"/>
  <c r="DE121" i="4" s="1"/>
  <c r="DF121" i="4" s="1"/>
  <c r="DG121" i="4" s="1"/>
  <c r="DH121" i="4" s="1"/>
  <c r="DI121" i="4" s="1"/>
  <c r="DJ121" i="4" s="1"/>
  <c r="DK121" i="4" s="1"/>
  <c r="DL121" i="4" s="1"/>
  <c r="DM121" i="4" s="1"/>
  <c r="CQ121" i="4"/>
  <c r="CR121" i="4" s="1"/>
  <c r="CS121" i="4" s="1"/>
  <c r="CT121" i="4" s="1"/>
  <c r="CU121" i="4" s="1"/>
  <c r="CV121" i="4" s="1"/>
  <c r="CW121" i="4" s="1"/>
  <c r="CX121" i="4" s="1"/>
  <c r="CY121" i="4" s="1"/>
  <c r="CZ121" i="4" s="1"/>
  <c r="CC121" i="4"/>
  <c r="CD121" i="4" s="1"/>
  <c r="CE121" i="4" s="1"/>
  <c r="CF121" i="4" s="1"/>
  <c r="CG121" i="4" s="1"/>
  <c r="CH121" i="4" s="1"/>
  <c r="CI121" i="4" s="1"/>
  <c r="CJ121" i="4" s="1"/>
  <c r="CK121" i="4" s="1"/>
  <c r="CL121" i="4" s="1"/>
  <c r="BM121" i="4"/>
  <c r="BN121" i="4" s="1"/>
  <c r="BO121" i="4" s="1"/>
  <c r="BP121" i="4" s="1"/>
  <c r="BQ121" i="4" s="1"/>
  <c r="BR121" i="4" s="1"/>
  <c r="BS121" i="4" s="1"/>
  <c r="BT121" i="4" s="1"/>
  <c r="BU121" i="4" s="1"/>
  <c r="BV121" i="4" s="1"/>
  <c r="AW121" i="4"/>
  <c r="AX121" i="4" s="1"/>
  <c r="AY121" i="4" s="1"/>
  <c r="AZ121" i="4" s="1"/>
  <c r="BA121" i="4" s="1"/>
  <c r="BB121" i="4" s="1"/>
  <c r="BC121" i="4" s="1"/>
  <c r="BD121" i="4" s="1"/>
  <c r="BE121" i="4" s="1"/>
  <c r="BF121" i="4" s="1"/>
  <c r="DB188" i="4"/>
  <c r="DB187" i="4"/>
  <c r="DE186" i="4"/>
  <c r="DD186" i="4"/>
  <c r="DC186" i="4"/>
  <c r="DB185" i="4"/>
  <c r="DE184" i="4"/>
  <c r="DD184" i="4"/>
  <c r="DC184" i="4"/>
  <c r="DE183" i="4"/>
  <c r="DD183" i="4"/>
  <c r="DC183" i="4"/>
  <c r="DD182" i="4"/>
  <c r="DC182" i="4"/>
  <c r="CO188" i="4"/>
  <c r="CO187" i="4"/>
  <c r="CR186" i="4"/>
  <c r="CQ186" i="4"/>
  <c r="CP186" i="4"/>
  <c r="CO185" i="4"/>
  <c r="CR184" i="4"/>
  <c r="CQ184" i="4"/>
  <c r="CP184" i="4"/>
  <c r="CR183" i="4"/>
  <c r="CQ183" i="4"/>
  <c r="CP183" i="4"/>
  <c r="CR182" i="4"/>
  <c r="CQ182" i="4"/>
  <c r="CP182" i="4"/>
  <c r="CA188" i="4"/>
  <c r="CA187" i="4"/>
  <c r="CD186" i="4"/>
  <c r="CC186" i="4"/>
  <c r="CB186" i="4"/>
  <c r="CA185" i="4"/>
  <c r="CD184" i="4"/>
  <c r="CG184" i="4" s="1"/>
  <c r="CC184" i="4"/>
  <c r="CB184" i="4"/>
  <c r="CD183" i="4"/>
  <c r="CC183" i="4"/>
  <c r="CB183" i="4"/>
  <c r="CD182" i="4"/>
  <c r="CG182" i="4" s="1"/>
  <c r="CC182" i="4"/>
  <c r="CB182" i="4"/>
  <c r="BL188" i="4"/>
  <c r="BL187" i="4"/>
  <c r="BO186" i="4"/>
  <c r="BN186" i="4"/>
  <c r="BM186" i="4"/>
  <c r="BL185" i="4"/>
  <c r="BO184" i="4"/>
  <c r="BN184" i="4"/>
  <c r="BM184" i="4"/>
  <c r="BO183" i="4"/>
  <c r="BN183" i="4"/>
  <c r="BM183" i="4"/>
  <c r="BO182" i="4"/>
  <c r="BN182" i="4"/>
  <c r="BM182" i="4"/>
  <c r="AJ188" i="4"/>
  <c r="AJ187" i="4"/>
  <c r="AM186" i="4"/>
  <c r="AL186" i="4"/>
  <c r="AK186" i="4"/>
  <c r="AJ185" i="4"/>
  <c r="AM184" i="4"/>
  <c r="AL184" i="4"/>
  <c r="AK184" i="4"/>
  <c r="AM183" i="4"/>
  <c r="AL183" i="4"/>
  <c r="AK183" i="4"/>
  <c r="AM182" i="4"/>
  <c r="AL182" i="4"/>
  <c r="AK182" i="4"/>
  <c r="CB188" i="4"/>
  <c r="G187" i="4"/>
  <c r="DE187" i="4" s="1"/>
  <c r="H182" i="4"/>
  <c r="I182" i="4"/>
  <c r="J182" i="4"/>
  <c r="I184" i="4"/>
  <c r="J184" i="4"/>
  <c r="I183" i="4"/>
  <c r="J183" i="4"/>
  <c r="H183" i="4"/>
  <c r="H184" i="4"/>
  <c r="I186" i="4"/>
  <c r="J186" i="4"/>
  <c r="H186" i="4"/>
  <c r="G185" i="4"/>
  <c r="DD185" i="4" s="1"/>
  <c r="DY177" i="4"/>
  <c r="DZ177" i="4" s="1"/>
  <c r="CC177" i="4"/>
  <c r="CD177" i="4" s="1"/>
  <c r="CQ178" i="4"/>
  <c r="CR178" i="4" s="1"/>
  <c r="CS178" i="4" s="1"/>
  <c r="DY178" i="4"/>
  <c r="DZ178" i="4" s="1"/>
  <c r="EA178" i="4" s="1"/>
  <c r="DQ178" i="4"/>
  <c r="DR178" i="4" s="1"/>
  <c r="DS178" i="4" s="1"/>
  <c r="DD178" i="4"/>
  <c r="DE178" i="4" s="1"/>
  <c r="DF178" i="4" s="1"/>
  <c r="DQ177" i="4"/>
  <c r="DR177" i="4" s="1"/>
  <c r="DD177" i="4"/>
  <c r="DE177" i="4" s="1"/>
  <c r="CQ177" i="4"/>
  <c r="CR177" i="4" s="1"/>
  <c r="AL177" i="4"/>
  <c r="AM177" i="4" s="1"/>
  <c r="I177" i="4"/>
  <c r="J177" i="4" s="1"/>
  <c r="DZ119" i="4"/>
  <c r="DZ128" i="4" s="1"/>
  <c r="DZ132" i="4" s="1"/>
  <c r="DZ136" i="4" s="1"/>
  <c r="DZ139" i="4" s="1"/>
  <c r="DY119" i="4"/>
  <c r="DY128" i="4" s="1"/>
  <c r="DY132" i="4" s="1"/>
  <c r="DX119" i="4"/>
  <c r="DX128" i="4" s="1"/>
  <c r="DX132" i="4" s="1"/>
  <c r="DW119" i="4"/>
  <c r="DW128" i="4" s="1"/>
  <c r="DW132" i="4" s="1"/>
  <c r="DV119" i="4"/>
  <c r="DV128" i="4" s="1"/>
  <c r="DV132" i="4" s="1"/>
  <c r="DU119" i="4"/>
  <c r="DU128" i="4" s="1"/>
  <c r="DU132" i="4" s="1"/>
  <c r="DT119" i="4"/>
  <c r="DT128" i="4" s="1"/>
  <c r="DT132" i="4" s="1"/>
  <c r="DS119" i="4"/>
  <c r="DS128" i="4" s="1"/>
  <c r="DS132" i="4" s="1"/>
  <c r="DR119" i="4"/>
  <c r="DR128" i="4" s="1"/>
  <c r="DR132" i="4" s="1"/>
  <c r="DR136" i="4" s="1"/>
  <c r="DR139" i="4" s="1"/>
  <c r="DQ119" i="4"/>
  <c r="DQ128" i="4" s="1"/>
  <c r="DQ132" i="4" s="1"/>
  <c r="DZ115" i="4"/>
  <c r="DY115" i="4"/>
  <c r="DX115" i="4"/>
  <c r="DW115" i="4"/>
  <c r="DV115" i="4"/>
  <c r="DU115" i="4"/>
  <c r="DT115" i="4"/>
  <c r="DS115" i="4"/>
  <c r="DR115" i="4"/>
  <c r="DQ115" i="4"/>
  <c r="DZ95" i="4"/>
  <c r="DY95" i="4"/>
  <c r="DX95" i="4"/>
  <c r="DW95" i="4"/>
  <c r="DV95" i="4"/>
  <c r="DU95" i="4"/>
  <c r="DT95" i="4"/>
  <c r="DS95" i="4"/>
  <c r="DR95" i="4"/>
  <c r="DQ95" i="4"/>
  <c r="DZ67" i="4"/>
  <c r="DY67" i="4"/>
  <c r="DY71" i="4" s="1"/>
  <c r="DY118" i="4" s="1"/>
  <c r="DX67" i="4"/>
  <c r="DX71" i="4" s="1"/>
  <c r="DX75" i="4" s="1"/>
  <c r="DX90" i="4" s="1"/>
  <c r="DW67" i="4"/>
  <c r="DW71" i="4" s="1"/>
  <c r="DV67" i="4"/>
  <c r="DV71" i="4" s="1"/>
  <c r="DV75" i="4" s="1"/>
  <c r="DV90" i="4" s="1"/>
  <c r="DU67" i="4"/>
  <c r="DU71" i="4" s="1"/>
  <c r="DT67" i="4"/>
  <c r="DT71" i="4" s="1"/>
  <c r="DS67" i="4"/>
  <c r="DS71" i="4" s="1"/>
  <c r="DR67" i="4"/>
  <c r="DR71" i="4" s="1"/>
  <c r="DR75" i="4" s="1"/>
  <c r="DR90" i="4" s="1"/>
  <c r="DQ67" i="4"/>
  <c r="DQ71" i="4" s="1"/>
  <c r="DQ118" i="4" s="1"/>
  <c r="DM119" i="4"/>
  <c r="DM128" i="4" s="1"/>
  <c r="DM132" i="4" s="1"/>
  <c r="DM142" i="4" s="1"/>
  <c r="DL119" i="4"/>
  <c r="DL128" i="4" s="1"/>
  <c r="DL132" i="4" s="1"/>
  <c r="DK119" i="4"/>
  <c r="DK128" i="4" s="1"/>
  <c r="DK132" i="4" s="1"/>
  <c r="DJ119" i="4"/>
  <c r="DJ128" i="4" s="1"/>
  <c r="DJ132" i="4" s="1"/>
  <c r="DI119" i="4"/>
  <c r="DI128" i="4" s="1"/>
  <c r="DI132" i="4" s="1"/>
  <c r="DH119" i="4"/>
  <c r="DH128" i="4" s="1"/>
  <c r="DH132" i="4" s="1"/>
  <c r="DG119" i="4"/>
  <c r="DG128" i="4" s="1"/>
  <c r="DG132" i="4" s="1"/>
  <c r="DF119" i="4"/>
  <c r="DF128" i="4" s="1"/>
  <c r="DF132" i="4" s="1"/>
  <c r="DE119" i="4"/>
  <c r="DE128" i="4" s="1"/>
  <c r="DE132" i="4" s="1"/>
  <c r="DE136" i="4" s="1"/>
  <c r="DE139" i="4" s="1"/>
  <c r="DD119" i="4"/>
  <c r="DD128" i="4" s="1"/>
  <c r="DD132" i="4" s="1"/>
  <c r="DM115" i="4"/>
  <c r="DL115" i="4"/>
  <c r="DK115" i="4"/>
  <c r="DJ115" i="4"/>
  <c r="DI115" i="4"/>
  <c r="DH115" i="4"/>
  <c r="DG115" i="4"/>
  <c r="DF115" i="4"/>
  <c r="DE115" i="4"/>
  <c r="DD115" i="4"/>
  <c r="DM95" i="4"/>
  <c r="DL95" i="4"/>
  <c r="DK95" i="4"/>
  <c r="DJ95" i="4"/>
  <c r="DI95" i="4"/>
  <c r="DH95" i="4"/>
  <c r="DG95" i="4"/>
  <c r="DF95" i="4"/>
  <c r="DE95" i="4"/>
  <c r="DD95" i="4"/>
  <c r="DM67" i="4"/>
  <c r="DL67" i="4"/>
  <c r="DL71" i="4" s="1"/>
  <c r="DL118" i="4" s="1"/>
  <c r="DK67" i="4"/>
  <c r="DK71" i="4" s="1"/>
  <c r="DJ67" i="4"/>
  <c r="DJ71" i="4" s="1"/>
  <c r="DI67" i="4"/>
  <c r="DI71" i="4" s="1"/>
  <c r="DH67" i="4"/>
  <c r="DH71" i="4" s="1"/>
  <c r="DH75" i="4" s="1"/>
  <c r="DH90" i="4" s="1"/>
  <c r="DG67" i="4"/>
  <c r="DG71" i="4" s="1"/>
  <c r="DF67" i="4"/>
  <c r="DF71" i="4" s="1"/>
  <c r="DE67" i="4"/>
  <c r="DE71" i="4" s="1"/>
  <c r="DE75" i="4" s="1"/>
  <c r="DE90" i="4" s="1"/>
  <c r="DD67" i="4"/>
  <c r="DD71" i="4" s="1"/>
  <c r="DD118" i="4" s="1"/>
  <c r="CZ119" i="4"/>
  <c r="CZ128" i="4" s="1"/>
  <c r="CZ132" i="4" s="1"/>
  <c r="CY119" i="4"/>
  <c r="CY128" i="4" s="1"/>
  <c r="CY132" i="4" s="1"/>
  <c r="CX119" i="4"/>
  <c r="CX128" i="4" s="1"/>
  <c r="CX132" i="4" s="1"/>
  <c r="CW119" i="4"/>
  <c r="CW128" i="4" s="1"/>
  <c r="CW132" i="4" s="1"/>
  <c r="CV119" i="4"/>
  <c r="CV128" i="4" s="1"/>
  <c r="CV132" i="4" s="1"/>
  <c r="CU119" i="4"/>
  <c r="CU128" i="4" s="1"/>
  <c r="CU132" i="4" s="1"/>
  <c r="CT119" i="4"/>
  <c r="CT128" i="4" s="1"/>
  <c r="CT132" i="4" s="1"/>
  <c r="CS119" i="4"/>
  <c r="CS128" i="4" s="1"/>
  <c r="CS132" i="4" s="1"/>
  <c r="CR119" i="4"/>
  <c r="CR128" i="4" s="1"/>
  <c r="CR132" i="4" s="1"/>
  <c r="CQ119" i="4"/>
  <c r="CQ128" i="4" s="1"/>
  <c r="CQ132" i="4" s="1"/>
  <c r="CZ115" i="4"/>
  <c r="CY115" i="4"/>
  <c r="CX115" i="4"/>
  <c r="CW115" i="4"/>
  <c r="CV115" i="4"/>
  <c r="CU115" i="4"/>
  <c r="CT115" i="4"/>
  <c r="CS115" i="4"/>
  <c r="CR115" i="4"/>
  <c r="CQ115" i="4"/>
  <c r="CZ95" i="4"/>
  <c r="CY95" i="4"/>
  <c r="CX95" i="4"/>
  <c r="CW95" i="4"/>
  <c r="CV95" i="4"/>
  <c r="CU95" i="4"/>
  <c r="CT95" i="4"/>
  <c r="CS95" i="4"/>
  <c r="CR95" i="4"/>
  <c r="CZ67" i="4"/>
  <c r="CZ71" i="4" s="1"/>
  <c r="CZ75" i="4" s="1"/>
  <c r="CZ90" i="4" s="1"/>
  <c r="CY67" i="4"/>
  <c r="CY71" i="4" s="1"/>
  <c r="CY118" i="4" s="1"/>
  <c r="CX67" i="4"/>
  <c r="CX71" i="4" s="1"/>
  <c r="CW67" i="4"/>
  <c r="CW71" i="4" s="1"/>
  <c r="CW75" i="4" s="1"/>
  <c r="CW90" i="4" s="1"/>
  <c r="CV67" i="4"/>
  <c r="CV71" i="4" s="1"/>
  <c r="CU67" i="4"/>
  <c r="CU71" i="4" s="1"/>
  <c r="CT67" i="4"/>
  <c r="CT71" i="4" s="1"/>
  <c r="CS67" i="4"/>
  <c r="CS71" i="4" s="1"/>
  <c r="CR67" i="4"/>
  <c r="CR71" i="4" s="1"/>
  <c r="CR75" i="4" s="1"/>
  <c r="CR90" i="4" s="1"/>
  <c r="CQ67" i="4"/>
  <c r="CQ71" i="4" s="1"/>
  <c r="CQ118" i="4" s="1"/>
  <c r="CL119" i="4"/>
  <c r="CL128" i="4" s="1"/>
  <c r="CL132" i="4" s="1"/>
  <c r="CK119" i="4"/>
  <c r="CK128" i="4" s="1"/>
  <c r="CK132" i="4" s="1"/>
  <c r="CJ119" i="4"/>
  <c r="CJ128" i="4" s="1"/>
  <c r="CJ132" i="4" s="1"/>
  <c r="CI119" i="4"/>
  <c r="CI128" i="4" s="1"/>
  <c r="CI132" i="4" s="1"/>
  <c r="CH119" i="4"/>
  <c r="CH128" i="4" s="1"/>
  <c r="CH132" i="4" s="1"/>
  <c r="CG119" i="4"/>
  <c r="CG128" i="4" s="1"/>
  <c r="CG132" i="4" s="1"/>
  <c r="CF119" i="4"/>
  <c r="CF128" i="4" s="1"/>
  <c r="CF132" i="4" s="1"/>
  <c r="CE119" i="4"/>
  <c r="CE128" i="4" s="1"/>
  <c r="CE132" i="4" s="1"/>
  <c r="CD119" i="4"/>
  <c r="CD128" i="4" s="1"/>
  <c r="CD132" i="4" s="1"/>
  <c r="CC119" i="4"/>
  <c r="CC128" i="4" s="1"/>
  <c r="CC132" i="4" s="1"/>
  <c r="CL115" i="4"/>
  <c r="CK115" i="4"/>
  <c r="CJ115" i="4"/>
  <c r="CI115" i="4"/>
  <c r="CH115" i="4"/>
  <c r="CG115" i="4"/>
  <c r="CF115" i="4"/>
  <c r="CE115" i="4"/>
  <c r="CD115" i="4"/>
  <c r="CC115" i="4"/>
  <c r="CL95" i="4"/>
  <c r="CK95" i="4"/>
  <c r="CJ95" i="4"/>
  <c r="CI95" i="4"/>
  <c r="CH95" i="4"/>
  <c r="CG95" i="4"/>
  <c r="CF95" i="4"/>
  <c r="CE95" i="4"/>
  <c r="CD95" i="4"/>
  <c r="CC95" i="4"/>
  <c r="CL67" i="4"/>
  <c r="CL71" i="4" s="1"/>
  <c r="CL75" i="4" s="1"/>
  <c r="CL90" i="4" s="1"/>
  <c r="CK67" i="4"/>
  <c r="CK71" i="4" s="1"/>
  <c r="CK75" i="4" s="1"/>
  <c r="CK90" i="4" s="1"/>
  <c r="CJ67" i="4"/>
  <c r="CJ71" i="4" s="1"/>
  <c r="CI67" i="4"/>
  <c r="CI71" i="4" s="1"/>
  <c r="CH67" i="4"/>
  <c r="CH71" i="4" s="1"/>
  <c r="CG67" i="4"/>
  <c r="CG71" i="4" s="1"/>
  <c r="CF67" i="4"/>
  <c r="CF71" i="4" s="1"/>
  <c r="CE67" i="4"/>
  <c r="CE71" i="4" s="1"/>
  <c r="CD67" i="4"/>
  <c r="CD71" i="4" s="1"/>
  <c r="CD75" i="4" s="1"/>
  <c r="CD90" i="4" s="1"/>
  <c r="CC67" i="4"/>
  <c r="CC71" i="4" s="1"/>
  <c r="CC75" i="4" s="1"/>
  <c r="CC90" i="4" s="1"/>
  <c r="BV119" i="4"/>
  <c r="BV128" i="4" s="1"/>
  <c r="BV132" i="4" s="1"/>
  <c r="BU119" i="4"/>
  <c r="BU128" i="4" s="1"/>
  <c r="BU132" i="4" s="1"/>
  <c r="BU142" i="4" s="1"/>
  <c r="BT119" i="4"/>
  <c r="BT128" i="4" s="1"/>
  <c r="BT132" i="4" s="1"/>
  <c r="BS119" i="4"/>
  <c r="BS128" i="4" s="1"/>
  <c r="BS132" i="4" s="1"/>
  <c r="BR119" i="4"/>
  <c r="BR128" i="4" s="1"/>
  <c r="BR132" i="4" s="1"/>
  <c r="BQ119" i="4"/>
  <c r="BQ128" i="4" s="1"/>
  <c r="BQ132" i="4" s="1"/>
  <c r="BP119" i="4"/>
  <c r="BP128" i="4" s="1"/>
  <c r="BP132" i="4" s="1"/>
  <c r="BO119" i="4"/>
  <c r="BO128" i="4" s="1"/>
  <c r="BO132" i="4" s="1"/>
  <c r="BN119" i="4"/>
  <c r="BN128" i="4" s="1"/>
  <c r="BN132" i="4" s="1"/>
  <c r="BM119" i="4"/>
  <c r="BM128" i="4" s="1"/>
  <c r="BM132" i="4" s="1"/>
  <c r="BM142" i="4" s="1"/>
  <c r="BV115" i="4"/>
  <c r="BU115" i="4"/>
  <c r="BT115" i="4"/>
  <c r="BS115" i="4"/>
  <c r="BR115" i="4"/>
  <c r="BQ115" i="4"/>
  <c r="BP115" i="4"/>
  <c r="BO115" i="4"/>
  <c r="BN115" i="4"/>
  <c r="BM115" i="4"/>
  <c r="BV95" i="4"/>
  <c r="BU95" i="4"/>
  <c r="BT95" i="4"/>
  <c r="BS95" i="4"/>
  <c r="BR95" i="4"/>
  <c r="BQ95" i="4"/>
  <c r="BP95" i="4"/>
  <c r="BO95" i="4"/>
  <c r="BN95" i="4"/>
  <c r="BM95" i="4"/>
  <c r="BV67" i="4"/>
  <c r="BV71" i="4" s="1"/>
  <c r="BU67" i="4"/>
  <c r="BU71" i="4" s="1"/>
  <c r="BU118" i="4" s="1"/>
  <c r="BT67" i="4"/>
  <c r="BT71" i="4" s="1"/>
  <c r="BS67" i="4"/>
  <c r="BS71" i="4" s="1"/>
  <c r="BS118" i="4" s="1"/>
  <c r="BR67" i="4"/>
  <c r="BR71" i="4" s="1"/>
  <c r="BQ67" i="4"/>
  <c r="BQ71" i="4" s="1"/>
  <c r="BP67" i="4"/>
  <c r="BP71" i="4" s="1"/>
  <c r="BP118" i="4" s="1"/>
  <c r="BO67" i="4"/>
  <c r="BO71" i="4" s="1"/>
  <c r="BN67" i="4"/>
  <c r="BN71" i="4" s="1"/>
  <c r="BM67" i="4"/>
  <c r="BM71" i="4" s="1"/>
  <c r="DR50" i="4"/>
  <c r="DS50" i="4" s="1"/>
  <c r="DT50" i="4" s="1"/>
  <c r="DZ41" i="4"/>
  <c r="DQ36" i="4" s="1"/>
  <c r="DQ37" i="4" s="1"/>
  <c r="DZ43" i="4"/>
  <c r="DQ52" i="4" s="1"/>
  <c r="DR35" i="4"/>
  <c r="DS35" i="4" s="1"/>
  <c r="DT35" i="4" s="1"/>
  <c r="DR20" i="4"/>
  <c r="DS20" i="4" s="1"/>
  <c r="DT20" i="4" s="1"/>
  <c r="DZ13" i="4"/>
  <c r="DQ7" i="4" s="1"/>
  <c r="DZ11" i="4"/>
  <c r="DQ8" i="4" s="1"/>
  <c r="DR5" i="4"/>
  <c r="DS5" i="4" s="1"/>
  <c r="DT5" i="4" s="1"/>
  <c r="D102" i="9"/>
  <c r="D98" i="9"/>
  <c r="DE20" i="4"/>
  <c r="DF20" i="4" s="1"/>
  <c r="DG20" i="4" s="1"/>
  <c r="DE5" i="4"/>
  <c r="DF5" i="4" s="1"/>
  <c r="DG5" i="4" s="1"/>
  <c r="DD21" i="4"/>
  <c r="DD7" i="4"/>
  <c r="CR20" i="4"/>
  <c r="CS20" i="4" s="1"/>
  <c r="CT20" i="4" s="1"/>
  <c r="CR5" i="4"/>
  <c r="CS5" i="4" s="1"/>
  <c r="CT5" i="4" s="1"/>
  <c r="CZ13" i="4"/>
  <c r="CQ7" i="4" s="1"/>
  <c r="CZ11" i="4"/>
  <c r="CQ21" i="4" s="1"/>
  <c r="CQ22" i="4" s="1"/>
  <c r="CM12" i="4"/>
  <c r="CC7" i="4" s="1"/>
  <c r="CC8" i="4" s="1"/>
  <c r="CD20" i="4"/>
  <c r="CE20" i="4" s="1"/>
  <c r="CF20" i="4" s="1"/>
  <c r="C11" i="1"/>
  <c r="CD6" i="4" s="1"/>
  <c r="CE6" i="4" s="1"/>
  <c r="CF6" i="4" s="1"/>
  <c r="D82" i="9"/>
  <c r="I93" i="4"/>
  <c r="BW26" i="4"/>
  <c r="BW27" i="4" s="1"/>
  <c r="BW34" i="4" s="1"/>
  <c r="BM23" i="4" s="1"/>
  <c r="C51" i="1"/>
  <c r="C52" i="1" s="1"/>
  <c r="C53" i="1" s="1"/>
  <c r="CI157" i="13" l="1"/>
  <c r="CG159" i="13"/>
  <c r="CH157" i="13"/>
  <c r="CH158" i="13"/>
  <c r="CG160" i="13"/>
  <c r="CI158" i="13"/>
  <c r="GO19" i="13"/>
  <c r="GP19" i="13" s="1"/>
  <c r="GQ19" i="13" s="1"/>
  <c r="GO9" i="13"/>
  <c r="GP9" i="13" s="1"/>
  <c r="GQ9" i="13" s="1"/>
  <c r="GA19" i="13"/>
  <c r="GB19" i="13" s="1"/>
  <c r="GC19" i="13" s="1"/>
  <c r="GA9" i="13"/>
  <c r="GB9" i="13" s="1"/>
  <c r="GC9" i="13" s="1"/>
  <c r="FM9" i="13"/>
  <c r="FN9" i="13" s="1"/>
  <c r="FO9" i="13" s="1"/>
  <c r="DI9" i="13"/>
  <c r="DJ9" i="13" s="1"/>
  <c r="DK9" i="13" s="1"/>
  <c r="DK23" i="13" s="1"/>
  <c r="GK23" i="12"/>
  <c r="GL23" i="12" s="1"/>
  <c r="GM23" i="12" s="1"/>
  <c r="GM27" i="12" s="1"/>
  <c r="FM19" i="13"/>
  <c r="FN19" i="13" s="1"/>
  <c r="FO19" i="13" s="1"/>
  <c r="EY19" i="13"/>
  <c r="EZ19" i="13" s="1"/>
  <c r="FA19" i="13" s="1"/>
  <c r="EK19" i="13"/>
  <c r="EL19" i="13" s="1"/>
  <c r="EM19" i="13" s="1"/>
  <c r="DW19" i="13"/>
  <c r="DX19" i="13" s="1"/>
  <c r="DY19" i="13" s="1"/>
  <c r="EY9" i="13"/>
  <c r="EZ9" i="13" s="1"/>
  <c r="FA9" i="13" s="1"/>
  <c r="EK9" i="13"/>
  <c r="EL9" i="13" s="1"/>
  <c r="EM9" i="13" s="1"/>
  <c r="CU9" i="13"/>
  <c r="CV9" i="13" s="1"/>
  <c r="GY13" i="12"/>
  <c r="GZ13" i="12" s="1"/>
  <c r="HA13" i="12" s="1"/>
  <c r="HA16" i="12" s="1"/>
  <c r="HA31" i="12" s="1"/>
  <c r="V276" i="10" s="1"/>
  <c r="DW9" i="13"/>
  <c r="DX9" i="13" s="1"/>
  <c r="DY9" i="13" s="1"/>
  <c r="FI13" i="12"/>
  <c r="FJ13" i="12" s="1"/>
  <c r="FK13" i="12" s="1"/>
  <c r="FK16" i="12" s="1"/>
  <c r="FK18" i="12" s="1"/>
  <c r="V219" i="10" s="1"/>
  <c r="EG7" i="12"/>
  <c r="EH7" i="12" s="1"/>
  <c r="EI7" i="12" s="1"/>
  <c r="EI10" i="12" s="1"/>
  <c r="DE7" i="12"/>
  <c r="DF7" i="12" s="1"/>
  <c r="DG7" i="12" s="1"/>
  <c r="DG10" i="12" s="1"/>
  <c r="FW22" i="12"/>
  <c r="FX22" i="12" s="1"/>
  <c r="FY22" i="12" s="1"/>
  <c r="FY25" i="12" s="1"/>
  <c r="FY27" i="12" s="1"/>
  <c r="V238" i="10" s="1"/>
  <c r="DS13" i="12"/>
  <c r="DT13" i="12" s="1"/>
  <c r="DU13" i="12" s="1"/>
  <c r="DU16" i="12" s="1"/>
  <c r="FW7" i="12"/>
  <c r="FX7" i="12" s="1"/>
  <c r="FY7" i="12" s="1"/>
  <c r="FY10" i="12" s="1"/>
  <c r="EU13" i="12"/>
  <c r="EV13" i="12" s="1"/>
  <c r="EW13" i="12" s="1"/>
  <c r="EW16" i="12" s="1"/>
  <c r="DE22" i="12"/>
  <c r="DF22" i="12" s="1"/>
  <c r="DG22" i="12" s="1"/>
  <c r="DG25" i="12" s="1"/>
  <c r="V143" i="10" s="1"/>
  <c r="GK13" i="12"/>
  <c r="GL13" i="12" s="1"/>
  <c r="GM13" i="12" s="1"/>
  <c r="GM16" i="12" s="1"/>
  <c r="EG22" i="12"/>
  <c r="EH22" i="12" s="1"/>
  <c r="EI22" i="12" s="1"/>
  <c r="EI25" i="12" s="1"/>
  <c r="EI27" i="12" s="1"/>
  <c r="V181" i="10" s="1"/>
  <c r="CQ22" i="12"/>
  <c r="CR22" i="12" s="1"/>
  <c r="CS22" i="12" s="1"/>
  <c r="CS25" i="12" s="1"/>
  <c r="V124" i="10" s="1"/>
  <c r="CQ7" i="12"/>
  <c r="CR7" i="12" s="1"/>
  <c r="CS7" i="12" s="1"/>
  <c r="CS10" i="12" s="1"/>
  <c r="CC7" i="12"/>
  <c r="CD7" i="12" s="1"/>
  <c r="CE7" i="12" s="1"/>
  <c r="CE10" i="12" s="1"/>
  <c r="V104" i="10" s="1"/>
  <c r="BO7" i="12"/>
  <c r="BP7" i="12" s="1"/>
  <c r="BQ7" i="12" s="1"/>
  <c r="BQ10" i="12" s="1"/>
  <c r="V85" i="10" s="1"/>
  <c r="BA6" i="12"/>
  <c r="BB6" i="12" s="1"/>
  <c r="BC6" i="12" s="1"/>
  <c r="BC9" i="12" s="1"/>
  <c r="V66" i="10" s="1"/>
  <c r="BA16" i="12"/>
  <c r="BB16" i="12" s="1"/>
  <c r="BC16" i="12" s="1"/>
  <c r="BC19" i="12" s="1"/>
  <c r="V67" i="10" s="1"/>
  <c r="CC22" i="12"/>
  <c r="CD22" i="12" s="1"/>
  <c r="CE22" i="12" s="1"/>
  <c r="CE25" i="12" s="1"/>
  <c r="V105" i="10" s="1"/>
  <c r="BO22" i="12"/>
  <c r="BP22" i="12" s="1"/>
  <c r="BQ22" i="12" s="1"/>
  <c r="BQ24" i="12" s="1"/>
  <c r="V86" i="10" s="1"/>
  <c r="DZ71" i="4"/>
  <c r="EB68" i="4"/>
  <c r="DM71" i="4"/>
  <c r="DN68" i="4"/>
  <c r="AM16" i="12"/>
  <c r="AN16" i="12" s="1"/>
  <c r="AO16" i="12" s="1"/>
  <c r="AO19" i="12" s="1"/>
  <c r="V48" i="10" s="1"/>
  <c r="AM6" i="12"/>
  <c r="AN6" i="12" s="1"/>
  <c r="AO6" i="12" s="1"/>
  <c r="AO9" i="12" s="1"/>
  <c r="V47" i="10" s="1"/>
  <c r="Y16" i="12"/>
  <c r="Z16" i="12" s="1"/>
  <c r="AA16" i="12" s="1"/>
  <c r="AA18" i="12" s="1"/>
  <c r="V27" i="10" s="1"/>
  <c r="FC18" i="20"/>
  <c r="FD18" i="20" s="1"/>
  <c r="FE18" i="20" s="1"/>
  <c r="FE19" i="20" s="1"/>
  <c r="FE29" i="20" s="1"/>
  <c r="E44" i="20" s="1"/>
  <c r="DK18" i="20"/>
  <c r="DL18" i="20" s="1"/>
  <c r="DM18" i="20" s="1"/>
  <c r="DM19" i="20" s="1"/>
  <c r="DM29" i="20" s="1"/>
  <c r="E40" i="20" s="1"/>
  <c r="BH18" i="20"/>
  <c r="BI18" i="20" s="1"/>
  <c r="BJ18" i="20" s="1"/>
  <c r="BJ19" i="20" s="1"/>
  <c r="BJ29" i="20" s="1"/>
  <c r="P18" i="20"/>
  <c r="Q18" i="20" s="1"/>
  <c r="BS18" i="20"/>
  <c r="BT18" i="20" s="1"/>
  <c r="BU18" i="20" s="1"/>
  <c r="BU19" i="20" s="1"/>
  <c r="BU29" i="20" s="1"/>
  <c r="ER18" i="20"/>
  <c r="ES18" i="20" s="1"/>
  <c r="ET18" i="20" s="1"/>
  <c r="ET19" i="20" s="1"/>
  <c r="ET29" i="20" s="1"/>
  <c r="E43" i="20" s="1"/>
  <c r="CZ18" i="20"/>
  <c r="DA18" i="20" s="1"/>
  <c r="DB18" i="20" s="1"/>
  <c r="DB19" i="20" s="1"/>
  <c r="DB29" i="20" s="1"/>
  <c r="E39" i="20" s="1"/>
  <c r="AW18" i="20"/>
  <c r="AX18" i="20" s="1"/>
  <c r="AY18" i="20" s="1"/>
  <c r="AY19" i="20" s="1"/>
  <c r="AY29" i="20" s="1"/>
  <c r="DX18" i="20"/>
  <c r="DX19" i="20" s="1"/>
  <c r="DX29" i="20" s="1"/>
  <c r="E41" i="20" s="1"/>
  <c r="EG18" i="20"/>
  <c r="EH18" i="20" s="1"/>
  <c r="EI18" i="20" s="1"/>
  <c r="EI19" i="20" s="1"/>
  <c r="EI29" i="20" s="1"/>
  <c r="E42" i="20" s="1"/>
  <c r="CD18" i="20"/>
  <c r="CE18" i="20" s="1"/>
  <c r="CF18" i="20" s="1"/>
  <c r="CF19" i="20" s="1"/>
  <c r="CF29" i="20" s="1"/>
  <c r="AL18" i="20"/>
  <c r="AM18" i="20" s="1"/>
  <c r="AN18" i="20" s="1"/>
  <c r="AN19" i="20" s="1"/>
  <c r="AN29" i="20" s="1"/>
  <c r="FN18" i="20"/>
  <c r="FO18" i="20" s="1"/>
  <c r="FP18" i="20" s="1"/>
  <c r="FP19" i="20" s="1"/>
  <c r="FP29" i="20" s="1"/>
  <c r="E45" i="20" s="1"/>
  <c r="AA18" i="20"/>
  <c r="AB18" i="20" s="1"/>
  <c r="AC18" i="20" s="1"/>
  <c r="AC19" i="20" s="1"/>
  <c r="AC29" i="20" s="1"/>
  <c r="BU9" i="13"/>
  <c r="BV9" i="13" s="1"/>
  <c r="BW9" i="13" s="1"/>
  <c r="BW11" i="13" s="1"/>
  <c r="BH9" i="13"/>
  <c r="BI9" i="13" s="1"/>
  <c r="BJ9" i="13" s="1"/>
  <c r="BJ11" i="13" s="1"/>
  <c r="AU9" i="13"/>
  <c r="AV9" i="13" s="1"/>
  <c r="AW9" i="13" s="1"/>
  <c r="AW11" i="13" s="1"/>
  <c r="CH9" i="13"/>
  <c r="CI9" i="13" s="1"/>
  <c r="CJ9" i="13" s="1"/>
  <c r="CJ11" i="13" s="1"/>
  <c r="N182" i="4"/>
  <c r="N183" i="4"/>
  <c r="N188" i="4"/>
  <c r="DD127" i="4"/>
  <c r="DD131" i="4" s="1"/>
  <c r="AP182" i="4"/>
  <c r="CS179" i="4"/>
  <c r="CU182" i="4" s="1"/>
  <c r="CQ188" i="4"/>
  <c r="DF179" i="4"/>
  <c r="DH186" i="4" s="1"/>
  <c r="J185" i="4"/>
  <c r="N185" i="4" s="1"/>
  <c r="AM188" i="4"/>
  <c r="AP188" i="4" s="1"/>
  <c r="BM188" i="4"/>
  <c r="BO188" i="4"/>
  <c r="BR188" i="4" s="1"/>
  <c r="CC188" i="4"/>
  <c r="DS179" i="4"/>
  <c r="DC188" i="4"/>
  <c r="EA179" i="4"/>
  <c r="EA183" i="4" s="1"/>
  <c r="J188" i="4"/>
  <c r="AK188" i="4"/>
  <c r="DY127" i="4"/>
  <c r="DY131" i="4" s="1"/>
  <c r="DY135" i="4" s="1"/>
  <c r="DY138" i="4" s="1"/>
  <c r="DY141" i="4" s="1"/>
  <c r="DQ138" i="4"/>
  <c r="DL127" i="4"/>
  <c r="DL131" i="4" s="1"/>
  <c r="DL135" i="4" s="1"/>
  <c r="DL138" i="4" s="1"/>
  <c r="DL141" i="4" s="1"/>
  <c r="CY127" i="4"/>
  <c r="CY131" i="4" s="1"/>
  <c r="CY135" i="4" s="1"/>
  <c r="CY138" i="4" s="1"/>
  <c r="CY141" i="4" s="1"/>
  <c r="CQ127" i="4"/>
  <c r="CQ131" i="4" s="1"/>
  <c r="CQ141" i="4" s="1"/>
  <c r="BP127" i="4"/>
  <c r="BP131" i="4" s="1"/>
  <c r="BP135" i="4" s="1"/>
  <c r="BP138" i="4" s="1"/>
  <c r="BP141" i="4" s="1"/>
  <c r="BS127" i="4"/>
  <c r="BS131" i="4" s="1"/>
  <c r="BS135" i="4" s="1"/>
  <c r="BS138" i="4" s="1"/>
  <c r="BS141" i="4" s="1"/>
  <c r="BU127" i="4"/>
  <c r="BU131" i="4" s="1"/>
  <c r="BU135" i="4" s="1"/>
  <c r="BU138" i="4" s="1"/>
  <c r="BU141" i="4" s="1"/>
  <c r="BR182" i="4"/>
  <c r="BR186" i="4"/>
  <c r="BR183" i="4"/>
  <c r="CG183" i="4"/>
  <c r="BR184" i="4"/>
  <c r="H185" i="4"/>
  <c r="AP186" i="4"/>
  <c r="AL188" i="4"/>
  <c r="BN188" i="4"/>
  <c r="CG186" i="4"/>
  <c r="CD188" i="4"/>
  <c r="CG188" i="4" s="1"/>
  <c r="CP188" i="4"/>
  <c r="DE185" i="4"/>
  <c r="AP184" i="4"/>
  <c r="I185" i="4"/>
  <c r="N184" i="4"/>
  <c r="I188" i="4"/>
  <c r="AK187" i="4"/>
  <c r="CB187" i="4"/>
  <c r="CR188" i="4"/>
  <c r="DD188" i="4"/>
  <c r="H188" i="4"/>
  <c r="AK185" i="4"/>
  <c r="AL187" i="4"/>
  <c r="BM187" i="4"/>
  <c r="CB185" i="4"/>
  <c r="CC187" i="4"/>
  <c r="DE188" i="4"/>
  <c r="N186" i="4"/>
  <c r="J187" i="4"/>
  <c r="N187" i="4" s="1"/>
  <c r="AL185" i="4"/>
  <c r="AM187" i="4"/>
  <c r="AP187" i="4" s="1"/>
  <c r="BM185" i="4"/>
  <c r="BN187" i="4"/>
  <c r="CC185" i="4"/>
  <c r="CD187" i="4"/>
  <c r="CG187" i="4" s="1"/>
  <c r="CP187" i="4"/>
  <c r="DH183" i="4"/>
  <c r="I187" i="4"/>
  <c r="AM185" i="4"/>
  <c r="AP185" i="4" s="1"/>
  <c r="BN185" i="4"/>
  <c r="BO187" i="4"/>
  <c r="BR187" i="4" s="1"/>
  <c r="CD185" i="4"/>
  <c r="CG185" i="4" s="1"/>
  <c r="CP185" i="4"/>
  <c r="CQ187" i="4"/>
  <c r="DC187" i="4"/>
  <c r="H187" i="4"/>
  <c r="AP183" i="4"/>
  <c r="BO185" i="4"/>
  <c r="BR185" i="4" s="1"/>
  <c r="CQ185" i="4"/>
  <c r="CR187" i="4"/>
  <c r="DC185" i="4"/>
  <c r="DD187" i="4"/>
  <c r="CR185" i="4"/>
  <c r="DQ6" i="4"/>
  <c r="DQ21" i="4" s="1"/>
  <c r="DQ22" i="4" s="1"/>
  <c r="DX102" i="4"/>
  <c r="CK102" i="4"/>
  <c r="CT21" i="4"/>
  <c r="BM118" i="4"/>
  <c r="BM127" i="4" s="1"/>
  <c r="BM131" i="4" s="1"/>
  <c r="BM141" i="4" s="1"/>
  <c r="BM144" i="4" s="1"/>
  <c r="BM148" i="4" s="1"/>
  <c r="BM151" i="4" s="1"/>
  <c r="BM152" i="4" s="1"/>
  <c r="BM75" i="4"/>
  <c r="BM90" i="4" s="1"/>
  <c r="BM102" i="4" s="1"/>
  <c r="DG21" i="4"/>
  <c r="CC21" i="4"/>
  <c r="CC22" i="4" s="1"/>
  <c r="CQ6" i="4"/>
  <c r="CQ8" i="4" s="1"/>
  <c r="CD102" i="4"/>
  <c r="CL102" i="4"/>
  <c r="DT36" i="4"/>
  <c r="DG6" i="4"/>
  <c r="DQ51" i="4"/>
  <c r="DQ53" i="4" s="1"/>
  <c r="CW102" i="4"/>
  <c r="DM136" i="4"/>
  <c r="DM139" i="4" s="1"/>
  <c r="DS118" i="4"/>
  <c r="DS127" i="4" s="1"/>
  <c r="DS131" i="4" s="1"/>
  <c r="DS135" i="4" s="1"/>
  <c r="DS138" i="4" s="1"/>
  <c r="DS141" i="4" s="1"/>
  <c r="DS75" i="4"/>
  <c r="DS90" i="4" s="1"/>
  <c r="DS102" i="4" s="1"/>
  <c r="DT75" i="4"/>
  <c r="DT90" i="4" s="1"/>
  <c r="DT102" i="4" s="1"/>
  <c r="DT87" i="4"/>
  <c r="DT91" i="4" s="1"/>
  <c r="DT92" i="4" s="1"/>
  <c r="DT104" i="4" s="1"/>
  <c r="DU118" i="4"/>
  <c r="DU127" i="4" s="1"/>
  <c r="DU131" i="4" s="1"/>
  <c r="DU135" i="4" s="1"/>
  <c r="DU138" i="4" s="1"/>
  <c r="DU141" i="4" s="1"/>
  <c r="DU87" i="4"/>
  <c r="DU91" i="4" s="1"/>
  <c r="DU75" i="4"/>
  <c r="DU90" i="4" s="1"/>
  <c r="DU102" i="4" s="1"/>
  <c r="DQ136" i="4"/>
  <c r="DQ139" i="4" s="1"/>
  <c r="DQ142" i="4"/>
  <c r="DY142" i="4"/>
  <c r="DY136" i="4"/>
  <c r="DY139" i="4" s="1"/>
  <c r="DT103" i="4"/>
  <c r="DW75" i="4"/>
  <c r="DW90" i="4" s="1"/>
  <c r="DW102" i="4" s="1"/>
  <c r="DW118" i="4"/>
  <c r="DW127" i="4" s="1"/>
  <c r="DW131" i="4" s="1"/>
  <c r="DW135" i="4" s="1"/>
  <c r="DW138" i="4" s="1"/>
  <c r="DW141" i="4" s="1"/>
  <c r="DW87" i="4"/>
  <c r="DW91" i="4" s="1"/>
  <c r="DU136" i="4"/>
  <c r="DU139" i="4" s="1"/>
  <c r="DU142" i="4"/>
  <c r="DQ87" i="4"/>
  <c r="DQ91" i="4" s="1"/>
  <c r="DR102" i="4"/>
  <c r="DV142" i="4"/>
  <c r="DV136" i="4"/>
  <c r="DV139" i="4" s="1"/>
  <c r="DZ142" i="4"/>
  <c r="DQ75" i="4"/>
  <c r="DQ90" i="4" s="1"/>
  <c r="DQ102" i="4" s="1"/>
  <c r="DS87" i="4"/>
  <c r="DS91" i="4" s="1"/>
  <c r="DZ118" i="4"/>
  <c r="DZ127" i="4" s="1"/>
  <c r="DZ131" i="4" s="1"/>
  <c r="DZ135" i="4" s="1"/>
  <c r="DZ138" i="4" s="1"/>
  <c r="DZ141" i="4" s="1"/>
  <c r="DZ87" i="4"/>
  <c r="DZ91" i="4" s="1"/>
  <c r="DX87" i="4"/>
  <c r="DX91" i="4" s="1"/>
  <c r="DV102" i="4"/>
  <c r="DR118" i="4"/>
  <c r="DR127" i="4" s="1"/>
  <c r="DR131" i="4" s="1"/>
  <c r="DR135" i="4" s="1"/>
  <c r="DR138" i="4" s="1"/>
  <c r="DR141" i="4" s="1"/>
  <c r="DR87" i="4"/>
  <c r="DR91" i="4" s="1"/>
  <c r="DT142" i="4"/>
  <c r="DT136" i="4"/>
  <c r="DT139" i="4" s="1"/>
  <c r="DY87" i="4"/>
  <c r="DY91" i="4" s="1"/>
  <c r="DT118" i="4"/>
  <c r="DT127" i="4" s="1"/>
  <c r="DT131" i="4" s="1"/>
  <c r="DT135" i="4" s="1"/>
  <c r="DT138" i="4" s="1"/>
  <c r="DT141" i="4" s="1"/>
  <c r="DR142" i="4"/>
  <c r="DY75" i="4"/>
  <c r="DY90" i="4" s="1"/>
  <c r="DY102" i="4" s="1"/>
  <c r="DW142" i="4"/>
  <c r="DW136" i="4"/>
  <c r="DW139" i="4" s="1"/>
  <c r="DV118" i="4"/>
  <c r="DV127" i="4" s="1"/>
  <c r="DV131" i="4" s="1"/>
  <c r="DV135" i="4" s="1"/>
  <c r="DV138" i="4" s="1"/>
  <c r="DV141" i="4" s="1"/>
  <c r="DV87" i="4"/>
  <c r="DV91" i="4" s="1"/>
  <c r="DZ75" i="4"/>
  <c r="DZ90" i="4" s="1"/>
  <c r="DZ102" i="4" s="1"/>
  <c r="DX118" i="4"/>
  <c r="DX127" i="4" s="1"/>
  <c r="DX131" i="4" s="1"/>
  <c r="DX135" i="4" s="1"/>
  <c r="DX138" i="4" s="1"/>
  <c r="DX141" i="4" s="1"/>
  <c r="DX142" i="4"/>
  <c r="DX136" i="4"/>
  <c r="DX139" i="4" s="1"/>
  <c r="DS142" i="4"/>
  <c r="DS136" i="4"/>
  <c r="DS139" i="4" s="1"/>
  <c r="DK75" i="4"/>
  <c r="DK90" i="4" s="1"/>
  <c r="DK102" i="4" s="1"/>
  <c r="DK118" i="4"/>
  <c r="DK127" i="4" s="1"/>
  <c r="DK131" i="4" s="1"/>
  <c r="DK135" i="4" s="1"/>
  <c r="DK138" i="4" s="1"/>
  <c r="DK141" i="4" s="1"/>
  <c r="DK87" i="4"/>
  <c r="DK91" i="4" s="1"/>
  <c r="DK93" i="4" s="1"/>
  <c r="DK105" i="4" s="1"/>
  <c r="DF87" i="4"/>
  <c r="DF91" i="4" s="1"/>
  <c r="DF92" i="4" s="1"/>
  <c r="DF104" i="4" s="1"/>
  <c r="DF75" i="4"/>
  <c r="DF90" i="4" s="1"/>
  <c r="DF102" i="4" s="1"/>
  <c r="DL87" i="4"/>
  <c r="DL91" i="4" s="1"/>
  <c r="DL103" i="4" s="1"/>
  <c r="DH102" i="4"/>
  <c r="DD136" i="4"/>
  <c r="DD139" i="4" s="1"/>
  <c r="DD142" i="4"/>
  <c r="DJ75" i="4"/>
  <c r="DJ90" i="4" s="1"/>
  <c r="DJ102" i="4" s="1"/>
  <c r="DJ87" i="4"/>
  <c r="DJ91" i="4" s="1"/>
  <c r="DJ118" i="4"/>
  <c r="DJ127" i="4" s="1"/>
  <c r="DJ131" i="4" s="1"/>
  <c r="DJ135" i="4" s="1"/>
  <c r="DJ138" i="4" s="1"/>
  <c r="DJ141" i="4" s="1"/>
  <c r="DL142" i="4"/>
  <c r="DL136" i="4"/>
  <c r="DL139" i="4" s="1"/>
  <c r="DH136" i="4"/>
  <c r="DH139" i="4" s="1"/>
  <c r="DH142" i="4"/>
  <c r="DD141" i="4"/>
  <c r="DD135" i="4"/>
  <c r="DD138" i="4" s="1"/>
  <c r="DK103" i="4"/>
  <c r="DI142" i="4"/>
  <c r="DI136" i="4"/>
  <c r="DI139" i="4" s="1"/>
  <c r="DM118" i="4"/>
  <c r="DM127" i="4" s="1"/>
  <c r="DM131" i="4" s="1"/>
  <c r="DM135" i="4" s="1"/>
  <c r="DM138" i="4" s="1"/>
  <c r="DM141" i="4" s="1"/>
  <c r="DM144" i="4" s="1"/>
  <c r="DM148" i="4" s="1"/>
  <c r="DM151" i="4" s="1"/>
  <c r="DM152" i="4" s="1"/>
  <c r="DM87" i="4"/>
  <c r="DM91" i="4" s="1"/>
  <c r="DG118" i="4"/>
  <c r="DG127" i="4" s="1"/>
  <c r="DG131" i="4" s="1"/>
  <c r="DG135" i="4" s="1"/>
  <c r="DG138" i="4" s="1"/>
  <c r="DG141" i="4" s="1"/>
  <c r="DG87" i="4"/>
  <c r="DG91" i="4" s="1"/>
  <c r="DG75" i="4"/>
  <c r="DG90" i="4" s="1"/>
  <c r="DG102" i="4" s="1"/>
  <c r="DL75" i="4"/>
  <c r="DL90" i="4" s="1"/>
  <c r="DL102" i="4" s="1"/>
  <c r="DG142" i="4"/>
  <c r="DG136" i="4"/>
  <c r="DG139" i="4" s="1"/>
  <c r="DM75" i="4"/>
  <c r="DM90" i="4" s="1"/>
  <c r="DM102" i="4" s="1"/>
  <c r="DH118" i="4"/>
  <c r="DH127" i="4" s="1"/>
  <c r="DH131" i="4" s="1"/>
  <c r="DH135" i="4" s="1"/>
  <c r="DH138" i="4" s="1"/>
  <c r="DH141" i="4" s="1"/>
  <c r="DH87" i="4"/>
  <c r="DH91" i="4" s="1"/>
  <c r="DI118" i="4"/>
  <c r="DI127" i="4" s="1"/>
  <c r="DI131" i="4" s="1"/>
  <c r="DI135" i="4" s="1"/>
  <c r="DI138" i="4" s="1"/>
  <c r="DI141" i="4" s="1"/>
  <c r="DI87" i="4"/>
  <c r="DI91" i="4" s="1"/>
  <c r="DI75" i="4"/>
  <c r="DI90" i="4" s="1"/>
  <c r="DI102" i="4" s="1"/>
  <c r="DD87" i="4"/>
  <c r="DD91" i="4" s="1"/>
  <c r="DF118" i="4"/>
  <c r="DF127" i="4" s="1"/>
  <c r="DF131" i="4" s="1"/>
  <c r="DF135" i="4" s="1"/>
  <c r="DF138" i="4" s="1"/>
  <c r="DF141" i="4" s="1"/>
  <c r="DE142" i="4"/>
  <c r="DE118" i="4"/>
  <c r="DE127" i="4" s="1"/>
  <c r="DE131" i="4" s="1"/>
  <c r="DE135" i="4" s="1"/>
  <c r="DE138" i="4" s="1"/>
  <c r="DE141" i="4" s="1"/>
  <c r="DE87" i="4"/>
  <c r="DE91" i="4" s="1"/>
  <c r="DJ142" i="4"/>
  <c r="DJ136" i="4"/>
  <c r="DJ139" i="4" s="1"/>
  <c r="DD75" i="4"/>
  <c r="DD90" i="4" s="1"/>
  <c r="DD102" i="4" s="1"/>
  <c r="DE102" i="4"/>
  <c r="DK142" i="4"/>
  <c r="DK136" i="4"/>
  <c r="DK139" i="4" s="1"/>
  <c r="DF142" i="4"/>
  <c r="DF136" i="4"/>
  <c r="DF139" i="4" s="1"/>
  <c r="CX75" i="4"/>
  <c r="CX90" i="4" s="1"/>
  <c r="CX102" i="4" s="1"/>
  <c r="CX118" i="4"/>
  <c r="CX127" i="4" s="1"/>
  <c r="CX131" i="4" s="1"/>
  <c r="CX135" i="4" s="1"/>
  <c r="CX138" i="4" s="1"/>
  <c r="CX141" i="4" s="1"/>
  <c r="CX87" i="4"/>
  <c r="CX91" i="4" s="1"/>
  <c r="CX93" i="4" s="1"/>
  <c r="CX105" i="4" s="1"/>
  <c r="CS75" i="4"/>
  <c r="CS90" i="4" s="1"/>
  <c r="CS102" i="4" s="1"/>
  <c r="CS87" i="4"/>
  <c r="CS91" i="4" s="1"/>
  <c r="CS103" i="4" s="1"/>
  <c r="CS118" i="4"/>
  <c r="CS127" i="4" s="1"/>
  <c r="CS131" i="4" s="1"/>
  <c r="CS135" i="4" s="1"/>
  <c r="CS138" i="4" s="1"/>
  <c r="CS141" i="4" s="1"/>
  <c r="CY87" i="4"/>
  <c r="CY91" i="4" s="1"/>
  <c r="CY92" i="4" s="1"/>
  <c r="CY104" i="4" s="1"/>
  <c r="CY75" i="4"/>
  <c r="CY90" i="4" s="1"/>
  <c r="CY102" i="4" s="1"/>
  <c r="CQ87" i="4"/>
  <c r="CQ91" i="4" s="1"/>
  <c r="CQ103" i="4" s="1"/>
  <c r="CU136" i="4"/>
  <c r="CU139" i="4" s="1"/>
  <c r="CU142" i="4"/>
  <c r="CU118" i="4"/>
  <c r="CU127" i="4" s="1"/>
  <c r="CU131" i="4" s="1"/>
  <c r="CU135" i="4" s="1"/>
  <c r="CU138" i="4" s="1"/>
  <c r="CU141" i="4" s="1"/>
  <c r="CU87" i="4"/>
  <c r="CU91" i="4" s="1"/>
  <c r="CU75" i="4"/>
  <c r="CU90" i="4" s="1"/>
  <c r="CU102" i="4" s="1"/>
  <c r="CY142" i="4"/>
  <c r="CY136" i="4"/>
  <c r="CY139" i="4" s="1"/>
  <c r="CQ136" i="4"/>
  <c r="CQ139" i="4" s="1"/>
  <c r="CQ142" i="4"/>
  <c r="CT118" i="4"/>
  <c r="CT127" i="4" s="1"/>
  <c r="CT131" i="4" s="1"/>
  <c r="CT135" i="4" s="1"/>
  <c r="CT138" i="4" s="1"/>
  <c r="CT141" i="4" s="1"/>
  <c r="CT87" i="4"/>
  <c r="CT91" i="4" s="1"/>
  <c r="CT75" i="4"/>
  <c r="CT90" i="4" s="1"/>
  <c r="CT102" i="4" s="1"/>
  <c r="CT142" i="4"/>
  <c r="CT136" i="4"/>
  <c r="CT139" i="4" s="1"/>
  <c r="CV118" i="4"/>
  <c r="CV127" i="4" s="1"/>
  <c r="CV131" i="4" s="1"/>
  <c r="CV135" i="4" s="1"/>
  <c r="CV138" i="4" s="1"/>
  <c r="CV141" i="4" s="1"/>
  <c r="CV87" i="4"/>
  <c r="CV91" i="4" s="1"/>
  <c r="CV75" i="4"/>
  <c r="CV90" i="4" s="1"/>
  <c r="CV102" i="4" s="1"/>
  <c r="CV142" i="4"/>
  <c r="CV136" i="4"/>
  <c r="CV139" i="4" s="1"/>
  <c r="CW118" i="4"/>
  <c r="CW127" i="4" s="1"/>
  <c r="CW131" i="4" s="1"/>
  <c r="CW135" i="4" s="1"/>
  <c r="CW138" i="4" s="1"/>
  <c r="CW141" i="4" s="1"/>
  <c r="CW142" i="4"/>
  <c r="CW136" i="4"/>
  <c r="CW139" i="4" s="1"/>
  <c r="CS142" i="4"/>
  <c r="CS136" i="4"/>
  <c r="CS139" i="4" s="1"/>
  <c r="CR142" i="4"/>
  <c r="CR136" i="4"/>
  <c r="CR139" i="4" s="1"/>
  <c r="CQ75" i="4"/>
  <c r="CW87" i="4"/>
  <c r="CW91" i="4" s="1"/>
  <c r="CR102" i="4"/>
  <c r="CZ102" i="4"/>
  <c r="CX142" i="4"/>
  <c r="CX136" i="4"/>
  <c r="CX139" i="4" s="1"/>
  <c r="CR118" i="4"/>
  <c r="CR127" i="4" s="1"/>
  <c r="CR131" i="4" s="1"/>
  <c r="CR135" i="4" s="1"/>
  <c r="CR138" i="4" s="1"/>
  <c r="CR141" i="4" s="1"/>
  <c r="CR87" i="4"/>
  <c r="CR91" i="4" s="1"/>
  <c r="CZ118" i="4"/>
  <c r="CZ127" i="4" s="1"/>
  <c r="CZ131" i="4" s="1"/>
  <c r="CZ135" i="4" s="1"/>
  <c r="CZ138" i="4" s="1"/>
  <c r="CZ141" i="4" s="1"/>
  <c r="CZ87" i="4"/>
  <c r="CZ91" i="4" s="1"/>
  <c r="CZ142" i="4"/>
  <c r="CZ136" i="4"/>
  <c r="CZ139" i="4" s="1"/>
  <c r="CJ118" i="4"/>
  <c r="CJ127" i="4" s="1"/>
  <c r="CJ131" i="4" s="1"/>
  <c r="CJ135" i="4" s="1"/>
  <c r="CJ138" i="4" s="1"/>
  <c r="CJ141" i="4" s="1"/>
  <c r="CJ75" i="4"/>
  <c r="CJ90" i="4" s="1"/>
  <c r="CJ102" i="4" s="1"/>
  <c r="CJ87" i="4"/>
  <c r="CJ91" i="4" s="1"/>
  <c r="CH142" i="4"/>
  <c r="CH136" i="4"/>
  <c r="CH139" i="4" s="1"/>
  <c r="CJ142" i="4"/>
  <c r="CJ136" i="4"/>
  <c r="CJ139" i="4" s="1"/>
  <c r="CK142" i="4"/>
  <c r="CK136" i="4"/>
  <c r="CK139" i="4" s="1"/>
  <c r="CL142" i="4"/>
  <c r="CL136" i="4"/>
  <c r="CL139" i="4" s="1"/>
  <c r="CE118" i="4"/>
  <c r="CE127" i="4" s="1"/>
  <c r="CE131" i="4" s="1"/>
  <c r="CE135" i="4" s="1"/>
  <c r="CE138" i="4" s="1"/>
  <c r="CE141" i="4" s="1"/>
  <c r="CE87" i="4"/>
  <c r="CE91" i="4" s="1"/>
  <c r="CE75" i="4"/>
  <c r="CE90" i="4" s="1"/>
  <c r="CE102" i="4" s="1"/>
  <c r="CF118" i="4"/>
  <c r="CF127" i="4" s="1"/>
  <c r="CF131" i="4" s="1"/>
  <c r="CF135" i="4" s="1"/>
  <c r="CF138" i="4" s="1"/>
  <c r="CF141" i="4" s="1"/>
  <c r="CF87" i="4"/>
  <c r="CF91" i="4" s="1"/>
  <c r="CF75" i="4"/>
  <c r="CF90" i="4" s="1"/>
  <c r="CF102" i="4" s="1"/>
  <c r="CH87" i="4"/>
  <c r="CH91" i="4" s="1"/>
  <c r="CH75" i="4"/>
  <c r="CH90" i="4" s="1"/>
  <c r="CH102" i="4" s="1"/>
  <c r="CH118" i="4"/>
  <c r="CH127" i="4" s="1"/>
  <c r="CH131" i="4" s="1"/>
  <c r="CH135" i="4" s="1"/>
  <c r="CH138" i="4" s="1"/>
  <c r="CH141" i="4" s="1"/>
  <c r="CG118" i="4"/>
  <c r="CG127" i="4" s="1"/>
  <c r="CG131" i="4" s="1"/>
  <c r="CG135" i="4" s="1"/>
  <c r="CG138" i="4" s="1"/>
  <c r="CG141" i="4" s="1"/>
  <c r="CG87" i="4"/>
  <c r="CG91" i="4" s="1"/>
  <c r="CG75" i="4"/>
  <c r="CG90" i="4" s="1"/>
  <c r="CG102" i="4" s="1"/>
  <c r="CE142" i="4"/>
  <c r="CE136" i="4"/>
  <c r="CE139" i="4" s="1"/>
  <c r="CC142" i="4"/>
  <c r="CC136" i="4"/>
  <c r="CC139" i="4" s="1"/>
  <c r="CF142" i="4"/>
  <c r="CF136" i="4"/>
  <c r="CF139" i="4" s="1"/>
  <c r="CD136" i="4"/>
  <c r="CD139" i="4" s="1"/>
  <c r="CD142" i="4"/>
  <c r="CI118" i="4"/>
  <c r="CI127" i="4" s="1"/>
  <c r="CI131" i="4" s="1"/>
  <c r="CI135" i="4" s="1"/>
  <c r="CI138" i="4" s="1"/>
  <c r="CI141" i="4" s="1"/>
  <c r="CI87" i="4"/>
  <c r="CI91" i="4" s="1"/>
  <c r="CI75" i="4"/>
  <c r="CI90" i="4" s="1"/>
  <c r="CI102" i="4" s="1"/>
  <c r="CG142" i="4"/>
  <c r="CG136" i="4"/>
  <c r="CG139" i="4" s="1"/>
  <c r="CI136" i="4"/>
  <c r="CI139" i="4" s="1"/>
  <c r="CI142" i="4"/>
  <c r="CC87" i="4"/>
  <c r="CC91" i="4" s="1"/>
  <c r="CK87" i="4"/>
  <c r="CK91" i="4" s="1"/>
  <c r="CC118" i="4"/>
  <c r="CC127" i="4" s="1"/>
  <c r="CC131" i="4" s="1"/>
  <c r="CK118" i="4"/>
  <c r="CK127" i="4" s="1"/>
  <c r="CK131" i="4" s="1"/>
  <c r="CK135" i="4" s="1"/>
  <c r="CK138" i="4" s="1"/>
  <c r="CK141" i="4" s="1"/>
  <c r="CD87" i="4"/>
  <c r="CD91" i="4" s="1"/>
  <c r="CL87" i="4"/>
  <c r="CL91" i="4" s="1"/>
  <c r="CD118" i="4"/>
  <c r="CD127" i="4" s="1"/>
  <c r="CD131" i="4" s="1"/>
  <c r="CD135" i="4" s="1"/>
  <c r="CD138" i="4" s="1"/>
  <c r="CD141" i="4" s="1"/>
  <c r="CL118" i="4"/>
  <c r="CL127" i="4" s="1"/>
  <c r="CL131" i="4" s="1"/>
  <c r="CL135" i="4" s="1"/>
  <c r="CL138" i="4" s="1"/>
  <c r="CL141" i="4" s="1"/>
  <c r="BQ142" i="4"/>
  <c r="BQ136" i="4"/>
  <c r="BQ139" i="4" s="1"/>
  <c r="BO118" i="4"/>
  <c r="BO127" i="4" s="1"/>
  <c r="BO131" i="4" s="1"/>
  <c r="BO135" i="4" s="1"/>
  <c r="BO138" i="4" s="1"/>
  <c r="BO141" i="4" s="1"/>
  <c r="BO87" i="4"/>
  <c r="BO91" i="4" s="1"/>
  <c r="BO75" i="4"/>
  <c r="BO90" i="4" s="1"/>
  <c r="BO102" i="4" s="1"/>
  <c r="BQ118" i="4"/>
  <c r="BQ127" i="4" s="1"/>
  <c r="BQ131" i="4" s="1"/>
  <c r="BQ135" i="4" s="1"/>
  <c r="BQ138" i="4" s="1"/>
  <c r="BQ141" i="4" s="1"/>
  <c r="BQ75" i="4"/>
  <c r="BQ90" i="4" s="1"/>
  <c r="BQ102" i="4" s="1"/>
  <c r="BQ87" i="4"/>
  <c r="BQ91" i="4" s="1"/>
  <c r="BV75" i="4"/>
  <c r="BV90" i="4" s="1"/>
  <c r="BV102" i="4" s="1"/>
  <c r="BV118" i="4"/>
  <c r="BV127" i="4" s="1"/>
  <c r="BV131" i="4" s="1"/>
  <c r="BV135" i="4" s="1"/>
  <c r="BV138" i="4" s="1"/>
  <c r="BV141" i="4" s="1"/>
  <c r="BV87" i="4"/>
  <c r="BV91" i="4" s="1"/>
  <c r="BR118" i="4"/>
  <c r="BR127" i="4" s="1"/>
  <c r="BR131" i="4" s="1"/>
  <c r="BR135" i="4" s="1"/>
  <c r="BR138" i="4" s="1"/>
  <c r="BR141" i="4" s="1"/>
  <c r="BR87" i="4"/>
  <c r="BR91" i="4" s="1"/>
  <c r="BR75" i="4"/>
  <c r="BR90" i="4" s="1"/>
  <c r="BR102" i="4" s="1"/>
  <c r="BS87" i="4"/>
  <c r="BS91" i="4" s="1"/>
  <c r="BO142" i="4"/>
  <c r="BO136" i="4"/>
  <c r="BO139" i="4" s="1"/>
  <c r="BM136" i="4"/>
  <c r="BM139" i="4" s="1"/>
  <c r="BU144" i="4"/>
  <c r="BU148" i="4" s="1"/>
  <c r="BU151" i="4" s="1"/>
  <c r="BU152" i="4" s="1"/>
  <c r="BU87" i="4"/>
  <c r="BU91" i="4" s="1"/>
  <c r="BP142" i="4"/>
  <c r="BP136" i="4"/>
  <c r="BP139" i="4" s="1"/>
  <c r="BU136" i="4"/>
  <c r="BU139" i="4" s="1"/>
  <c r="BN142" i="4"/>
  <c r="BN136" i="4"/>
  <c r="BN139" i="4" s="1"/>
  <c r="BV142" i="4"/>
  <c r="BV136" i="4"/>
  <c r="BV139" i="4" s="1"/>
  <c r="BT118" i="4"/>
  <c r="BT127" i="4" s="1"/>
  <c r="BT131" i="4" s="1"/>
  <c r="BT135" i="4" s="1"/>
  <c r="BT138" i="4" s="1"/>
  <c r="BT141" i="4" s="1"/>
  <c r="BT87" i="4"/>
  <c r="BT91" i="4" s="1"/>
  <c r="BT75" i="4"/>
  <c r="BT90" i="4" s="1"/>
  <c r="BT102" i="4" s="1"/>
  <c r="BR142" i="4"/>
  <c r="BR136" i="4"/>
  <c r="BR139" i="4" s="1"/>
  <c r="BN75" i="4"/>
  <c r="BN90" i="4" s="1"/>
  <c r="BN102" i="4" s="1"/>
  <c r="BN118" i="4"/>
  <c r="BN127" i="4" s="1"/>
  <c r="BN131" i="4" s="1"/>
  <c r="BN135" i="4" s="1"/>
  <c r="BN138" i="4" s="1"/>
  <c r="BN141" i="4" s="1"/>
  <c r="BN87" i="4"/>
  <c r="BN91" i="4" s="1"/>
  <c r="BS75" i="4"/>
  <c r="BS90" i="4" s="1"/>
  <c r="BS102" i="4" s="1"/>
  <c r="BS142" i="4"/>
  <c r="BS136" i="4"/>
  <c r="BS139" i="4" s="1"/>
  <c r="BT142" i="4"/>
  <c r="BT136" i="4"/>
  <c r="BT139" i="4" s="1"/>
  <c r="BU75" i="4"/>
  <c r="BU90" i="4" s="1"/>
  <c r="BU102" i="4" s="1"/>
  <c r="BM87" i="4"/>
  <c r="BM91" i="4" s="1"/>
  <c r="BM92" i="4" s="1"/>
  <c r="BP75" i="4"/>
  <c r="BP90" i="4" s="1"/>
  <c r="BP102" i="4" s="1"/>
  <c r="BP87" i="4"/>
  <c r="BP91" i="4" s="1"/>
  <c r="CF7" i="4"/>
  <c r="BF95" i="4"/>
  <c r="BE95" i="4"/>
  <c r="BD95" i="4"/>
  <c r="BC95" i="4"/>
  <c r="BB95" i="4"/>
  <c r="BA95" i="4"/>
  <c r="AZ95" i="4"/>
  <c r="AY95" i="4"/>
  <c r="AX95" i="4"/>
  <c r="AW95" i="4"/>
  <c r="BF67" i="4"/>
  <c r="BF71" i="4" s="1"/>
  <c r="BE67" i="4"/>
  <c r="BE71" i="4" s="1"/>
  <c r="BD67" i="4"/>
  <c r="BD71" i="4" s="1"/>
  <c r="BC67" i="4"/>
  <c r="BC71" i="4" s="1"/>
  <c r="BB67" i="4"/>
  <c r="BB71" i="4" s="1"/>
  <c r="BA67" i="4"/>
  <c r="BA71" i="4" s="1"/>
  <c r="AZ67" i="4"/>
  <c r="AZ71" i="4" s="1"/>
  <c r="AZ87" i="4" s="1"/>
  <c r="AZ91" i="4" s="1"/>
  <c r="AY67" i="4"/>
  <c r="AY71" i="4" s="1"/>
  <c r="AY87" i="4" s="1"/>
  <c r="AY91" i="4" s="1"/>
  <c r="AX67" i="4"/>
  <c r="AX71" i="4" s="1"/>
  <c r="AW67" i="4"/>
  <c r="AW71" i="4" s="1"/>
  <c r="BF119" i="4"/>
  <c r="BF128" i="4" s="1"/>
  <c r="BF132" i="4" s="1"/>
  <c r="BE119" i="4"/>
  <c r="BE128" i="4" s="1"/>
  <c r="BE132" i="4" s="1"/>
  <c r="BD119" i="4"/>
  <c r="BD128" i="4" s="1"/>
  <c r="BD132" i="4" s="1"/>
  <c r="BC119" i="4"/>
  <c r="BC128" i="4" s="1"/>
  <c r="BC132" i="4" s="1"/>
  <c r="BB119" i="4"/>
  <c r="BB128" i="4" s="1"/>
  <c r="BB132" i="4" s="1"/>
  <c r="BA119" i="4"/>
  <c r="BA128" i="4" s="1"/>
  <c r="BA132" i="4" s="1"/>
  <c r="AZ119" i="4"/>
  <c r="AZ128" i="4" s="1"/>
  <c r="AZ132" i="4" s="1"/>
  <c r="AY119" i="4"/>
  <c r="AY128" i="4" s="1"/>
  <c r="AY132" i="4" s="1"/>
  <c r="AX119" i="4"/>
  <c r="AX128" i="4" s="1"/>
  <c r="AX132" i="4" s="1"/>
  <c r="AW119" i="4"/>
  <c r="AW128" i="4" s="1"/>
  <c r="AW132" i="4" s="1"/>
  <c r="BF115" i="4"/>
  <c r="BE115" i="4"/>
  <c r="BD115" i="4"/>
  <c r="BC115" i="4"/>
  <c r="BB115" i="4"/>
  <c r="BA115" i="4"/>
  <c r="AZ115" i="4"/>
  <c r="AY115" i="4"/>
  <c r="AX115" i="4"/>
  <c r="AW115" i="4"/>
  <c r="AT119" i="4"/>
  <c r="AT128" i="4" s="1"/>
  <c r="AT132" i="4" s="1"/>
  <c r="AL115" i="4"/>
  <c r="AM115" i="4"/>
  <c r="AN115" i="4"/>
  <c r="AO115" i="4"/>
  <c r="AP115" i="4"/>
  <c r="AQ115" i="4"/>
  <c r="AR115" i="4"/>
  <c r="AS115" i="4"/>
  <c r="AT115" i="4"/>
  <c r="AK115" i="4"/>
  <c r="AL119" i="4"/>
  <c r="AL128" i="4" s="1"/>
  <c r="AL132" i="4" s="1"/>
  <c r="AM119" i="4"/>
  <c r="AM128" i="4" s="1"/>
  <c r="AM132" i="4" s="1"/>
  <c r="AN119" i="4"/>
  <c r="AN128" i="4" s="1"/>
  <c r="AN132" i="4" s="1"/>
  <c r="AO119" i="4"/>
  <c r="AO128" i="4" s="1"/>
  <c r="AO132" i="4" s="1"/>
  <c r="AP119" i="4"/>
  <c r="AP128" i="4" s="1"/>
  <c r="AP132" i="4" s="1"/>
  <c r="AP142" i="4" s="1"/>
  <c r="AQ119" i="4"/>
  <c r="AQ128" i="4" s="1"/>
  <c r="AQ132" i="4" s="1"/>
  <c r="AQ142" i="4" s="1"/>
  <c r="AR119" i="4"/>
  <c r="AR128" i="4" s="1"/>
  <c r="AR132" i="4" s="1"/>
  <c r="AS119" i="4"/>
  <c r="AS128" i="4" s="1"/>
  <c r="AS132" i="4" s="1"/>
  <c r="AK119" i="4"/>
  <c r="AK128" i="4" s="1"/>
  <c r="AK132" i="4" s="1"/>
  <c r="AT95" i="4"/>
  <c r="AS95" i="4"/>
  <c r="AR95" i="4"/>
  <c r="AQ95" i="4"/>
  <c r="AP95" i="4"/>
  <c r="AO95" i="4"/>
  <c r="AN95" i="4"/>
  <c r="AM95" i="4"/>
  <c r="AL95" i="4"/>
  <c r="AK95" i="4"/>
  <c r="AT67" i="4"/>
  <c r="AT71" i="4" s="1"/>
  <c r="AS67" i="4"/>
  <c r="AS71" i="4" s="1"/>
  <c r="AR67" i="4"/>
  <c r="AR71" i="4" s="1"/>
  <c r="AQ67" i="4"/>
  <c r="AQ71" i="4" s="1"/>
  <c r="AP67" i="4"/>
  <c r="AP71" i="4" s="1"/>
  <c r="AO67" i="4"/>
  <c r="AO71" i="4" s="1"/>
  <c r="AN67" i="4"/>
  <c r="AN71" i="4" s="1"/>
  <c r="AN75" i="4" s="1"/>
  <c r="AM67" i="4"/>
  <c r="AM71" i="4" s="1"/>
  <c r="AM87" i="4" s="1"/>
  <c r="AL67" i="4"/>
  <c r="AL71" i="4" s="1"/>
  <c r="AK67" i="4"/>
  <c r="AK71" i="4" s="1"/>
  <c r="V127" i="4"/>
  <c r="V131" i="4" s="1"/>
  <c r="V141" i="4" s="1"/>
  <c r="AE128" i="4"/>
  <c r="AE132" i="4" s="1"/>
  <c r="AE142" i="4" s="1"/>
  <c r="AD128" i="4"/>
  <c r="AD132" i="4" s="1"/>
  <c r="AD142" i="4" s="1"/>
  <c r="AC128" i="4"/>
  <c r="AC132" i="4" s="1"/>
  <c r="AB128" i="4"/>
  <c r="AB132" i="4" s="1"/>
  <c r="AA128" i="4"/>
  <c r="AA132" i="4" s="1"/>
  <c r="Z128" i="4"/>
  <c r="Z132" i="4" s="1"/>
  <c r="Y128" i="4"/>
  <c r="Y132" i="4" s="1"/>
  <c r="Y142" i="4" s="1"/>
  <c r="X128" i="4"/>
  <c r="X132" i="4" s="1"/>
  <c r="X142" i="4" s="1"/>
  <c r="W128" i="4"/>
  <c r="W132" i="4" s="1"/>
  <c r="W142" i="4" s="1"/>
  <c r="V128" i="4"/>
  <c r="V132" i="4" s="1"/>
  <c r="V142" i="4" s="1"/>
  <c r="AC127" i="4"/>
  <c r="AC131" i="4" s="1"/>
  <c r="AC135" i="4" s="1"/>
  <c r="AC138" i="4" s="1"/>
  <c r="AC141" i="4" s="1"/>
  <c r="AB127" i="4"/>
  <c r="AB131" i="4" s="1"/>
  <c r="AB135" i="4" s="1"/>
  <c r="AB138" i="4" s="1"/>
  <c r="AB141" i="4" s="1"/>
  <c r="AA127" i="4"/>
  <c r="AA131" i="4" s="1"/>
  <c r="AA135" i="4" s="1"/>
  <c r="AA138" i="4" s="1"/>
  <c r="AA141" i="4" s="1"/>
  <c r="Z127" i="4"/>
  <c r="Z131" i="4" s="1"/>
  <c r="Z135" i="4" s="1"/>
  <c r="Z138" i="4" s="1"/>
  <c r="Z141" i="4" s="1"/>
  <c r="AE127" i="4"/>
  <c r="AE131" i="4" s="1"/>
  <c r="AE135" i="4" s="1"/>
  <c r="AE138" i="4" s="1"/>
  <c r="AE141" i="4" s="1"/>
  <c r="AD127" i="4"/>
  <c r="AD131" i="4" s="1"/>
  <c r="AD135" i="4" s="1"/>
  <c r="AD138" i="4" s="1"/>
  <c r="AD141" i="4" s="1"/>
  <c r="Y127" i="4"/>
  <c r="Y131" i="4" s="1"/>
  <c r="Y135" i="4" s="1"/>
  <c r="Y138" i="4" s="1"/>
  <c r="Y141" i="4" s="1"/>
  <c r="X127" i="4"/>
  <c r="X131" i="4" s="1"/>
  <c r="X135" i="4" s="1"/>
  <c r="X138" i="4" s="1"/>
  <c r="X141" i="4" s="1"/>
  <c r="W127" i="4"/>
  <c r="W131" i="4" s="1"/>
  <c r="W135" i="4" s="1"/>
  <c r="W138" i="4" s="1"/>
  <c r="W141" i="4" s="1"/>
  <c r="H164" i="4"/>
  <c r="C56" i="11"/>
  <c r="H163" i="4"/>
  <c r="I155" i="4"/>
  <c r="C47" i="11"/>
  <c r="C53" i="11"/>
  <c r="I128" i="4"/>
  <c r="I132" i="4" s="1"/>
  <c r="J128" i="4"/>
  <c r="J132" i="4" s="1"/>
  <c r="K128" i="4"/>
  <c r="K132" i="4" s="1"/>
  <c r="K136" i="4" s="1"/>
  <c r="K139" i="4" s="1"/>
  <c r="L128" i="4"/>
  <c r="L132" i="4" s="1"/>
  <c r="M128" i="4"/>
  <c r="M132" i="4" s="1"/>
  <c r="N128" i="4"/>
  <c r="N132" i="4" s="1"/>
  <c r="O128" i="4"/>
  <c r="O132" i="4" s="1"/>
  <c r="O142" i="4" s="1"/>
  <c r="P128" i="4"/>
  <c r="P132" i="4" s="1"/>
  <c r="Q128" i="4"/>
  <c r="Q132" i="4" s="1"/>
  <c r="H128" i="4"/>
  <c r="H132" i="4" s="1"/>
  <c r="C42" i="11"/>
  <c r="C41" i="11"/>
  <c r="C40" i="11"/>
  <c r="C32" i="11"/>
  <c r="C33" i="11"/>
  <c r="C34" i="11"/>
  <c r="C26" i="11"/>
  <c r="C25" i="11"/>
  <c r="C16" i="11"/>
  <c r="J93" i="4"/>
  <c r="K93" i="4"/>
  <c r="L93" i="4"/>
  <c r="M93" i="4"/>
  <c r="N93" i="4"/>
  <c r="O93" i="4"/>
  <c r="P93" i="4"/>
  <c r="Q93" i="4"/>
  <c r="H93" i="4"/>
  <c r="I67" i="4"/>
  <c r="I71" i="4" s="1"/>
  <c r="I85" i="4" s="1"/>
  <c r="I89" i="4" s="1"/>
  <c r="J67" i="4"/>
  <c r="J71" i="4" s="1"/>
  <c r="J73" i="4" s="1"/>
  <c r="J88" i="4" s="1"/>
  <c r="K67" i="4"/>
  <c r="K71" i="4" s="1"/>
  <c r="K118" i="4" s="1"/>
  <c r="K127" i="4" s="1"/>
  <c r="K131" i="4" s="1"/>
  <c r="K135" i="4" s="1"/>
  <c r="K138" i="4" s="1"/>
  <c r="K141" i="4" s="1"/>
  <c r="L67" i="4"/>
  <c r="L71" i="4" s="1"/>
  <c r="L85" i="4" s="1"/>
  <c r="L89" i="4" s="1"/>
  <c r="M67" i="4"/>
  <c r="M71" i="4" s="1"/>
  <c r="M118" i="4" s="1"/>
  <c r="M127" i="4" s="1"/>
  <c r="M131" i="4" s="1"/>
  <c r="M135" i="4" s="1"/>
  <c r="M138" i="4" s="1"/>
  <c r="M141" i="4" s="1"/>
  <c r="N67" i="4"/>
  <c r="N71" i="4" s="1"/>
  <c r="N118" i="4" s="1"/>
  <c r="N127" i="4" s="1"/>
  <c r="N131" i="4" s="1"/>
  <c r="N135" i="4" s="1"/>
  <c r="N138" i="4" s="1"/>
  <c r="N141" i="4" s="1"/>
  <c r="O67" i="4"/>
  <c r="O71" i="4" s="1"/>
  <c r="O85" i="4" s="1"/>
  <c r="O89" i="4" s="1"/>
  <c r="O101" i="4" s="1"/>
  <c r="P67" i="4"/>
  <c r="P71" i="4" s="1"/>
  <c r="P118" i="4" s="1"/>
  <c r="P127" i="4" s="1"/>
  <c r="P131" i="4" s="1"/>
  <c r="P135" i="4" s="1"/>
  <c r="P138" i="4" s="1"/>
  <c r="P141" i="4" s="1"/>
  <c r="Q67" i="4"/>
  <c r="Q71" i="4" s="1"/>
  <c r="Q118" i="4" s="1"/>
  <c r="Q127" i="4" s="1"/>
  <c r="Q131" i="4" s="1"/>
  <c r="Q135" i="4" s="1"/>
  <c r="Q138" i="4" s="1"/>
  <c r="Q141" i="4" s="1"/>
  <c r="BM8" i="4"/>
  <c r="C9" i="1"/>
  <c r="BN6" i="4" s="1"/>
  <c r="BO6" i="4" s="1"/>
  <c r="BP6" i="4" s="1"/>
  <c r="BN30" i="4"/>
  <c r="BO30" i="4" s="1"/>
  <c r="AF26" i="4"/>
  <c r="AF30" i="4" s="1"/>
  <c r="AF31" i="4" s="1"/>
  <c r="BH26" i="4"/>
  <c r="AS29" i="4"/>
  <c r="AS23" i="4"/>
  <c r="AN7" i="4"/>
  <c r="AS13" i="4"/>
  <c r="AS35" i="4"/>
  <c r="AS40" i="4" s="1"/>
  <c r="R21" i="4"/>
  <c r="C8" i="1"/>
  <c r="BN21" i="4" s="1"/>
  <c r="BO21" i="4" s="1"/>
  <c r="BP21" i="4" s="1"/>
  <c r="C7" i="1"/>
  <c r="AL6" i="4" s="1"/>
  <c r="AM6" i="4" s="1"/>
  <c r="AN6" i="4" s="1"/>
  <c r="CH159" i="13" l="1"/>
  <c r="CI159" i="13"/>
  <c r="CG161" i="13"/>
  <c r="CH160" i="13"/>
  <c r="CI160" i="13"/>
  <c r="CG162" i="13"/>
  <c r="FA23" i="13"/>
  <c r="G90" i="14" s="1"/>
  <c r="GQ23" i="13"/>
  <c r="GQ43" i="13" s="1"/>
  <c r="G72" i="14"/>
  <c r="DK43" i="13"/>
  <c r="DR43" i="13"/>
  <c r="GX43" i="13"/>
  <c r="CW9" i="13"/>
  <c r="CW23" i="13" s="1"/>
  <c r="G66" i="14" s="1"/>
  <c r="Z152" i="10"/>
  <c r="AA151" i="10"/>
  <c r="Z151" i="10"/>
  <c r="Z156" i="10"/>
  <c r="AA156" i="10"/>
  <c r="AA152" i="10"/>
  <c r="AA160" i="10"/>
  <c r="AD161" i="10" s="1"/>
  <c r="AJ22" i="10" s="1"/>
  <c r="AJ40" i="10" s="1"/>
  <c r="AA158" i="10"/>
  <c r="AA159" i="10"/>
  <c r="Z159" i="10"/>
  <c r="Z160" i="10"/>
  <c r="Z158" i="10"/>
  <c r="Z153" i="10"/>
  <c r="Z157" i="10"/>
  <c r="AA155" i="10"/>
  <c r="AA154" i="10"/>
  <c r="Z155" i="10"/>
  <c r="AA153" i="10"/>
  <c r="AA157" i="10"/>
  <c r="Z154" i="10"/>
  <c r="AA134" i="10"/>
  <c r="Z134" i="10"/>
  <c r="Z197" i="10"/>
  <c r="AA197" i="10"/>
  <c r="Z192" i="10"/>
  <c r="AA192" i="10"/>
  <c r="Z195" i="10"/>
  <c r="AA198" i="10"/>
  <c r="AD199" i="10" s="1"/>
  <c r="AJ24" i="10" s="1"/>
  <c r="AJ42" i="10" s="1"/>
  <c r="Z190" i="10"/>
  <c r="Z196" i="10"/>
  <c r="AA193" i="10"/>
  <c r="AA191" i="10"/>
  <c r="Z194" i="10"/>
  <c r="AA190" i="10"/>
  <c r="Z198" i="10"/>
  <c r="Z193" i="10"/>
  <c r="Z189" i="10"/>
  <c r="AC199" i="10" s="1"/>
  <c r="AI24" i="10" s="1"/>
  <c r="AI42" i="10" s="1"/>
  <c r="AA189" i="10"/>
  <c r="AA196" i="10"/>
  <c r="Z191" i="10"/>
  <c r="AA195" i="10"/>
  <c r="AA194" i="10"/>
  <c r="Z246" i="10"/>
  <c r="AC256" i="10" s="1"/>
  <c r="AI27" i="10" s="1"/>
  <c r="AI45" i="10" s="1"/>
  <c r="AA251" i="10"/>
  <c r="AA246" i="10"/>
  <c r="Z251" i="10"/>
  <c r="AA250" i="10"/>
  <c r="AA249" i="10"/>
  <c r="Z255" i="10"/>
  <c r="AA254" i="10"/>
  <c r="Z253" i="10"/>
  <c r="AA252" i="10"/>
  <c r="Z252" i="10"/>
  <c r="Z247" i="10"/>
  <c r="Z248" i="10"/>
  <c r="AA255" i="10"/>
  <c r="AD256" i="10" s="1"/>
  <c r="AJ27" i="10" s="1"/>
  <c r="AJ45" i="10" s="1"/>
  <c r="Z250" i="10"/>
  <c r="Z249" i="10"/>
  <c r="Z254" i="10"/>
  <c r="AA248" i="10"/>
  <c r="AA253" i="10"/>
  <c r="AA247" i="10"/>
  <c r="Z285" i="10"/>
  <c r="AA285" i="10" s="1"/>
  <c r="Z286" i="10"/>
  <c r="AA286" i="10" s="1"/>
  <c r="Z289" i="10"/>
  <c r="AA289" i="10" s="1"/>
  <c r="Z288" i="10"/>
  <c r="AA288" i="10" s="1"/>
  <c r="Z290" i="10"/>
  <c r="AA290" i="10" s="1"/>
  <c r="Z287" i="10"/>
  <c r="AA287" i="10" s="1"/>
  <c r="Z293" i="10"/>
  <c r="AA293" i="10" s="1"/>
  <c r="AD294" i="10" s="1"/>
  <c r="AJ29" i="10" s="1"/>
  <c r="AJ47" i="10" s="1"/>
  <c r="Z292" i="10"/>
  <c r="AA292" i="10" s="1"/>
  <c r="Z284" i="10"/>
  <c r="Z291" i="10"/>
  <c r="AA291" i="10" s="1"/>
  <c r="AA37" i="10"/>
  <c r="AA39" i="10"/>
  <c r="AA41" i="10"/>
  <c r="AA43" i="10"/>
  <c r="AA45" i="10"/>
  <c r="AD46" i="10" s="1"/>
  <c r="AJ16" i="10" s="1"/>
  <c r="AJ34" i="10" s="1"/>
  <c r="AA40" i="10"/>
  <c r="AA44" i="10"/>
  <c r="AA38" i="10"/>
  <c r="AA42" i="10"/>
  <c r="AA230" i="10"/>
  <c r="Z231" i="10"/>
  <c r="Z227" i="10"/>
  <c r="AC237" i="10" s="1"/>
  <c r="AI26" i="10" s="1"/>
  <c r="AI44" i="10" s="1"/>
  <c r="AA231" i="10"/>
  <c r="Z235" i="10"/>
  <c r="AA233" i="10"/>
  <c r="Z236" i="10"/>
  <c r="Z228" i="10"/>
  <c r="AA235" i="10"/>
  <c r="AA236" i="10"/>
  <c r="AD237" i="10" s="1"/>
  <c r="AJ26" i="10" s="1"/>
  <c r="AJ44" i="10" s="1"/>
  <c r="AA229" i="10"/>
  <c r="AA227" i="10"/>
  <c r="Z230" i="10"/>
  <c r="Z233" i="10"/>
  <c r="AA234" i="10"/>
  <c r="Z232" i="10"/>
  <c r="Z234" i="10"/>
  <c r="Z229" i="10"/>
  <c r="AA232" i="10"/>
  <c r="AA228" i="10"/>
  <c r="DY23" i="13"/>
  <c r="GC23" i="13"/>
  <c r="GC43" i="13" s="1"/>
  <c r="GM31" i="12"/>
  <c r="V257" i="10" s="1"/>
  <c r="EM23" i="13"/>
  <c r="E19" i="29"/>
  <c r="C19" i="29"/>
  <c r="G19" i="29"/>
  <c r="FO23" i="13"/>
  <c r="E12" i="29"/>
  <c r="C12" i="29"/>
  <c r="G12" i="29"/>
  <c r="G17" i="29"/>
  <c r="E17" i="29"/>
  <c r="C17" i="29"/>
  <c r="G14" i="29"/>
  <c r="E14" i="29"/>
  <c r="C14" i="29"/>
  <c r="H6" i="29"/>
  <c r="F6" i="29"/>
  <c r="G16" i="29"/>
  <c r="E16" i="29"/>
  <c r="C16" i="29"/>
  <c r="Q12" i="28"/>
  <c r="D71" i="27"/>
  <c r="D71" i="28"/>
  <c r="D95" i="28"/>
  <c r="D95" i="27"/>
  <c r="Q16" i="28"/>
  <c r="Q15" i="28"/>
  <c r="D89" i="28"/>
  <c r="D89" i="27"/>
  <c r="Q13" i="28"/>
  <c r="D77" i="27"/>
  <c r="D77" i="28"/>
  <c r="D83" i="28"/>
  <c r="Q14" i="28"/>
  <c r="D83" i="27"/>
  <c r="D101" i="27"/>
  <c r="D101" i="28"/>
  <c r="Q17" i="28"/>
  <c r="D107" i="27"/>
  <c r="D107" i="28"/>
  <c r="Q18" i="28"/>
  <c r="EZ25" i="12"/>
  <c r="V199" i="10" s="1"/>
  <c r="EZ27" i="12"/>
  <c r="V200" i="10" s="1"/>
  <c r="DX27" i="12"/>
  <c r="V162" i="10" s="1"/>
  <c r="DX25" i="12"/>
  <c r="V161" i="10" s="1"/>
  <c r="H118" i="4"/>
  <c r="H127" i="4" s="1"/>
  <c r="H131" i="4" s="1"/>
  <c r="E38" i="20"/>
  <c r="BM32" i="18"/>
  <c r="BM35" i="18" s="1"/>
  <c r="E36" i="20"/>
  <c r="BK32" i="18"/>
  <c r="BK35" i="18" s="1"/>
  <c r="DS190" i="4"/>
  <c r="DT190" i="4" s="1"/>
  <c r="DS191" i="4"/>
  <c r="DT197" i="4" s="1"/>
  <c r="DS183" i="4"/>
  <c r="DT183" i="4" s="1"/>
  <c r="E35" i="20"/>
  <c r="BJ32" i="18"/>
  <c r="BJ35" i="18" s="1"/>
  <c r="E33" i="20"/>
  <c r="BH32" i="18"/>
  <c r="BH35" i="18" s="1"/>
  <c r="E34" i="20"/>
  <c r="BI32" i="18"/>
  <c r="BI35" i="18" s="1"/>
  <c r="E37" i="20"/>
  <c r="BL32" i="18"/>
  <c r="BL35" i="18" s="1"/>
  <c r="M13" i="10"/>
  <c r="M34" i="10" s="1"/>
  <c r="G60" i="14"/>
  <c r="I11" i="29" s="1"/>
  <c r="M12" i="10"/>
  <c r="M33" i="10" s="1"/>
  <c r="M14" i="10"/>
  <c r="M35" i="10" s="1"/>
  <c r="G34" i="14"/>
  <c r="M10" i="10"/>
  <c r="M31" i="10" s="1"/>
  <c r="M9" i="10"/>
  <c r="M30" i="10" s="1"/>
  <c r="G44" i="14"/>
  <c r="M11" i="10"/>
  <c r="M32" i="10" s="1"/>
  <c r="M8" i="10"/>
  <c r="M29" i="10" s="1"/>
  <c r="G53" i="14"/>
  <c r="DS184" i="4"/>
  <c r="DT184" i="4" s="1"/>
  <c r="DS189" i="4"/>
  <c r="DT189" i="4" s="1"/>
  <c r="M107" i="10"/>
  <c r="M88" i="10"/>
  <c r="M91" i="10"/>
  <c r="M110" i="10"/>
  <c r="CU185" i="4"/>
  <c r="CU187" i="4"/>
  <c r="CU188" i="4"/>
  <c r="CU186" i="4"/>
  <c r="CU184" i="4"/>
  <c r="CU183" i="4"/>
  <c r="DH184" i="4"/>
  <c r="DH187" i="4"/>
  <c r="DH182" i="4"/>
  <c r="DT144" i="4"/>
  <c r="DT148" i="4" s="1"/>
  <c r="DT151" i="4" s="1"/>
  <c r="DT152" i="4" s="1"/>
  <c r="BS144" i="4"/>
  <c r="BS148" i="4" s="1"/>
  <c r="BS151" i="4" s="1"/>
  <c r="BS152" i="4" s="1"/>
  <c r="DY144" i="4"/>
  <c r="DY148" i="4" s="1"/>
  <c r="DY151" i="4" s="1"/>
  <c r="DY152" i="4" s="1"/>
  <c r="EA189" i="4"/>
  <c r="EA184" i="4"/>
  <c r="EA187" i="4"/>
  <c r="EA186" i="4"/>
  <c r="EA185" i="4"/>
  <c r="DS185" i="4"/>
  <c r="DT185" i="4" s="1"/>
  <c r="EA188" i="4"/>
  <c r="DS187" i="4"/>
  <c r="DT187" i="4" s="1"/>
  <c r="DS188" i="4"/>
  <c r="DT188" i="4" s="1"/>
  <c r="DL144" i="4"/>
  <c r="DL148" i="4" s="1"/>
  <c r="DL151" i="4" s="1"/>
  <c r="DL152" i="4" s="1"/>
  <c r="CY144" i="4"/>
  <c r="CY148" i="4" s="1"/>
  <c r="CY151" i="4" s="1"/>
  <c r="CY152" i="4" s="1"/>
  <c r="CQ135" i="4"/>
  <c r="CQ138" i="4" s="1"/>
  <c r="BP144" i="4"/>
  <c r="BP148" i="4" s="1"/>
  <c r="BP151" i="4" s="1"/>
  <c r="BP152" i="4" s="1"/>
  <c r="BM135" i="4"/>
  <c r="BM138" i="4" s="1"/>
  <c r="DT21" i="4"/>
  <c r="DH188" i="4"/>
  <c r="DS186" i="4"/>
  <c r="DT186" i="4" s="1"/>
  <c r="DH185" i="4"/>
  <c r="J100" i="4"/>
  <c r="CX103" i="4"/>
  <c r="CU144" i="4"/>
  <c r="CU148" i="4" s="1"/>
  <c r="CU151" i="4" s="1"/>
  <c r="CU152" i="4" s="1"/>
  <c r="CW144" i="4"/>
  <c r="CW148" i="4" s="1"/>
  <c r="CW151" i="4" s="1"/>
  <c r="CW152" i="4" s="1"/>
  <c r="DT6" i="4"/>
  <c r="M136" i="4"/>
  <c r="M139" i="4" s="1"/>
  <c r="M142" i="4"/>
  <c r="M144" i="4" s="1"/>
  <c r="M148" i="4" s="1"/>
  <c r="M151" i="4" s="1"/>
  <c r="M152" i="4" s="1"/>
  <c r="O136" i="4"/>
  <c r="O139" i="4" s="1"/>
  <c r="AS32" i="4"/>
  <c r="O91" i="4"/>
  <c r="O103" i="4" s="1"/>
  <c r="CD144" i="4"/>
  <c r="CD148" i="4" s="1"/>
  <c r="CD151" i="4" s="1"/>
  <c r="CD152" i="4" s="1"/>
  <c r="DE144" i="4"/>
  <c r="DE148" i="4" s="1"/>
  <c r="DE151" i="4" s="1"/>
  <c r="DE152" i="4" s="1"/>
  <c r="O90" i="4"/>
  <c r="O102" i="4" s="1"/>
  <c r="P73" i="4"/>
  <c r="P88" i="4" s="1"/>
  <c r="P100" i="4" s="1"/>
  <c r="DQ144" i="4"/>
  <c r="DQ148" i="4" s="1"/>
  <c r="DQ151" i="4" s="1"/>
  <c r="Y144" i="4"/>
  <c r="Y148" i="4" s="1"/>
  <c r="Y151" i="4" s="1"/>
  <c r="BO144" i="4"/>
  <c r="BO148" i="4" s="1"/>
  <c r="BO151" i="4" s="1"/>
  <c r="BO152" i="4" s="1"/>
  <c r="AN118" i="4"/>
  <c r="AN127" i="4" s="1"/>
  <c r="AN131" i="4" s="1"/>
  <c r="AN135" i="4" s="1"/>
  <c r="AN138" i="4" s="1"/>
  <c r="AN141" i="4" s="1"/>
  <c r="DI144" i="4"/>
  <c r="DI148" i="4" s="1"/>
  <c r="DI151" i="4" s="1"/>
  <c r="DI152" i="4" s="1"/>
  <c r="AP75" i="4"/>
  <c r="AP118" i="4"/>
  <c r="AP127" i="4" s="1"/>
  <c r="AP131" i="4" s="1"/>
  <c r="AP135" i="4" s="1"/>
  <c r="AP138" i="4" s="1"/>
  <c r="AP141" i="4" s="1"/>
  <c r="AP144" i="4" s="1"/>
  <c r="AP148" i="4" s="1"/>
  <c r="AP151" i="4" s="1"/>
  <c r="AP152" i="4" s="1"/>
  <c r="AP87" i="4"/>
  <c r="AP91" i="4" s="1"/>
  <c r="L90" i="4"/>
  <c r="L102" i="4" s="1"/>
  <c r="L91" i="4"/>
  <c r="L103" i="4" s="1"/>
  <c r="L101" i="4"/>
  <c r="BH27" i="4"/>
  <c r="BH30" i="4"/>
  <c r="BH31" i="4" s="1"/>
  <c r="AX21" i="4" s="1"/>
  <c r="Q136" i="4"/>
  <c r="Q139" i="4" s="1"/>
  <c r="Q142" i="4"/>
  <c r="Q144" i="4" s="1"/>
  <c r="Q148" i="4" s="1"/>
  <c r="Q151" i="4" s="1"/>
  <c r="Q152" i="4" s="1"/>
  <c r="I136" i="4"/>
  <c r="I139" i="4" s="1"/>
  <c r="I142" i="4"/>
  <c r="X144" i="4"/>
  <c r="X148" i="4" s="1"/>
  <c r="X151" i="4" s="1"/>
  <c r="AO87" i="4"/>
  <c r="AO75" i="4"/>
  <c r="AO90" i="4" s="1"/>
  <c r="AO102" i="4" s="1"/>
  <c r="AO118" i="4"/>
  <c r="AO127" i="4" s="1"/>
  <c r="AO131" i="4" s="1"/>
  <c r="AO135" i="4" s="1"/>
  <c r="AO138" i="4" s="1"/>
  <c r="AO141" i="4" s="1"/>
  <c r="P142" i="4"/>
  <c r="P144" i="4" s="1"/>
  <c r="P148" i="4" s="1"/>
  <c r="P151" i="4" s="1"/>
  <c r="P152" i="4" s="1"/>
  <c r="P136" i="4"/>
  <c r="P139" i="4" s="1"/>
  <c r="N136" i="4"/>
  <c r="N139" i="4" s="1"/>
  <c r="N142" i="4"/>
  <c r="N144" i="4" s="1"/>
  <c r="N148" i="4" s="1"/>
  <c r="N151" i="4" s="1"/>
  <c r="N152" i="4" s="1"/>
  <c r="L142" i="4"/>
  <c r="L136" i="4"/>
  <c r="L139" i="4" s="1"/>
  <c r="AR87" i="4"/>
  <c r="AR91" i="4" s="1"/>
  <c r="AR118" i="4"/>
  <c r="AR127" i="4" s="1"/>
  <c r="AR131" i="4" s="1"/>
  <c r="AR135" i="4" s="1"/>
  <c r="AR138" i="4" s="1"/>
  <c r="AR141" i="4" s="1"/>
  <c r="AR75" i="4"/>
  <c r="AR90" i="4" s="1"/>
  <c r="AR102" i="4" s="1"/>
  <c r="AQ118" i="4"/>
  <c r="AQ127" i="4" s="1"/>
  <c r="AQ131" i="4" s="1"/>
  <c r="AQ135" i="4" s="1"/>
  <c r="AQ138" i="4" s="1"/>
  <c r="AQ141" i="4" s="1"/>
  <c r="AQ144" i="4" s="1"/>
  <c r="AQ148" i="4" s="1"/>
  <c r="AQ151" i="4" s="1"/>
  <c r="AQ152" i="4" s="1"/>
  <c r="AQ75" i="4"/>
  <c r="AQ90" i="4" s="1"/>
  <c r="AQ102" i="4" s="1"/>
  <c r="AQ87" i="4"/>
  <c r="AQ91" i="4" s="1"/>
  <c r="AK87" i="4"/>
  <c r="AK91" i="4" s="1"/>
  <c r="AK118" i="4"/>
  <c r="AK127" i="4" s="1"/>
  <c r="AK131" i="4" s="1"/>
  <c r="AK141" i="4" s="1"/>
  <c r="AK75" i="4"/>
  <c r="AK90" i="4" s="1"/>
  <c r="AK102" i="4" s="1"/>
  <c r="AS118" i="4"/>
  <c r="AS127" i="4" s="1"/>
  <c r="AS131" i="4" s="1"/>
  <c r="AS135" i="4" s="1"/>
  <c r="AS138" i="4" s="1"/>
  <c r="AS141" i="4" s="1"/>
  <c r="AS75" i="4"/>
  <c r="AS90" i="4" s="1"/>
  <c r="AS102" i="4" s="1"/>
  <c r="AS87" i="4"/>
  <c r="AS91" i="4" s="1"/>
  <c r="AL87" i="4"/>
  <c r="AL91" i="4" s="1"/>
  <c r="AL103" i="4" s="1"/>
  <c r="AL75" i="4"/>
  <c r="AL90" i="4" s="1"/>
  <c r="AL102" i="4" s="1"/>
  <c r="AL118" i="4"/>
  <c r="AL127" i="4" s="1"/>
  <c r="AL131" i="4" s="1"/>
  <c r="AL135" i="4" s="1"/>
  <c r="AL138" i="4" s="1"/>
  <c r="AL141" i="4" s="1"/>
  <c r="AT87" i="4"/>
  <c r="AT91" i="4" s="1"/>
  <c r="AT75" i="4"/>
  <c r="AT90" i="4" s="1"/>
  <c r="AT102" i="4" s="1"/>
  <c r="AT118" i="4"/>
  <c r="AT127" i="4" s="1"/>
  <c r="AT131" i="4" s="1"/>
  <c r="AT135" i="4" s="1"/>
  <c r="AT138" i="4" s="1"/>
  <c r="AT141" i="4" s="1"/>
  <c r="J136" i="4"/>
  <c r="J139" i="4" s="1"/>
  <c r="J142" i="4"/>
  <c r="V144" i="4"/>
  <c r="V151" i="4" s="1"/>
  <c r="AM75" i="4"/>
  <c r="AM90" i="4" s="1"/>
  <c r="AM102" i="4" s="1"/>
  <c r="CT6" i="4"/>
  <c r="H88" i="4"/>
  <c r="H100" i="4" s="1"/>
  <c r="K142" i="4"/>
  <c r="K144" i="4" s="1"/>
  <c r="K148" i="4" s="1"/>
  <c r="K151" i="4" s="1"/>
  <c r="K152" i="4" s="1"/>
  <c r="I157" i="4"/>
  <c r="I73" i="4"/>
  <c r="I88" i="4" s="1"/>
  <c r="I100" i="4" s="1"/>
  <c r="CZ144" i="4"/>
  <c r="CZ148" i="4" s="1"/>
  <c r="CZ151" i="4" s="1"/>
  <c r="CZ152" i="4" s="1"/>
  <c r="CF21" i="4"/>
  <c r="AM118" i="4"/>
  <c r="AM127" i="4" s="1"/>
  <c r="AM131" i="4" s="1"/>
  <c r="AM135" i="4" s="1"/>
  <c r="AM138" i="4" s="1"/>
  <c r="AM141" i="4" s="1"/>
  <c r="J118" i="4"/>
  <c r="J127" i="4" s="1"/>
  <c r="J131" i="4" s="1"/>
  <c r="J135" i="4" s="1"/>
  <c r="J138" i="4" s="1"/>
  <c r="J141" i="4" s="1"/>
  <c r="I156" i="4"/>
  <c r="CT144" i="4"/>
  <c r="CT148" i="4" s="1"/>
  <c r="CT151" i="4" s="1"/>
  <c r="CT152" i="4" s="1"/>
  <c r="DL92" i="4"/>
  <c r="DL104" i="4" s="1"/>
  <c r="DK92" i="4"/>
  <c r="DK104" i="4" s="1"/>
  <c r="DK107" i="4" s="1"/>
  <c r="K120" i="10" s="1"/>
  <c r="W120" i="10" s="1"/>
  <c r="Z120" i="10" s="1"/>
  <c r="DX144" i="4"/>
  <c r="DX148" i="4" s="1"/>
  <c r="DX151" i="4" s="1"/>
  <c r="DX152" i="4" s="1"/>
  <c r="X21" i="4"/>
  <c r="I118" i="4"/>
  <c r="I127" i="4" s="1"/>
  <c r="I131" i="4" s="1"/>
  <c r="I135" i="4" s="1"/>
  <c r="I138" i="4" s="1"/>
  <c r="I141" i="4" s="1"/>
  <c r="AN87" i="4"/>
  <c r="AN91" i="4" s="1"/>
  <c r="CJ144" i="4"/>
  <c r="CJ148" i="4" s="1"/>
  <c r="CJ151" i="4" s="1"/>
  <c r="CJ152" i="4" s="1"/>
  <c r="DT51" i="4"/>
  <c r="L118" i="4"/>
  <c r="L127" i="4" s="1"/>
  <c r="L131" i="4" s="1"/>
  <c r="L135" i="4" s="1"/>
  <c r="L138" i="4" s="1"/>
  <c r="L141" i="4" s="1"/>
  <c r="J155" i="4"/>
  <c r="O118" i="4"/>
  <c r="O127" i="4" s="1"/>
  <c r="O131" i="4" s="1"/>
  <c r="O135" i="4" s="1"/>
  <c r="O138" i="4" s="1"/>
  <c r="O141" i="4" s="1"/>
  <c r="O144" i="4" s="1"/>
  <c r="O148" i="4" s="1"/>
  <c r="O151" i="4" s="1"/>
  <c r="O152" i="4" s="1"/>
  <c r="DZ144" i="4"/>
  <c r="DZ148" i="4" s="1"/>
  <c r="DZ151" i="4" s="1"/>
  <c r="DZ152" i="4" s="1"/>
  <c r="DV144" i="4"/>
  <c r="DV148" i="4" s="1"/>
  <c r="DV151" i="4" s="1"/>
  <c r="DV152" i="4" s="1"/>
  <c r="DT93" i="4"/>
  <c r="DT105" i="4" s="1"/>
  <c r="DT107" i="4" s="1"/>
  <c r="K135" i="10" s="1"/>
  <c r="W135" i="10" s="1"/>
  <c r="DS144" i="4"/>
  <c r="DS148" i="4" s="1"/>
  <c r="DS151" i="4" s="1"/>
  <c r="DS152" i="4" s="1"/>
  <c r="DL93" i="4"/>
  <c r="DL105" i="4" s="1"/>
  <c r="DH144" i="4"/>
  <c r="DH148" i="4" s="1"/>
  <c r="DH151" i="4" s="1"/>
  <c r="DH152" i="4" s="1"/>
  <c r="DF103" i="4"/>
  <c r="DF144" i="4"/>
  <c r="DF148" i="4" s="1"/>
  <c r="DD144" i="4"/>
  <c r="DD148" i="4" s="1"/>
  <c r="CX144" i="4"/>
  <c r="CX148" i="4" s="1"/>
  <c r="CX151" i="4" s="1"/>
  <c r="CX152" i="4" s="1"/>
  <c r="CV144" i="4"/>
  <c r="CV148" i="4" s="1"/>
  <c r="CV151" i="4" s="1"/>
  <c r="CV152" i="4" s="1"/>
  <c r="CS93" i="4"/>
  <c r="CS105" i="4" s="1"/>
  <c r="CS92" i="4"/>
  <c r="CS104" i="4" s="1"/>
  <c r="CL144" i="4"/>
  <c r="CL148" i="4" s="1"/>
  <c r="CL151" i="4" s="1"/>
  <c r="CL152" i="4" s="1"/>
  <c r="CI144" i="4"/>
  <c r="CI148" i="4" s="1"/>
  <c r="CI151" i="4" s="1"/>
  <c r="CI152" i="4" s="1"/>
  <c r="CH144" i="4"/>
  <c r="CH148" i="4" s="1"/>
  <c r="CH151" i="4" s="1"/>
  <c r="CH152" i="4" s="1"/>
  <c r="BT144" i="4"/>
  <c r="BT148" i="4" s="1"/>
  <c r="BT151" i="4" s="1"/>
  <c r="BT152" i="4" s="1"/>
  <c r="BR144" i="4"/>
  <c r="BR148" i="4" s="1"/>
  <c r="BR151" i="4" s="1"/>
  <c r="BR152" i="4" s="1"/>
  <c r="BQ144" i="4"/>
  <c r="BQ148" i="4" s="1"/>
  <c r="BQ151" i="4" s="1"/>
  <c r="BQ152" i="4" s="1"/>
  <c r="DW92" i="4"/>
  <c r="DW104" i="4" s="1"/>
  <c r="DW103" i="4"/>
  <c r="DW93" i="4"/>
  <c r="DW105" i="4" s="1"/>
  <c r="DY92" i="4"/>
  <c r="DY104" i="4" s="1"/>
  <c r="DY93" i="4"/>
  <c r="DY105" i="4" s="1"/>
  <c r="DY103" i="4"/>
  <c r="DW144" i="4"/>
  <c r="DW148" i="4" s="1"/>
  <c r="DW151" i="4" s="1"/>
  <c r="DW152" i="4" s="1"/>
  <c r="DX103" i="4"/>
  <c r="DX92" i="4"/>
  <c r="DX104" i="4" s="1"/>
  <c r="DX93" i="4"/>
  <c r="DX105" i="4" s="1"/>
  <c r="DS103" i="4"/>
  <c r="DS92" i="4"/>
  <c r="DS104" i="4" s="1"/>
  <c r="DS93" i="4"/>
  <c r="DS105" i="4" s="1"/>
  <c r="DQ103" i="4"/>
  <c r="DQ104" i="4"/>
  <c r="DQ93" i="4"/>
  <c r="DQ105" i="4" s="1"/>
  <c r="DZ93" i="4"/>
  <c r="DZ105" i="4" s="1"/>
  <c r="DZ103" i="4"/>
  <c r="DZ92" i="4"/>
  <c r="DZ104" i="4" s="1"/>
  <c r="DR93" i="4"/>
  <c r="DR105" i="4" s="1"/>
  <c r="DR103" i="4"/>
  <c r="DR92" i="4"/>
  <c r="DR104" i="4" s="1"/>
  <c r="DR144" i="4"/>
  <c r="DR148" i="4" s="1"/>
  <c r="DU93" i="4"/>
  <c r="DU105" i="4" s="1"/>
  <c r="DU92" i="4"/>
  <c r="DU104" i="4" s="1"/>
  <c r="DU103" i="4"/>
  <c r="DV93" i="4"/>
  <c r="DV105" i="4" s="1"/>
  <c r="DV92" i="4"/>
  <c r="DV104" i="4" s="1"/>
  <c r="DV103" i="4"/>
  <c r="DU144" i="4"/>
  <c r="DU148" i="4" s="1"/>
  <c r="DU151" i="4" s="1"/>
  <c r="DU152" i="4" s="1"/>
  <c r="DF93" i="4"/>
  <c r="DF105" i="4" s="1"/>
  <c r="DK144" i="4"/>
  <c r="DK148" i="4" s="1"/>
  <c r="DK151" i="4" s="1"/>
  <c r="DK152" i="4" s="1"/>
  <c r="DJ144" i="4"/>
  <c r="DJ148" i="4" s="1"/>
  <c r="DJ151" i="4" s="1"/>
  <c r="DJ152" i="4" s="1"/>
  <c r="DD93" i="4"/>
  <c r="DD105" i="4" s="1"/>
  <c r="DD103" i="4"/>
  <c r="DD92" i="4"/>
  <c r="DD104" i="4" s="1"/>
  <c r="DG93" i="4"/>
  <c r="DG105" i="4" s="1"/>
  <c r="DG103" i="4"/>
  <c r="DG92" i="4"/>
  <c r="DG104" i="4" s="1"/>
  <c r="DG144" i="4"/>
  <c r="DG148" i="4" s="1"/>
  <c r="DG151" i="4" s="1"/>
  <c r="DG152" i="4" s="1"/>
  <c r="DJ103" i="4"/>
  <c r="DJ92" i="4"/>
  <c r="DJ104" i="4" s="1"/>
  <c r="DJ93" i="4"/>
  <c r="DJ105" i="4" s="1"/>
  <c r="DE93" i="4"/>
  <c r="DE105" i="4" s="1"/>
  <c r="DE103" i="4"/>
  <c r="DE92" i="4"/>
  <c r="DE104" i="4" s="1"/>
  <c r="DI93" i="4"/>
  <c r="DI105" i="4" s="1"/>
  <c r="DI103" i="4"/>
  <c r="DI92" i="4"/>
  <c r="DI104" i="4" s="1"/>
  <c r="DM93" i="4"/>
  <c r="DM105" i="4" s="1"/>
  <c r="DM103" i="4"/>
  <c r="DM92" i="4"/>
  <c r="DM104" i="4" s="1"/>
  <c r="DH93" i="4"/>
  <c r="DH105" i="4" s="1"/>
  <c r="DH103" i="4"/>
  <c r="DH92" i="4"/>
  <c r="DH104" i="4" s="1"/>
  <c r="CY103" i="4"/>
  <c r="CY93" i="4"/>
  <c r="CY105" i="4" s="1"/>
  <c r="CX92" i="4"/>
  <c r="CX104" i="4" s="1"/>
  <c r="CS144" i="4"/>
  <c r="CS148" i="4" s="1"/>
  <c r="CS151" i="4" s="1"/>
  <c r="CS152" i="4" s="1"/>
  <c r="CQ93" i="4"/>
  <c r="CQ105" i="4" s="1"/>
  <c r="CQ92" i="4"/>
  <c r="CQ104" i="4" s="1"/>
  <c r="CU93" i="4"/>
  <c r="CU105" i="4" s="1"/>
  <c r="CU103" i="4"/>
  <c r="CU92" i="4"/>
  <c r="CU104" i="4" s="1"/>
  <c r="CV93" i="4"/>
  <c r="CV105" i="4" s="1"/>
  <c r="CV103" i="4"/>
  <c r="CV92" i="4"/>
  <c r="CV104" i="4" s="1"/>
  <c r="CR93" i="4"/>
  <c r="CR105" i="4" s="1"/>
  <c r="CR103" i="4"/>
  <c r="CR92" i="4"/>
  <c r="CR104" i="4" s="1"/>
  <c r="CQ144" i="4"/>
  <c r="CQ148" i="4" s="1"/>
  <c r="CW103" i="4"/>
  <c r="CW92" i="4"/>
  <c r="CW104" i="4" s="1"/>
  <c r="CW93" i="4"/>
  <c r="CW105" i="4" s="1"/>
  <c r="CZ93" i="4"/>
  <c r="CZ105" i="4" s="1"/>
  <c r="CZ103" i="4"/>
  <c r="CZ92" i="4"/>
  <c r="CZ104" i="4" s="1"/>
  <c r="CR144" i="4"/>
  <c r="CR148" i="4" s="1"/>
  <c r="CT93" i="4"/>
  <c r="CT105" i="4" s="1"/>
  <c r="CT103" i="4"/>
  <c r="CT92" i="4"/>
  <c r="CT104" i="4" s="1"/>
  <c r="CI103" i="4"/>
  <c r="CI93" i="4"/>
  <c r="CI105" i="4" s="1"/>
  <c r="CI92" i="4"/>
  <c r="CI104" i="4" s="1"/>
  <c r="CG93" i="4"/>
  <c r="CG105" i="4" s="1"/>
  <c r="CG103" i="4"/>
  <c r="CG92" i="4"/>
  <c r="CG104" i="4" s="1"/>
  <c r="CD92" i="4"/>
  <c r="CD104" i="4" s="1"/>
  <c r="CD93" i="4"/>
  <c r="CD105" i="4" s="1"/>
  <c r="CD103" i="4"/>
  <c r="CG144" i="4"/>
  <c r="CG148" i="4" s="1"/>
  <c r="CG151" i="4" s="1"/>
  <c r="CG152" i="4" s="1"/>
  <c r="CE93" i="4"/>
  <c r="CE105" i="4" s="1"/>
  <c r="CE103" i="4"/>
  <c r="CE92" i="4"/>
  <c r="CE104" i="4" s="1"/>
  <c r="CK144" i="4"/>
  <c r="CK148" i="4" s="1"/>
  <c r="CK151" i="4" s="1"/>
  <c r="CK152" i="4" s="1"/>
  <c r="CF93" i="4"/>
  <c r="CF105" i="4" s="1"/>
  <c r="CF103" i="4"/>
  <c r="CF92" i="4"/>
  <c r="CF104" i="4" s="1"/>
  <c r="CE144" i="4"/>
  <c r="CE148" i="4" s="1"/>
  <c r="CE151" i="4" s="1"/>
  <c r="CE152" i="4" s="1"/>
  <c r="CL103" i="4"/>
  <c r="CL93" i="4"/>
  <c r="CL105" i="4" s="1"/>
  <c r="CL92" i="4"/>
  <c r="CL104" i="4" s="1"/>
  <c r="CC141" i="4"/>
  <c r="CC144" i="4" s="1"/>
  <c r="CC148" i="4" s="1"/>
  <c r="CC135" i="4"/>
  <c r="CC138" i="4" s="1"/>
  <c r="CF144" i="4"/>
  <c r="CF148" i="4" s="1"/>
  <c r="CF151" i="4" s="1"/>
  <c r="CF152" i="4" s="1"/>
  <c r="CK103" i="4"/>
  <c r="CK92" i="4"/>
  <c r="CK104" i="4" s="1"/>
  <c r="CK93" i="4"/>
  <c r="CK105" i="4" s="1"/>
  <c r="CH103" i="4"/>
  <c r="CH92" i="4"/>
  <c r="CH104" i="4" s="1"/>
  <c r="CH93" i="4"/>
  <c r="CH105" i="4" s="1"/>
  <c r="CJ93" i="4"/>
  <c r="CJ105" i="4" s="1"/>
  <c r="CJ103" i="4"/>
  <c r="CJ92" i="4"/>
  <c r="CJ104" i="4" s="1"/>
  <c r="CC93" i="4"/>
  <c r="CC105" i="4" s="1"/>
  <c r="CC103" i="4"/>
  <c r="CC92" i="4"/>
  <c r="CC104" i="4" s="1"/>
  <c r="BT93" i="4"/>
  <c r="BT105" i="4" s="1"/>
  <c r="BT103" i="4"/>
  <c r="BT92" i="4"/>
  <c r="BT104" i="4" s="1"/>
  <c r="BN103" i="4"/>
  <c r="BN92" i="4"/>
  <c r="BN104" i="4" s="1"/>
  <c r="BN93" i="4"/>
  <c r="BN105" i="4" s="1"/>
  <c r="BN144" i="4"/>
  <c r="BN148" i="4" s="1"/>
  <c r="BN151" i="4" s="1"/>
  <c r="BN152" i="4" s="1"/>
  <c r="BV103" i="4"/>
  <c r="BV92" i="4"/>
  <c r="BV104" i="4" s="1"/>
  <c r="BV93" i="4"/>
  <c r="BV105" i="4" s="1"/>
  <c r="BM93" i="4"/>
  <c r="BM105" i="4" s="1"/>
  <c r="BM103" i="4"/>
  <c r="BM104" i="4"/>
  <c r="BV144" i="4"/>
  <c r="BV148" i="4" s="1"/>
  <c r="BV151" i="4" s="1"/>
  <c r="BV152" i="4" s="1"/>
  <c r="BO93" i="4"/>
  <c r="BO105" i="4" s="1"/>
  <c r="BO103" i="4"/>
  <c r="BO92" i="4"/>
  <c r="BO104" i="4" s="1"/>
  <c r="BS93" i="4"/>
  <c r="BS105" i="4" s="1"/>
  <c r="BS103" i="4"/>
  <c r="BS92" i="4"/>
  <c r="BS104" i="4" s="1"/>
  <c r="BU93" i="4"/>
  <c r="BU105" i="4" s="1"/>
  <c r="BU103" i="4"/>
  <c r="BU92" i="4"/>
  <c r="BU104" i="4" s="1"/>
  <c r="BP93" i="4"/>
  <c r="BP105" i="4" s="1"/>
  <c r="BP103" i="4"/>
  <c r="BP92" i="4"/>
  <c r="BP104" i="4" s="1"/>
  <c r="BR93" i="4"/>
  <c r="BR105" i="4" s="1"/>
  <c r="BR103" i="4"/>
  <c r="BR92" i="4"/>
  <c r="BR104" i="4" s="1"/>
  <c r="BQ103" i="4"/>
  <c r="BQ92" i="4"/>
  <c r="BQ104" i="4" s="1"/>
  <c r="BQ93" i="4"/>
  <c r="BQ105" i="4" s="1"/>
  <c r="AY20" i="4"/>
  <c r="AZ20" i="4" s="1"/>
  <c r="BA20" i="4" s="1"/>
  <c r="AY6" i="4"/>
  <c r="AZ6" i="4" s="1"/>
  <c r="BA6" i="4" s="1"/>
  <c r="BC75" i="4"/>
  <c r="BC90" i="4" s="1"/>
  <c r="BC102" i="4" s="1"/>
  <c r="BC87" i="4"/>
  <c r="BC91" i="4" s="1"/>
  <c r="BC118" i="4"/>
  <c r="BC127" i="4" s="1"/>
  <c r="BC131" i="4" s="1"/>
  <c r="BC135" i="4" s="1"/>
  <c r="BC138" i="4" s="1"/>
  <c r="BC141" i="4" s="1"/>
  <c r="BD75" i="4"/>
  <c r="BD90" i="4" s="1"/>
  <c r="BD102" i="4" s="1"/>
  <c r="BD87" i="4"/>
  <c r="BD91" i="4" s="1"/>
  <c r="BD118" i="4"/>
  <c r="BD127" i="4" s="1"/>
  <c r="BD131" i="4" s="1"/>
  <c r="BD135" i="4" s="1"/>
  <c r="BD138" i="4" s="1"/>
  <c r="BD141" i="4" s="1"/>
  <c r="AW87" i="4"/>
  <c r="AW91" i="4" s="1"/>
  <c r="AW118" i="4"/>
  <c r="AW127" i="4" s="1"/>
  <c r="AW131" i="4" s="1"/>
  <c r="AW135" i="4" s="1"/>
  <c r="AW138" i="4" s="1"/>
  <c r="AW75" i="4"/>
  <c r="AW90" i="4" s="1"/>
  <c r="AW102" i="4" s="1"/>
  <c r="BE87" i="4"/>
  <c r="BE91" i="4" s="1"/>
  <c r="BE118" i="4"/>
  <c r="BE127" i="4" s="1"/>
  <c r="BE131" i="4" s="1"/>
  <c r="BE135" i="4" s="1"/>
  <c r="BE138" i="4" s="1"/>
  <c r="BE141" i="4" s="1"/>
  <c r="BE75" i="4"/>
  <c r="BE90" i="4" s="1"/>
  <c r="BE102" i="4" s="1"/>
  <c r="AX87" i="4"/>
  <c r="AX91" i="4" s="1"/>
  <c r="AX118" i="4"/>
  <c r="AX127" i="4" s="1"/>
  <c r="AX131" i="4" s="1"/>
  <c r="AX135" i="4" s="1"/>
  <c r="AX138" i="4" s="1"/>
  <c r="AX141" i="4" s="1"/>
  <c r="AX75" i="4"/>
  <c r="AX90" i="4" s="1"/>
  <c r="BF87" i="4"/>
  <c r="BF91" i="4" s="1"/>
  <c r="BF118" i="4"/>
  <c r="BF127" i="4" s="1"/>
  <c r="BF131" i="4" s="1"/>
  <c r="BF135" i="4" s="1"/>
  <c r="BF138" i="4" s="1"/>
  <c r="BF141" i="4" s="1"/>
  <c r="BF75" i="4"/>
  <c r="BF90" i="4" s="1"/>
  <c r="BF102" i="4" s="1"/>
  <c r="AY93" i="4"/>
  <c r="AY105" i="4" s="1"/>
  <c r="AY103" i="4"/>
  <c r="AY92" i="4"/>
  <c r="AY104" i="4" s="1"/>
  <c r="AZ93" i="4"/>
  <c r="AZ105" i="4" s="1"/>
  <c r="AZ103" i="4"/>
  <c r="AZ92" i="4"/>
  <c r="AZ104" i="4" s="1"/>
  <c r="BA87" i="4"/>
  <c r="BA91" i="4" s="1"/>
  <c r="BA118" i="4"/>
  <c r="BA127" i="4" s="1"/>
  <c r="BA131" i="4" s="1"/>
  <c r="BA135" i="4" s="1"/>
  <c r="BA138" i="4" s="1"/>
  <c r="BA141" i="4" s="1"/>
  <c r="BA75" i="4"/>
  <c r="BA90" i="4" s="1"/>
  <c r="BA102" i="4" s="1"/>
  <c r="BB87" i="4"/>
  <c r="BB91" i="4" s="1"/>
  <c r="BB118" i="4"/>
  <c r="BB127" i="4" s="1"/>
  <c r="BB131" i="4" s="1"/>
  <c r="BB135" i="4" s="1"/>
  <c r="BB138" i="4" s="1"/>
  <c r="BB141" i="4" s="1"/>
  <c r="BB75" i="4"/>
  <c r="BB90" i="4" s="1"/>
  <c r="BB102" i="4" s="1"/>
  <c r="AX102" i="4"/>
  <c r="AY75" i="4"/>
  <c r="AY90" i="4" s="1"/>
  <c r="AY102" i="4" s="1"/>
  <c r="AZ75" i="4"/>
  <c r="AZ90" i="4" s="1"/>
  <c r="AZ102" i="4" s="1"/>
  <c r="AY118" i="4"/>
  <c r="AY127" i="4" s="1"/>
  <c r="AY131" i="4" s="1"/>
  <c r="AY135" i="4" s="1"/>
  <c r="AY138" i="4" s="1"/>
  <c r="AY141" i="4" s="1"/>
  <c r="AZ118" i="4"/>
  <c r="AZ127" i="4" s="1"/>
  <c r="AZ131" i="4" s="1"/>
  <c r="AZ135" i="4" s="1"/>
  <c r="AZ138" i="4" s="1"/>
  <c r="AZ141" i="4" s="1"/>
  <c r="AW136" i="4"/>
  <c r="AW139" i="4" s="1"/>
  <c r="AW142" i="4"/>
  <c r="BE142" i="4"/>
  <c r="BE136" i="4"/>
  <c r="BE139" i="4" s="1"/>
  <c r="BF142" i="4"/>
  <c r="BF136" i="4"/>
  <c r="BF139" i="4" s="1"/>
  <c r="AY142" i="4"/>
  <c r="AY136" i="4"/>
  <c r="AY139" i="4" s="1"/>
  <c r="AX142" i="4"/>
  <c r="AX136" i="4"/>
  <c r="AX139" i="4" s="1"/>
  <c r="AZ142" i="4"/>
  <c r="AZ136" i="4"/>
  <c r="AZ139" i="4" s="1"/>
  <c r="BA136" i="4"/>
  <c r="BA139" i="4" s="1"/>
  <c r="BA142" i="4"/>
  <c r="BB136" i="4"/>
  <c r="BB139" i="4" s="1"/>
  <c r="BB142" i="4"/>
  <c r="BC142" i="4"/>
  <c r="BC136" i="4"/>
  <c r="BC139" i="4" s="1"/>
  <c r="BD142" i="4"/>
  <c r="BD136" i="4"/>
  <c r="BD139" i="4" s="1"/>
  <c r="AR142" i="4"/>
  <c r="AR136" i="4"/>
  <c r="AR139" i="4" s="1"/>
  <c r="AK142" i="4"/>
  <c r="AK136" i="4"/>
  <c r="AK139" i="4" s="1"/>
  <c r="AS142" i="4"/>
  <c r="AS136" i="4"/>
  <c r="AS139" i="4" s="1"/>
  <c r="AL142" i="4"/>
  <c r="AL136" i="4"/>
  <c r="AL139" i="4" s="1"/>
  <c r="AT142" i="4"/>
  <c r="AT136" i="4"/>
  <c r="AT139" i="4" s="1"/>
  <c r="AM136" i="4"/>
  <c r="AM139" i="4" s="1"/>
  <c r="AM142" i="4"/>
  <c r="AN142" i="4"/>
  <c r="AN136" i="4"/>
  <c r="AN139" i="4" s="1"/>
  <c r="AO142" i="4"/>
  <c r="AO136" i="4"/>
  <c r="AO139" i="4" s="1"/>
  <c r="AP136" i="4"/>
  <c r="AP139" i="4" s="1"/>
  <c r="AQ136" i="4"/>
  <c r="AQ139" i="4" s="1"/>
  <c r="I101" i="4"/>
  <c r="I90" i="4"/>
  <c r="I102" i="4" s="1"/>
  <c r="I91" i="4"/>
  <c r="I103" i="4" s="1"/>
  <c r="AM91" i="4"/>
  <c r="AM92" i="4" s="1"/>
  <c r="AM104" i="4" s="1"/>
  <c r="AP90" i="4"/>
  <c r="AP102" i="4" s="1"/>
  <c r="AN90" i="4"/>
  <c r="AN102" i="4" s="1"/>
  <c r="AO91" i="4"/>
  <c r="V135" i="4"/>
  <c r="V138" i="4" s="1"/>
  <c r="AD144" i="4"/>
  <c r="AD148" i="4" s="1"/>
  <c r="AD151" i="4" s="1"/>
  <c r="AD152" i="4" s="1"/>
  <c r="W144" i="4"/>
  <c r="W148" i="4" s="1"/>
  <c r="AE144" i="4"/>
  <c r="AE148" i="4" s="1"/>
  <c r="AE151" i="4" s="1"/>
  <c r="AE152" i="4" s="1"/>
  <c r="Z142" i="4"/>
  <c r="Z144" i="4" s="1"/>
  <c r="Z148" i="4" s="1"/>
  <c r="Z136" i="4"/>
  <c r="Z139" i="4" s="1"/>
  <c r="AB142" i="4"/>
  <c r="AB144" i="4" s="1"/>
  <c r="AB148" i="4" s="1"/>
  <c r="AB151" i="4" s="1"/>
  <c r="AB152" i="4" s="1"/>
  <c r="AB136" i="4"/>
  <c r="AB139" i="4" s="1"/>
  <c r="AA142" i="4"/>
  <c r="AA144" i="4" s="1"/>
  <c r="AA148" i="4" s="1"/>
  <c r="AA136" i="4"/>
  <c r="AA139" i="4" s="1"/>
  <c r="AC136" i="4"/>
  <c r="AC139" i="4" s="1"/>
  <c r="AC142" i="4"/>
  <c r="AC144" i="4" s="1"/>
  <c r="AC148" i="4" s="1"/>
  <c r="AC151" i="4" s="1"/>
  <c r="V136" i="4"/>
  <c r="V139" i="4" s="1"/>
  <c r="AD136" i="4"/>
  <c r="AD139" i="4" s="1"/>
  <c r="W136" i="4"/>
  <c r="W139" i="4" s="1"/>
  <c r="AE136" i="4"/>
  <c r="AE139" i="4" s="1"/>
  <c r="X136" i="4"/>
  <c r="X139" i="4" s="1"/>
  <c r="Y136" i="4"/>
  <c r="Y139" i="4" s="1"/>
  <c r="L73" i="4"/>
  <c r="L88" i="4" s="1"/>
  <c r="L100" i="4" s="1"/>
  <c r="Q85" i="4"/>
  <c r="Q89" i="4" s="1"/>
  <c r="Q73" i="4"/>
  <c r="Q88" i="4" s="1"/>
  <c r="Q100" i="4" s="1"/>
  <c r="P85" i="4"/>
  <c r="P89" i="4" s="1"/>
  <c r="N85" i="4"/>
  <c r="N89" i="4" s="1"/>
  <c r="N73" i="4"/>
  <c r="N88" i="4" s="1"/>
  <c r="N100" i="4" s="1"/>
  <c r="H85" i="4"/>
  <c r="H89" i="4" s="1"/>
  <c r="H91" i="4" s="1"/>
  <c r="M85" i="4"/>
  <c r="M89" i="4" s="1"/>
  <c r="M73" i="4"/>
  <c r="M88" i="4" s="1"/>
  <c r="M100" i="4" s="1"/>
  <c r="K85" i="4"/>
  <c r="K89" i="4" s="1"/>
  <c r="K73" i="4"/>
  <c r="K88" i="4" s="1"/>
  <c r="K100" i="4" s="1"/>
  <c r="O73" i="4"/>
  <c r="O88" i="4" s="1"/>
  <c r="O100" i="4" s="1"/>
  <c r="J85" i="4"/>
  <c r="J89" i="4" s="1"/>
  <c r="BW30" i="4"/>
  <c r="BW31" i="4" s="1"/>
  <c r="BM22" i="4" s="1"/>
  <c r="BP22" i="4" s="1"/>
  <c r="BM7" i="4"/>
  <c r="BP7" i="4" s="1"/>
  <c r="Y20" i="4"/>
  <c r="Z20" i="4" s="1"/>
  <c r="AA20" i="4" s="1"/>
  <c r="Y6" i="4"/>
  <c r="Z6" i="4" s="1"/>
  <c r="AA6" i="4" s="1"/>
  <c r="AF27" i="4"/>
  <c r="CG163" i="13" l="1"/>
  <c r="CI161" i="13"/>
  <c r="CH161" i="13"/>
  <c r="CI162" i="13"/>
  <c r="CH162" i="13"/>
  <c r="CG164" i="13"/>
  <c r="FH43" i="13"/>
  <c r="I10" i="31" s="1"/>
  <c r="K10" i="31" s="1"/>
  <c r="FA43" i="13"/>
  <c r="G108" i="14"/>
  <c r="R20" i="14" s="1"/>
  <c r="R14" i="14"/>
  <c r="R17" i="14"/>
  <c r="R13" i="14"/>
  <c r="CW43" i="13"/>
  <c r="DD43" i="13"/>
  <c r="G78" i="14"/>
  <c r="EF43" i="13"/>
  <c r="DY43" i="13"/>
  <c r="G84" i="14"/>
  <c r="ET43" i="13"/>
  <c r="EM43" i="13"/>
  <c r="G96" i="14"/>
  <c r="FV43" i="13"/>
  <c r="FO43" i="13"/>
  <c r="G102" i="14"/>
  <c r="GJ43" i="13"/>
  <c r="I11" i="31" s="1"/>
  <c r="I9" i="31" s="1"/>
  <c r="AB199" i="10"/>
  <c r="AH24" i="10" s="1"/>
  <c r="AH42" i="10" s="1"/>
  <c r="AL42" i="10" s="1"/>
  <c r="AA212" i="10"/>
  <c r="AA217" i="10"/>
  <c r="AD218" i="10" s="1"/>
  <c r="AJ25" i="10" s="1"/>
  <c r="AJ43" i="10" s="1"/>
  <c r="AA215" i="10"/>
  <c r="AA208" i="10"/>
  <c r="AA214" i="10"/>
  <c r="AA209" i="10"/>
  <c r="AA211" i="10"/>
  <c r="AA210" i="10"/>
  <c r="AA213" i="10"/>
  <c r="AA216" i="10"/>
  <c r="Z212" i="10"/>
  <c r="Z217" i="10"/>
  <c r="Z216" i="10"/>
  <c r="Z209" i="10"/>
  <c r="Z213" i="10"/>
  <c r="Z215" i="10"/>
  <c r="Z214" i="10"/>
  <c r="Z208" i="10"/>
  <c r="Z210" i="10"/>
  <c r="Z211" i="10"/>
  <c r="Z175" i="10"/>
  <c r="Z179" i="10"/>
  <c r="Z171" i="10"/>
  <c r="Z173" i="10"/>
  <c r="Z174" i="10"/>
  <c r="Z178" i="10"/>
  <c r="Z176" i="10"/>
  <c r="Z170" i="10"/>
  <c r="Z177" i="10"/>
  <c r="Z172" i="10"/>
  <c r="AA120" i="10"/>
  <c r="AB256" i="10"/>
  <c r="AH27" i="10" s="1"/>
  <c r="AH45" i="10" s="1"/>
  <c r="AL45" i="10" s="1"/>
  <c r="Z135" i="10"/>
  <c r="AA135" i="10"/>
  <c r="AA179" i="10"/>
  <c r="AD180" i="10" s="1"/>
  <c r="AJ23" i="10" s="1"/>
  <c r="AJ41" i="10" s="1"/>
  <c r="AA171" i="10"/>
  <c r="AA175" i="10"/>
  <c r="AA170" i="10"/>
  <c r="AA177" i="10"/>
  <c r="AA176" i="10"/>
  <c r="AA173" i="10"/>
  <c r="AA178" i="10"/>
  <c r="AA172" i="10"/>
  <c r="AA174" i="10"/>
  <c r="G18" i="29"/>
  <c r="H18" i="29" s="1"/>
  <c r="Z271" i="10"/>
  <c r="AA271" i="10" s="1"/>
  <c r="Z272" i="10"/>
  <c r="AA272" i="10" s="1"/>
  <c r="Z274" i="10"/>
  <c r="AA274" i="10" s="1"/>
  <c r="AD275" i="10" s="1"/>
  <c r="AJ28" i="10" s="1"/>
  <c r="AJ46" i="10" s="1"/>
  <c r="Z268" i="10"/>
  <c r="AA268" i="10" s="1"/>
  <c r="Z267" i="10"/>
  <c r="AA267" i="10" s="1"/>
  <c r="Z266" i="10"/>
  <c r="AA266" i="10" s="1"/>
  <c r="Z265" i="10"/>
  <c r="Z270" i="10"/>
  <c r="AA270" i="10" s="1"/>
  <c r="Z273" i="10"/>
  <c r="AA273" i="10" s="1"/>
  <c r="Z269" i="10"/>
  <c r="AA269" i="10" s="1"/>
  <c r="AB237" i="10"/>
  <c r="AH26" i="10" s="1"/>
  <c r="AH44" i="10" s="1"/>
  <c r="AL44" i="10" s="1"/>
  <c r="AC294" i="10"/>
  <c r="AI29" i="10" s="1"/>
  <c r="AI47" i="10" s="1"/>
  <c r="AA284" i="10"/>
  <c r="AB294" i="10" s="1"/>
  <c r="AH29" i="10" s="1"/>
  <c r="AH47" i="10" s="1"/>
  <c r="AM47" i="10" s="1"/>
  <c r="AC161" i="10"/>
  <c r="AI22" i="10" s="1"/>
  <c r="AI40" i="10" s="1"/>
  <c r="AB161" i="10"/>
  <c r="AH22" i="10" s="1"/>
  <c r="AH40" i="10" s="1"/>
  <c r="AL40" i="10" s="1"/>
  <c r="C18" i="29"/>
  <c r="E18" i="29"/>
  <c r="AL39" i="29" s="1"/>
  <c r="AZ39" i="29" s="1"/>
  <c r="BM39" i="29" s="1"/>
  <c r="H17" i="29"/>
  <c r="AN38" i="29"/>
  <c r="BB38" i="29" s="1"/>
  <c r="BN38" i="29" s="1"/>
  <c r="AN17" i="29"/>
  <c r="BB17" i="29" s="1"/>
  <c r="H19" i="29"/>
  <c r="AN19" i="29"/>
  <c r="BB19" i="29" s="1"/>
  <c r="AN40" i="29"/>
  <c r="BB40" i="29" s="1"/>
  <c r="BN40" i="29" s="1"/>
  <c r="D16" i="29"/>
  <c r="AJ37" i="29"/>
  <c r="AX37" i="29" s="1"/>
  <c r="BL37" i="29" s="1"/>
  <c r="AJ16" i="29"/>
  <c r="AX16" i="29" s="1"/>
  <c r="D14" i="29"/>
  <c r="AJ35" i="29"/>
  <c r="AX35" i="29" s="1"/>
  <c r="BL35" i="29" s="1"/>
  <c r="AJ14" i="29"/>
  <c r="AX14" i="29" s="1"/>
  <c r="H12" i="29"/>
  <c r="AN12" i="29"/>
  <c r="BB12" i="29" s="1"/>
  <c r="AN33" i="29"/>
  <c r="BB33" i="29" s="1"/>
  <c r="BN33" i="29" s="1"/>
  <c r="D19" i="29"/>
  <c r="AJ40" i="29"/>
  <c r="AX40" i="29" s="1"/>
  <c r="BL40" i="29" s="1"/>
  <c r="AJ19" i="29"/>
  <c r="AX19" i="29" s="1"/>
  <c r="H16" i="29"/>
  <c r="AN37" i="29"/>
  <c r="BB37" i="29" s="1"/>
  <c r="BN37" i="29" s="1"/>
  <c r="AN16" i="29"/>
  <c r="BB16" i="29" s="1"/>
  <c r="AO27" i="29"/>
  <c r="BC27" i="29" s="1"/>
  <c r="AO6" i="29"/>
  <c r="BC6" i="29" s="1"/>
  <c r="H14" i="29"/>
  <c r="AN35" i="29"/>
  <c r="BB35" i="29" s="1"/>
  <c r="BN35" i="29" s="1"/>
  <c r="AN14" i="29"/>
  <c r="BB14" i="29" s="1"/>
  <c r="F17" i="29"/>
  <c r="AL38" i="29"/>
  <c r="AZ38" i="29" s="1"/>
  <c r="BM38" i="29" s="1"/>
  <c r="AL17" i="29"/>
  <c r="AZ17" i="29" s="1"/>
  <c r="F12" i="29"/>
  <c r="AL33" i="29"/>
  <c r="AZ33" i="29" s="1"/>
  <c r="BM33" i="29" s="1"/>
  <c r="AL12" i="29"/>
  <c r="AZ12" i="29" s="1"/>
  <c r="AP11" i="29"/>
  <c r="BD11" i="29" s="1"/>
  <c r="BO11" i="29" s="1"/>
  <c r="BU11" i="29" s="1"/>
  <c r="AP32" i="29"/>
  <c r="BD32" i="29" s="1"/>
  <c r="BO32" i="29" s="1"/>
  <c r="F16" i="29"/>
  <c r="AL37" i="29"/>
  <c r="AZ37" i="29" s="1"/>
  <c r="BM37" i="29" s="1"/>
  <c r="AL16" i="29"/>
  <c r="AZ16" i="29" s="1"/>
  <c r="AM6" i="29"/>
  <c r="BA6" i="29" s="1"/>
  <c r="AM27" i="29"/>
  <c r="BA27" i="29" s="1"/>
  <c r="F14" i="29"/>
  <c r="AL35" i="29"/>
  <c r="AZ35" i="29" s="1"/>
  <c r="BM35" i="29" s="1"/>
  <c r="AL14" i="29"/>
  <c r="AZ14" i="29" s="1"/>
  <c r="D17" i="29"/>
  <c r="AJ38" i="29"/>
  <c r="AX38" i="29" s="1"/>
  <c r="BL38" i="29" s="1"/>
  <c r="AJ17" i="29"/>
  <c r="AX17" i="29" s="1"/>
  <c r="D12" i="29"/>
  <c r="AJ33" i="29"/>
  <c r="AX33" i="29" s="1"/>
  <c r="BL33" i="29" s="1"/>
  <c r="AJ12" i="29"/>
  <c r="AX12" i="29" s="1"/>
  <c r="F19" i="29"/>
  <c r="AL40" i="29"/>
  <c r="AZ40" i="29" s="1"/>
  <c r="BM40" i="29" s="1"/>
  <c r="AL19" i="29"/>
  <c r="AZ19" i="29" s="1"/>
  <c r="I10" i="29"/>
  <c r="Q11" i="14"/>
  <c r="J11" i="29"/>
  <c r="Q12" i="14"/>
  <c r="I9" i="29"/>
  <c r="Q10" i="14"/>
  <c r="I8" i="29"/>
  <c r="Q9" i="14"/>
  <c r="G13" i="29"/>
  <c r="E13" i="29"/>
  <c r="C13" i="29"/>
  <c r="H13" i="29"/>
  <c r="F13" i="29"/>
  <c r="D13" i="29"/>
  <c r="F15" i="29"/>
  <c r="D15" i="29"/>
  <c r="H15" i="29"/>
  <c r="E15" i="29"/>
  <c r="C15" i="29"/>
  <c r="G15" i="29"/>
  <c r="D52" i="27"/>
  <c r="Q9" i="28"/>
  <c r="Q6" i="28"/>
  <c r="D23" i="27"/>
  <c r="AA16" i="28"/>
  <c r="Q8" i="28"/>
  <c r="D43" i="27"/>
  <c r="AA18" i="28"/>
  <c r="Q5" i="28"/>
  <c r="D13" i="27"/>
  <c r="D16" i="27" s="1"/>
  <c r="Q10" i="28"/>
  <c r="D59" i="27"/>
  <c r="D59" i="28"/>
  <c r="Q7" i="28"/>
  <c r="D33" i="27"/>
  <c r="AA17" i="28"/>
  <c r="H135" i="4"/>
  <c r="H138" i="4" s="1"/>
  <c r="H141" i="4"/>
  <c r="H148" i="4" s="1"/>
  <c r="L60" i="14"/>
  <c r="M127" i="10"/>
  <c r="M128" i="10"/>
  <c r="M125" i="10"/>
  <c r="M130" i="10"/>
  <c r="M126" i="10"/>
  <c r="M129" i="10"/>
  <c r="M131" i="10"/>
  <c r="M90" i="10"/>
  <c r="M109" i="10"/>
  <c r="M92" i="10"/>
  <c r="M111" i="10"/>
  <c r="M108" i="10"/>
  <c r="M89" i="10"/>
  <c r="M112" i="10"/>
  <c r="M93" i="10"/>
  <c r="M87" i="10"/>
  <c r="M106" i="10"/>
  <c r="AL144" i="4"/>
  <c r="AL148" i="4" s="1"/>
  <c r="AL151" i="4" s="1"/>
  <c r="H162" i="4"/>
  <c r="AM144" i="4"/>
  <c r="AM148" i="4" s="1"/>
  <c r="AM151" i="4" s="1"/>
  <c r="AM152" i="4" s="1"/>
  <c r="O105" i="4"/>
  <c r="AS144" i="4"/>
  <c r="AS148" i="4" s="1"/>
  <c r="AS151" i="4" s="1"/>
  <c r="AS152" i="4" s="1"/>
  <c r="AO144" i="4"/>
  <c r="AO148" i="4" s="1"/>
  <c r="AO151" i="4" s="1"/>
  <c r="AO152" i="4" s="1"/>
  <c r="L105" i="4"/>
  <c r="L144" i="4"/>
  <c r="L148" i="4" s="1"/>
  <c r="L151" i="4" s="1"/>
  <c r="L152" i="4" s="1"/>
  <c r="CX107" i="4"/>
  <c r="K101" i="10" s="1"/>
  <c r="W101" i="10" s="1"/>
  <c r="DL107" i="4"/>
  <c r="K121" i="10" s="1"/>
  <c r="W121" i="10" s="1"/>
  <c r="AN144" i="4"/>
  <c r="AN148" i="4" s="1"/>
  <c r="AN151" i="4" s="1"/>
  <c r="AN152" i="4" s="1"/>
  <c r="AK135" i="4"/>
  <c r="AK138" i="4" s="1"/>
  <c r="BE144" i="4"/>
  <c r="BE148" i="4" s="1"/>
  <c r="BE151" i="4" s="1"/>
  <c r="BE152" i="4" s="1"/>
  <c r="CS107" i="4"/>
  <c r="K96" i="10" s="1"/>
  <c r="W96" i="10" s="1"/>
  <c r="AT144" i="4"/>
  <c r="AT148" i="4" s="1"/>
  <c r="AT151" i="4" s="1"/>
  <c r="AT152" i="4" s="1"/>
  <c r="CQ107" i="4"/>
  <c r="K94" i="10" s="1"/>
  <c r="W94" i="10" s="1"/>
  <c r="I148" i="4"/>
  <c r="I151" i="4" s="1"/>
  <c r="I152" i="4" s="1"/>
  <c r="BD144" i="4"/>
  <c r="BD148" i="4" s="1"/>
  <c r="BD151" i="4" s="1"/>
  <c r="BD152" i="4" s="1"/>
  <c r="AR144" i="4"/>
  <c r="AR148" i="4" s="1"/>
  <c r="AR151" i="4" s="1"/>
  <c r="AR152" i="4" s="1"/>
  <c r="AK144" i="4"/>
  <c r="AK148" i="4" s="1"/>
  <c r="AK151" i="4" s="1"/>
  <c r="AK152" i="4" s="1"/>
  <c r="BN107" i="4"/>
  <c r="K57" i="10" s="1"/>
  <c r="W57" i="10" s="1"/>
  <c r="K90" i="4"/>
  <c r="K102" i="4" s="1"/>
  <c r="K91" i="4"/>
  <c r="K103" i="4" s="1"/>
  <c r="K101" i="4"/>
  <c r="Q90" i="4"/>
  <c r="Q102" i="4" s="1"/>
  <c r="Q91" i="4"/>
  <c r="Q103" i="4" s="1"/>
  <c r="Q101" i="4"/>
  <c r="BC144" i="4"/>
  <c r="BC148" i="4" s="1"/>
  <c r="BC151" i="4" s="1"/>
  <c r="BC152" i="4" s="1"/>
  <c r="K155" i="4"/>
  <c r="H103" i="4"/>
  <c r="H90" i="4"/>
  <c r="H102" i="4" s="1"/>
  <c r="BR107" i="4"/>
  <c r="K61" i="10" s="1"/>
  <c r="W61" i="10" s="1"/>
  <c r="J157" i="4"/>
  <c r="I164" i="4"/>
  <c r="BS107" i="4"/>
  <c r="K62" i="10" s="1"/>
  <c r="W62" i="10" s="1"/>
  <c r="X7" i="4"/>
  <c r="AF34" i="4"/>
  <c r="N101" i="4"/>
  <c r="N90" i="4"/>
  <c r="N102" i="4" s="1"/>
  <c r="N91" i="4"/>
  <c r="N103" i="4" s="1"/>
  <c r="I163" i="4"/>
  <c r="J156" i="4"/>
  <c r="P101" i="4"/>
  <c r="P90" i="4"/>
  <c r="P102" i="4" s="1"/>
  <c r="P91" i="4"/>
  <c r="P103" i="4" s="1"/>
  <c r="J144" i="4"/>
  <c r="J148" i="4" s="1"/>
  <c r="J151" i="4" s="1"/>
  <c r="J152" i="4" s="1"/>
  <c r="BH34" i="4"/>
  <c r="AX7" i="4"/>
  <c r="BA7" i="4" s="1"/>
  <c r="M101" i="4"/>
  <c r="M90" i="4"/>
  <c r="M102" i="4" s="1"/>
  <c r="M91" i="4"/>
  <c r="M103" i="4" s="1"/>
  <c r="J90" i="4"/>
  <c r="J102" i="4" s="1"/>
  <c r="J91" i="4"/>
  <c r="J103" i="4" s="1"/>
  <c r="J101" i="4"/>
  <c r="AL92" i="4"/>
  <c r="AL104" i="4" s="1"/>
  <c r="AY107" i="4"/>
  <c r="DW107" i="4"/>
  <c r="K138" i="10" s="1"/>
  <c r="W138" i="10" s="1"/>
  <c r="DJ107" i="4"/>
  <c r="K119" i="10" s="1"/>
  <c r="W119" i="10" s="1"/>
  <c r="DI107" i="4"/>
  <c r="K118" i="10" s="1"/>
  <c r="W118" i="10" s="1"/>
  <c r="DF107" i="4"/>
  <c r="K115" i="10" s="1"/>
  <c r="W115" i="10" s="1"/>
  <c r="DF151" i="4"/>
  <c r="DF152" i="4" s="1"/>
  <c r="DD107" i="4"/>
  <c r="K113" i="10" s="1"/>
  <c r="W113" i="10" s="1"/>
  <c r="DD151" i="4"/>
  <c r="DD152" i="4" s="1"/>
  <c r="CZ107" i="4"/>
  <c r="K103" i="10" s="1"/>
  <c r="W103" i="10" s="1"/>
  <c r="CY107" i="4"/>
  <c r="K102" i="10" s="1"/>
  <c r="W102" i="10" s="1"/>
  <c r="CU107" i="4"/>
  <c r="K98" i="10" s="1"/>
  <c r="W98" i="10" s="1"/>
  <c r="CT107" i="4"/>
  <c r="K97" i="10" s="1"/>
  <c r="W97" i="10" s="1"/>
  <c r="CR107" i="4"/>
  <c r="K95" i="10" s="1"/>
  <c r="W95" i="10" s="1"/>
  <c r="CL107" i="4"/>
  <c r="K84" i="10" s="1"/>
  <c r="W84" i="10" s="1"/>
  <c r="CG107" i="4"/>
  <c r="K79" i="10" s="1"/>
  <c r="W79" i="10" s="1"/>
  <c r="BV107" i="4"/>
  <c r="K65" i="10" s="1"/>
  <c r="W65" i="10" s="1"/>
  <c r="BT107" i="4"/>
  <c r="K63" i="10" s="1"/>
  <c r="W63" i="10" s="1"/>
  <c r="DS107" i="4"/>
  <c r="DZ107" i="4"/>
  <c r="K141" i="10" s="1"/>
  <c r="W141" i="10" s="1"/>
  <c r="DV107" i="4"/>
  <c r="K137" i="10" s="1"/>
  <c r="W137" i="10" s="1"/>
  <c r="DR107" i="4"/>
  <c r="K133" i="10" s="1"/>
  <c r="W133" i="10" s="1"/>
  <c r="DU107" i="4"/>
  <c r="K136" i="10" s="1"/>
  <c r="W136" i="10" s="1"/>
  <c r="DY107" i="4"/>
  <c r="K140" i="10" s="1"/>
  <c r="W140" i="10" s="1"/>
  <c r="DQ107" i="4"/>
  <c r="K132" i="10" s="1"/>
  <c r="DQ152" i="4"/>
  <c r="DR151" i="4"/>
  <c r="DX107" i="4"/>
  <c r="K139" i="10" s="1"/>
  <c r="W139" i="10" s="1"/>
  <c r="DM107" i="4"/>
  <c r="K122" i="10" s="1"/>
  <c r="W122" i="10" s="1"/>
  <c r="DG107" i="4"/>
  <c r="K116" i="10" s="1"/>
  <c r="W116" i="10" s="1"/>
  <c r="DE107" i="4"/>
  <c r="K114" i="10" s="1"/>
  <c r="W114" i="10" s="1"/>
  <c r="DH107" i="4"/>
  <c r="K117" i="10" s="1"/>
  <c r="W117" i="10" s="1"/>
  <c r="CV107" i="4"/>
  <c r="K99" i="10" s="1"/>
  <c r="W99" i="10" s="1"/>
  <c r="CR151" i="4"/>
  <c r="CQ151" i="4"/>
  <c r="CW107" i="4"/>
  <c r="K100" i="10" s="1"/>
  <c r="W100" i="10" s="1"/>
  <c r="CI107" i="4"/>
  <c r="K81" i="10" s="1"/>
  <c r="W81" i="10" s="1"/>
  <c r="CH107" i="4"/>
  <c r="K80" i="10" s="1"/>
  <c r="W80" i="10" s="1"/>
  <c r="CE107" i="4"/>
  <c r="K77" i="10" s="1"/>
  <c r="W77" i="10" s="1"/>
  <c r="CJ107" i="4"/>
  <c r="K82" i="10" s="1"/>
  <c r="W82" i="10" s="1"/>
  <c r="CF107" i="4"/>
  <c r="K78" i="10" s="1"/>
  <c r="W78" i="10" s="1"/>
  <c r="CD107" i="4"/>
  <c r="K76" i="10" s="1"/>
  <c r="W76" i="10" s="1"/>
  <c r="CK107" i="4"/>
  <c r="K83" i="10" s="1"/>
  <c r="W83" i="10" s="1"/>
  <c r="CC107" i="4"/>
  <c r="K75" i="10" s="1"/>
  <c r="W75" i="10" s="1"/>
  <c r="CC151" i="4"/>
  <c r="BO107" i="4"/>
  <c r="K58" i="10" s="1"/>
  <c r="W58" i="10" s="1"/>
  <c r="BP107" i="4"/>
  <c r="K59" i="10" s="1"/>
  <c r="W59" i="10" s="1"/>
  <c r="BQ107" i="4"/>
  <c r="K60" i="10" s="1"/>
  <c r="W60" i="10" s="1"/>
  <c r="BU107" i="4"/>
  <c r="K64" i="10" s="1"/>
  <c r="W64" i="10" s="1"/>
  <c r="BM107" i="4"/>
  <c r="K56" i="10" s="1"/>
  <c r="W56" i="10" s="1"/>
  <c r="BF144" i="4"/>
  <c r="BF148" i="4" s="1"/>
  <c r="BF151" i="4" s="1"/>
  <c r="BF152" i="4" s="1"/>
  <c r="AZ144" i="4"/>
  <c r="AZ148" i="4" s="1"/>
  <c r="AZ151" i="4" s="1"/>
  <c r="AZ152" i="4" s="1"/>
  <c r="BB144" i="4"/>
  <c r="BB148" i="4" s="1"/>
  <c r="BB151" i="4" s="1"/>
  <c r="BB152" i="4" s="1"/>
  <c r="AY144" i="4"/>
  <c r="AY148" i="4" s="1"/>
  <c r="AY151" i="4" s="1"/>
  <c r="AY152" i="4" s="1"/>
  <c r="AW141" i="4"/>
  <c r="AW144" i="4" s="1"/>
  <c r="AW148" i="4" s="1"/>
  <c r="AW151" i="4" s="1"/>
  <c r="BB93" i="4"/>
  <c r="BB105" i="4" s="1"/>
  <c r="BB103" i="4"/>
  <c r="BB92" i="4"/>
  <c r="BB104" i="4" s="1"/>
  <c r="BE103" i="4"/>
  <c r="BE93" i="4"/>
  <c r="BE105" i="4" s="1"/>
  <c r="BE92" i="4"/>
  <c r="BE104" i="4" s="1"/>
  <c r="AZ107" i="4"/>
  <c r="AX93" i="4"/>
  <c r="AX105" i="4" s="1"/>
  <c r="AX103" i="4"/>
  <c r="AX92" i="4"/>
  <c r="AX104" i="4" s="1"/>
  <c r="BA93" i="4"/>
  <c r="BA105" i="4" s="1"/>
  <c r="BA103" i="4"/>
  <c r="BA92" i="4"/>
  <c r="BA104" i="4" s="1"/>
  <c r="BD103" i="4"/>
  <c r="BD92" i="4"/>
  <c r="BD104" i="4" s="1"/>
  <c r="BD93" i="4"/>
  <c r="BD105" i="4" s="1"/>
  <c r="AX144" i="4"/>
  <c r="AX148" i="4" s="1"/>
  <c r="AW103" i="4"/>
  <c r="AW92" i="4"/>
  <c r="AW104" i="4" s="1"/>
  <c r="AW93" i="4"/>
  <c r="AW105" i="4" s="1"/>
  <c r="BA144" i="4"/>
  <c r="BA148" i="4" s="1"/>
  <c r="BA151" i="4" s="1"/>
  <c r="BA152" i="4" s="1"/>
  <c r="BC103" i="4"/>
  <c r="BC92" i="4"/>
  <c r="BC104" i="4" s="1"/>
  <c r="BC93" i="4"/>
  <c r="BC105" i="4" s="1"/>
  <c r="BF93" i="4"/>
  <c r="BF105" i="4" s="1"/>
  <c r="BF103" i="4"/>
  <c r="BF92" i="4"/>
  <c r="BF104" i="4" s="1"/>
  <c r="AL152" i="4"/>
  <c r="I105" i="4"/>
  <c r="AM103" i="4"/>
  <c r="AM93" i="4"/>
  <c r="AM105" i="4" s="1"/>
  <c r="AL93" i="4"/>
  <c r="AL105" i="4" s="1"/>
  <c r="AO93" i="4"/>
  <c r="AO105" i="4" s="1"/>
  <c r="AO103" i="4"/>
  <c r="AO92" i="4"/>
  <c r="AO104" i="4" s="1"/>
  <c r="AN93" i="4"/>
  <c r="AN105" i="4" s="1"/>
  <c r="AN103" i="4"/>
  <c r="AN92" i="4"/>
  <c r="AN104" i="4" s="1"/>
  <c r="AS103" i="4"/>
  <c r="AS92" i="4"/>
  <c r="AS104" i="4" s="1"/>
  <c r="AS93" i="4"/>
  <c r="AS105" i="4" s="1"/>
  <c r="AT103" i="4"/>
  <c r="AT93" i="4"/>
  <c r="AT105" i="4" s="1"/>
  <c r="AT92" i="4"/>
  <c r="AT104" i="4" s="1"/>
  <c r="AK92" i="4"/>
  <c r="AK104" i="4" s="1"/>
  <c r="AK93" i="4"/>
  <c r="AK105" i="4" s="1"/>
  <c r="AK103" i="4"/>
  <c r="AR93" i="4"/>
  <c r="AR105" i="4" s="1"/>
  <c r="AR103" i="4"/>
  <c r="AR92" i="4"/>
  <c r="AR104" i="4" s="1"/>
  <c r="AP103" i="4"/>
  <c r="AP92" i="4"/>
  <c r="AP104" i="4" s="1"/>
  <c r="AP93" i="4"/>
  <c r="AP105" i="4" s="1"/>
  <c r="AQ103" i="4"/>
  <c r="AQ92" i="4"/>
  <c r="AQ104" i="4" s="1"/>
  <c r="AQ93" i="4"/>
  <c r="AQ105" i="4" s="1"/>
  <c r="H151" i="4"/>
  <c r="AC152" i="4"/>
  <c r="AA151" i="4"/>
  <c r="Z151" i="4"/>
  <c r="W151" i="4"/>
  <c r="X152" i="4"/>
  <c r="Y152" i="4"/>
  <c r="BW36" i="4"/>
  <c r="AF36" i="4"/>
  <c r="BA21" i="4"/>
  <c r="AA21" i="4"/>
  <c r="CG166" i="13" l="1"/>
  <c r="CH164" i="13"/>
  <c r="CI164" i="13"/>
  <c r="CI163" i="13"/>
  <c r="CG165" i="13"/>
  <c r="CH163" i="13"/>
  <c r="I18" i="31"/>
  <c r="K18" i="31" s="1"/>
  <c r="CO37" i="13" s="1"/>
  <c r="I14" i="31"/>
  <c r="K14" i="31" s="1"/>
  <c r="I12" i="31"/>
  <c r="K12" i="31" s="1"/>
  <c r="I16" i="31"/>
  <c r="X18" i="14" s="1"/>
  <c r="I15" i="31"/>
  <c r="K15" i="31" s="1"/>
  <c r="I13" i="31"/>
  <c r="K13" i="31" s="1"/>
  <c r="I17" i="31"/>
  <c r="K17" i="31" s="1"/>
  <c r="R15" i="14"/>
  <c r="R16" i="14"/>
  <c r="R18" i="14"/>
  <c r="R19" i="14"/>
  <c r="W132" i="10"/>
  <c r="D18" i="29"/>
  <c r="AK39" i="29" s="1"/>
  <c r="AY39" i="29" s="1"/>
  <c r="AN18" i="29"/>
  <c r="BB18" i="29" s="1"/>
  <c r="K11" i="31"/>
  <c r="CO30" i="13" s="1"/>
  <c r="X13" i="14"/>
  <c r="AM42" i="10"/>
  <c r="AM45" i="10"/>
  <c r="AM40" i="10"/>
  <c r="AL47" i="10"/>
  <c r="AM44" i="10"/>
  <c r="AN39" i="29"/>
  <c r="BB39" i="29" s="1"/>
  <c r="BN39" i="29" s="1"/>
  <c r="Z64" i="10"/>
  <c r="AA64" i="10"/>
  <c r="Z81" i="10"/>
  <c r="AA81" i="10"/>
  <c r="Z122" i="10"/>
  <c r="AA122" i="10"/>
  <c r="AD123" i="10" s="1"/>
  <c r="AJ20" i="10" s="1"/>
  <c r="AJ38" i="10" s="1"/>
  <c r="Z137" i="10"/>
  <c r="AA137" i="10"/>
  <c r="Z65" i="10"/>
  <c r="AA65" i="10"/>
  <c r="AD66" i="10" s="1"/>
  <c r="AJ17" i="10" s="1"/>
  <c r="AJ35" i="10" s="1"/>
  <c r="Z118" i="10"/>
  <c r="AA118" i="10"/>
  <c r="Z60" i="10"/>
  <c r="AA60" i="10"/>
  <c r="Z82" i="10"/>
  <c r="AA82" i="10"/>
  <c r="AT134" i="10"/>
  <c r="G11" i="29" s="1"/>
  <c r="AN32" i="29" s="1"/>
  <c r="BB32" i="29" s="1"/>
  <c r="BN32" i="29" s="1"/>
  <c r="Z139" i="10"/>
  <c r="AA139" i="10"/>
  <c r="Z141" i="10"/>
  <c r="AA141" i="10"/>
  <c r="AD142" i="10" s="1"/>
  <c r="AJ21" i="10" s="1"/>
  <c r="AJ39" i="10" s="1"/>
  <c r="Z98" i="10"/>
  <c r="AA98" i="10"/>
  <c r="Z119" i="10"/>
  <c r="AA119" i="10"/>
  <c r="Z96" i="10"/>
  <c r="AA96" i="10"/>
  <c r="Z59" i="10"/>
  <c r="AA59" i="10"/>
  <c r="Z83" i="10"/>
  <c r="AA83" i="10"/>
  <c r="Z77" i="10"/>
  <c r="AA77" i="10"/>
  <c r="Z114" i="10"/>
  <c r="AA114" i="10"/>
  <c r="Z136" i="10"/>
  <c r="AA136" i="10"/>
  <c r="Z84" i="10"/>
  <c r="AA84" i="10"/>
  <c r="AD85" i="10" s="1"/>
  <c r="AJ18" i="10" s="1"/>
  <c r="AJ36" i="10" s="1"/>
  <c r="Z102" i="10"/>
  <c r="AA102" i="10"/>
  <c r="AA138" i="10"/>
  <c r="Z138" i="10"/>
  <c r="Z57" i="10"/>
  <c r="AA57" i="10"/>
  <c r="Z101" i="10"/>
  <c r="AA101" i="10"/>
  <c r="AC218" i="10"/>
  <c r="AI25" i="10" s="1"/>
  <c r="AI43" i="10" s="1"/>
  <c r="AB218" i="10"/>
  <c r="AH25" i="10" s="1"/>
  <c r="AH43" i="10" s="1"/>
  <c r="Z78" i="10"/>
  <c r="AA78" i="10"/>
  <c r="Z99" i="10"/>
  <c r="AA99" i="10"/>
  <c r="Z132" i="10"/>
  <c r="AA132" i="10"/>
  <c r="Z97" i="10"/>
  <c r="AA97" i="10"/>
  <c r="Z62" i="10"/>
  <c r="AA62" i="10"/>
  <c r="AC180" i="10"/>
  <c r="AI23" i="10" s="1"/>
  <c r="AI41" i="10" s="1"/>
  <c r="AB180" i="10"/>
  <c r="AH23" i="10" s="1"/>
  <c r="AH41" i="10" s="1"/>
  <c r="Z75" i="10"/>
  <c r="AC85" i="10" s="1"/>
  <c r="AI18" i="10" s="1"/>
  <c r="AI36" i="10" s="1"/>
  <c r="AA75" i="10"/>
  <c r="Z100" i="10"/>
  <c r="AA100" i="10"/>
  <c r="Z117" i="10"/>
  <c r="AA117" i="10"/>
  <c r="Z140" i="10"/>
  <c r="AA140" i="10"/>
  <c r="Z79" i="10"/>
  <c r="AA79" i="10"/>
  <c r="Z113" i="10"/>
  <c r="AA113" i="10"/>
  <c r="Z121" i="10"/>
  <c r="AA121" i="10"/>
  <c r="Z56" i="10"/>
  <c r="AC66" i="10" s="1"/>
  <c r="AI17" i="10" s="1"/>
  <c r="AI35" i="10" s="1"/>
  <c r="AA56" i="10"/>
  <c r="Z58" i="10"/>
  <c r="AA58" i="10"/>
  <c r="Z76" i="10"/>
  <c r="AA76" i="10"/>
  <c r="Z80" i="10"/>
  <c r="AA80" i="10"/>
  <c r="Z116" i="10"/>
  <c r="AA116" i="10"/>
  <c r="Z133" i="10"/>
  <c r="AA133" i="10"/>
  <c r="Z63" i="10"/>
  <c r="AA63" i="10"/>
  <c r="Z95" i="10"/>
  <c r="AA95" i="10"/>
  <c r="Z103" i="10"/>
  <c r="AA103" i="10"/>
  <c r="AD104" i="10" s="1"/>
  <c r="AJ19" i="10" s="1"/>
  <c r="AJ37" i="10" s="1"/>
  <c r="Z115" i="10"/>
  <c r="AA115" i="10"/>
  <c r="Z61" i="10"/>
  <c r="AA61" i="10"/>
  <c r="Z94" i="10"/>
  <c r="AC104" i="10" s="1"/>
  <c r="AI19" i="10" s="1"/>
  <c r="AI37" i="10" s="1"/>
  <c r="AA94" i="10"/>
  <c r="AA265" i="10"/>
  <c r="AB275" i="10" s="1"/>
  <c r="AH28" i="10" s="1"/>
  <c r="AH46" i="10" s="1"/>
  <c r="AM46" i="10" s="1"/>
  <c r="AC275" i="10"/>
  <c r="AI28" i="10" s="1"/>
  <c r="AI46" i="10" s="1"/>
  <c r="AJ18" i="29"/>
  <c r="AX18" i="29" s="1"/>
  <c r="AT75" i="10"/>
  <c r="D8" i="29" s="1"/>
  <c r="AT77" i="10"/>
  <c r="H8" i="29" s="1"/>
  <c r="AT113" i="10"/>
  <c r="D10" i="29" s="1"/>
  <c r="AT133" i="10"/>
  <c r="E11" i="29" s="1"/>
  <c r="F11" i="29" s="1"/>
  <c r="AM11" i="29" s="1"/>
  <c r="BA11" i="29" s="1"/>
  <c r="AT115" i="10"/>
  <c r="H10" i="29" s="1"/>
  <c r="AT132" i="10"/>
  <c r="C11" i="29" s="1"/>
  <c r="H11" i="29"/>
  <c r="AO11" i="29" s="1"/>
  <c r="BC11" i="29" s="1"/>
  <c r="AT56" i="10"/>
  <c r="AT114" i="10"/>
  <c r="AT58" i="10"/>
  <c r="AT94" i="10"/>
  <c r="AJ39" i="29"/>
  <c r="AX39" i="29" s="1"/>
  <c r="BL39" i="29" s="1"/>
  <c r="F18" i="29"/>
  <c r="AM18" i="29" s="1"/>
  <c r="BA18" i="29" s="1"/>
  <c r="AT57" i="10"/>
  <c r="AT96" i="10"/>
  <c r="AL18" i="29"/>
  <c r="AZ18" i="29" s="1"/>
  <c r="AT76" i="10"/>
  <c r="AT95" i="10"/>
  <c r="BS38" i="29"/>
  <c r="BS35" i="29"/>
  <c r="BS33" i="29"/>
  <c r="BT18" i="29"/>
  <c r="BT13" i="29"/>
  <c r="AN34" i="29"/>
  <c r="BB34" i="29" s="1"/>
  <c r="BN34" i="29" s="1"/>
  <c r="AN13" i="29"/>
  <c r="BB13" i="29" s="1"/>
  <c r="AN36" i="29"/>
  <c r="BB36" i="29" s="1"/>
  <c r="BN36" i="29" s="1"/>
  <c r="AN15" i="29"/>
  <c r="BB15" i="29" s="1"/>
  <c r="AK36" i="29"/>
  <c r="AY36" i="29" s="1"/>
  <c r="AK15" i="29"/>
  <c r="AY15" i="29" s="1"/>
  <c r="AO34" i="29"/>
  <c r="BC34" i="29" s="1"/>
  <c r="AO13" i="29"/>
  <c r="BC13" i="29" s="1"/>
  <c r="AK38" i="29"/>
  <c r="AY38" i="29" s="1"/>
  <c r="AK17" i="29"/>
  <c r="AY17" i="29" s="1"/>
  <c r="AO16" i="29"/>
  <c r="BC16" i="29" s="1"/>
  <c r="AO37" i="29"/>
  <c r="BC37" i="29" s="1"/>
  <c r="AK14" i="29"/>
  <c r="AY14" i="29" s="1"/>
  <c r="AK35" i="29"/>
  <c r="AY35" i="29" s="1"/>
  <c r="AK16" i="29"/>
  <c r="AY16" i="29" s="1"/>
  <c r="AK37" i="29"/>
  <c r="AY37" i="29" s="1"/>
  <c r="AM13" i="29"/>
  <c r="BA13" i="29" s="1"/>
  <c r="AM34" i="29"/>
  <c r="BA34" i="29" s="1"/>
  <c r="J9" i="29"/>
  <c r="AP9" i="29"/>
  <c r="BD9" i="29" s="1"/>
  <c r="BO9" i="29" s="1"/>
  <c r="BU9" i="29" s="1"/>
  <c r="AP30" i="29"/>
  <c r="BD30" i="29" s="1"/>
  <c r="BO30" i="29" s="1"/>
  <c r="AK12" i="29"/>
  <c r="AY12" i="29" s="1"/>
  <c r="AK33" i="29"/>
  <c r="AY33" i="29" s="1"/>
  <c r="AJ15" i="29"/>
  <c r="AX15" i="29" s="1"/>
  <c r="AJ36" i="29"/>
  <c r="AX36" i="29" s="1"/>
  <c r="BL36" i="29" s="1"/>
  <c r="AM36" i="29"/>
  <c r="BA36" i="29" s="1"/>
  <c r="AM15" i="29"/>
  <c r="BA15" i="29" s="1"/>
  <c r="AJ34" i="29"/>
  <c r="AX34" i="29" s="1"/>
  <c r="BL34" i="29" s="1"/>
  <c r="AJ13" i="29"/>
  <c r="AX13" i="29" s="1"/>
  <c r="J8" i="29"/>
  <c r="AP29" i="29"/>
  <c r="BD29" i="29" s="1"/>
  <c r="BO29" i="29" s="1"/>
  <c r="AP8" i="29"/>
  <c r="BD8" i="29" s="1"/>
  <c r="BO8" i="29" s="1"/>
  <c r="BU8" i="29" s="1"/>
  <c r="AQ11" i="29"/>
  <c r="BE11" i="29" s="1"/>
  <c r="AQ32" i="29"/>
  <c r="BE32" i="29" s="1"/>
  <c r="AM35" i="29"/>
  <c r="BA35" i="29" s="1"/>
  <c r="AM14" i="29"/>
  <c r="BA14" i="29" s="1"/>
  <c r="AM37" i="29"/>
  <c r="BA37" i="29" s="1"/>
  <c r="AM16" i="29"/>
  <c r="BA16" i="29" s="1"/>
  <c r="AK18" i="29"/>
  <c r="AY18" i="29" s="1"/>
  <c r="AO14" i="29"/>
  <c r="BC14" i="29" s="1"/>
  <c r="AO35" i="29"/>
  <c r="BC35" i="29" s="1"/>
  <c r="BT20" i="29"/>
  <c r="AO36" i="29"/>
  <c r="BC36" i="29" s="1"/>
  <c r="AO15" i="29"/>
  <c r="BC15" i="29" s="1"/>
  <c r="J10" i="29"/>
  <c r="AP31" i="29"/>
  <c r="BD31" i="29" s="1"/>
  <c r="BO31" i="29" s="1"/>
  <c r="AP10" i="29"/>
  <c r="BD10" i="29" s="1"/>
  <c r="BO10" i="29" s="1"/>
  <c r="BU10" i="29" s="1"/>
  <c r="AM38" i="29"/>
  <c r="BA38" i="29" s="1"/>
  <c r="AM17" i="29"/>
  <c r="BA17" i="29" s="1"/>
  <c r="AK40" i="29"/>
  <c r="AY40" i="29" s="1"/>
  <c r="AK19" i="29"/>
  <c r="AY19" i="29" s="1"/>
  <c r="BS37" i="29"/>
  <c r="AO40" i="29"/>
  <c r="BC40" i="29" s="1"/>
  <c r="AO19" i="29"/>
  <c r="BC19" i="29" s="1"/>
  <c r="AL15" i="29"/>
  <c r="AZ15" i="29" s="1"/>
  <c r="AL36" i="29"/>
  <c r="AZ36" i="29" s="1"/>
  <c r="BM36" i="29" s="1"/>
  <c r="AK34" i="29"/>
  <c r="AY34" i="29" s="1"/>
  <c r="AK13" i="29"/>
  <c r="AY13" i="29" s="1"/>
  <c r="AL13" i="29"/>
  <c r="AZ13" i="29" s="1"/>
  <c r="AL34" i="29"/>
  <c r="AZ34" i="29" s="1"/>
  <c r="BM34" i="29" s="1"/>
  <c r="AM40" i="29"/>
  <c r="BA40" i="29" s="1"/>
  <c r="AM19" i="29"/>
  <c r="BA19" i="29" s="1"/>
  <c r="AO18" i="29"/>
  <c r="BC18" i="29" s="1"/>
  <c r="AO39" i="29"/>
  <c r="BC39" i="29" s="1"/>
  <c r="AM33" i="29"/>
  <c r="BA33" i="29" s="1"/>
  <c r="AM12" i="29"/>
  <c r="BA12" i="29" s="1"/>
  <c r="BS40" i="29"/>
  <c r="AO33" i="29"/>
  <c r="BC33" i="29" s="1"/>
  <c r="AO12" i="29"/>
  <c r="BC12" i="29" s="1"/>
  <c r="BT15" i="29"/>
  <c r="BT17" i="29"/>
  <c r="AO38" i="29"/>
  <c r="BC38" i="29" s="1"/>
  <c r="AO17" i="29"/>
  <c r="BC17" i="29" s="1"/>
  <c r="M18" i="29"/>
  <c r="AF17" i="28"/>
  <c r="M19" i="29"/>
  <c r="AF18" i="28"/>
  <c r="Q11" i="28"/>
  <c r="M17" i="29"/>
  <c r="AF16" i="28"/>
  <c r="AL107" i="4"/>
  <c r="K105" i="4"/>
  <c r="AW107" i="4"/>
  <c r="BB107" i="4"/>
  <c r="H105" i="4"/>
  <c r="I162" i="4"/>
  <c r="Q105" i="4"/>
  <c r="P105" i="4"/>
  <c r="BF107" i="4"/>
  <c r="M105" i="4"/>
  <c r="N105" i="4"/>
  <c r="AX107" i="4"/>
  <c r="BD107" i="4"/>
  <c r="BC107" i="4"/>
  <c r="J105" i="4"/>
  <c r="AX22" i="4"/>
  <c r="AX8" i="4"/>
  <c r="BH36" i="4"/>
  <c r="L155" i="4"/>
  <c r="K162" i="4"/>
  <c r="BA107" i="4"/>
  <c r="J162" i="4"/>
  <c r="AM107" i="4"/>
  <c r="BE107" i="4"/>
  <c r="K157" i="4"/>
  <c r="J164" i="4"/>
  <c r="K156" i="4"/>
  <c r="J163" i="4"/>
  <c r="DR152" i="4"/>
  <c r="CQ152" i="4"/>
  <c r="CR152" i="4"/>
  <c r="CC152" i="4"/>
  <c r="AX151" i="4"/>
  <c r="AX152" i="4" s="1"/>
  <c r="AW152" i="4"/>
  <c r="AK107" i="4"/>
  <c r="K36" i="10" s="1"/>
  <c r="W36" i="10" s="1"/>
  <c r="AP107" i="4"/>
  <c r="AO107" i="4"/>
  <c r="AS107" i="4"/>
  <c r="AR107" i="4"/>
  <c r="AN107" i="4"/>
  <c r="AQ107" i="4"/>
  <c r="AT107" i="4"/>
  <c r="H152" i="4"/>
  <c r="Z152" i="4"/>
  <c r="AA152" i="4"/>
  <c r="W152" i="4"/>
  <c r="V152" i="4"/>
  <c r="AA7" i="4"/>
  <c r="I21" i="12"/>
  <c r="I20" i="4"/>
  <c r="I6" i="4"/>
  <c r="H108" i="14" l="1"/>
  <c r="H78" i="14"/>
  <c r="CO32" i="13"/>
  <c r="H84" i="14"/>
  <c r="CO33" i="13"/>
  <c r="H90" i="14"/>
  <c r="CO34" i="13"/>
  <c r="H102" i="14"/>
  <c r="CO36" i="13"/>
  <c r="H72" i="14"/>
  <c r="CO31" i="13"/>
  <c r="K16" i="31"/>
  <c r="X16" i="14"/>
  <c r="X14" i="14"/>
  <c r="X15" i="14"/>
  <c r="X19" i="14"/>
  <c r="GX44" i="13"/>
  <c r="GX45" i="13" s="1"/>
  <c r="GQ44" i="13"/>
  <c r="GQ45" i="13" s="1"/>
  <c r="GN182" i="13" s="1"/>
  <c r="GP182" i="13" s="1"/>
  <c r="GR182" i="13" s="1"/>
  <c r="CG167" i="13"/>
  <c r="CI165" i="13"/>
  <c r="CH165" i="13"/>
  <c r="CI166" i="13"/>
  <c r="CH166" i="13"/>
  <c r="CG168" i="13"/>
  <c r="X17" i="14"/>
  <c r="X20" i="14"/>
  <c r="K9" i="31"/>
  <c r="H66" i="14"/>
  <c r="AJ11" i="29"/>
  <c r="AX11" i="29" s="1"/>
  <c r="BL11" i="29" s="1"/>
  <c r="BS39" i="29"/>
  <c r="AL41" i="10"/>
  <c r="AL43" i="10"/>
  <c r="AM41" i="10"/>
  <c r="AM43" i="10"/>
  <c r="AL46" i="10"/>
  <c r="AN11" i="29"/>
  <c r="BB11" i="29" s="1"/>
  <c r="BN11" i="29" s="1"/>
  <c r="AB66" i="10"/>
  <c r="AH17" i="10" s="1"/>
  <c r="AH35" i="10" s="1"/>
  <c r="AL35" i="10" s="1"/>
  <c r="C8" i="29"/>
  <c r="AO32" i="29"/>
  <c r="BC32" i="29" s="1"/>
  <c r="BT19" i="29"/>
  <c r="G8" i="29"/>
  <c r="AN29" i="29" s="1"/>
  <c r="BB29" i="29" s="1"/>
  <c r="BN29" i="29" s="1"/>
  <c r="AB104" i="10"/>
  <c r="AH19" i="10" s="1"/>
  <c r="AH37" i="10" s="1"/>
  <c r="AL37" i="10" s="1"/>
  <c r="AL11" i="29"/>
  <c r="AZ11" i="29" s="1"/>
  <c r="BM11" i="29" s="1"/>
  <c r="AC142" i="10"/>
  <c r="AI21" i="10" s="1"/>
  <c r="AI39" i="10" s="1"/>
  <c r="AB142" i="10"/>
  <c r="AH21" i="10" s="1"/>
  <c r="AH39" i="10" s="1"/>
  <c r="AT36" i="10"/>
  <c r="Z36" i="10"/>
  <c r="AA36" i="10"/>
  <c r="AB85" i="10"/>
  <c r="AH18" i="10" s="1"/>
  <c r="AH36" i="10" s="1"/>
  <c r="AL36" i="10" s="1"/>
  <c r="AC123" i="10"/>
  <c r="AI20" i="10" s="1"/>
  <c r="AI38" i="10" s="1"/>
  <c r="AB123" i="10"/>
  <c r="AH20" i="10" s="1"/>
  <c r="AH38" i="10" s="1"/>
  <c r="G10" i="29"/>
  <c r="AN31" i="29" s="1"/>
  <c r="BB31" i="29" s="1"/>
  <c r="BN31" i="29" s="1"/>
  <c r="C10" i="29"/>
  <c r="AJ31" i="29" s="1"/>
  <c r="AX31" i="29" s="1"/>
  <c r="BL31" i="29" s="1"/>
  <c r="AL32" i="29"/>
  <c r="AZ32" i="29" s="1"/>
  <c r="BM32" i="29" s="1"/>
  <c r="AM39" i="29"/>
  <c r="BA39" i="29" s="1"/>
  <c r="AJ32" i="29"/>
  <c r="AX32" i="29" s="1"/>
  <c r="BL32" i="29" s="1"/>
  <c r="D11" i="29"/>
  <c r="H7" i="29"/>
  <c r="G7" i="29"/>
  <c r="E10" i="29"/>
  <c r="F10" i="29"/>
  <c r="F8" i="29"/>
  <c r="E8" i="29"/>
  <c r="C6" i="29"/>
  <c r="D6" i="29"/>
  <c r="AM32" i="29"/>
  <c r="BA32" i="29" s="1"/>
  <c r="H9" i="29"/>
  <c r="G9" i="29"/>
  <c r="AK29" i="29"/>
  <c r="AY29" i="29" s="1"/>
  <c r="AK8" i="29"/>
  <c r="AY8" i="29" s="1"/>
  <c r="C7" i="29"/>
  <c r="D7" i="29"/>
  <c r="AO29" i="29"/>
  <c r="BC29" i="29" s="1"/>
  <c r="AO8" i="29"/>
  <c r="BC8" i="29" s="1"/>
  <c r="AO31" i="29"/>
  <c r="BC31" i="29" s="1"/>
  <c r="AO10" i="29"/>
  <c r="BC10" i="29" s="1"/>
  <c r="AK10" i="29"/>
  <c r="AY10" i="29" s="1"/>
  <c r="AK31" i="29"/>
  <c r="AY31" i="29" s="1"/>
  <c r="F9" i="29"/>
  <c r="E9" i="29"/>
  <c r="E7" i="29"/>
  <c r="F7" i="29"/>
  <c r="C9" i="29"/>
  <c r="D9" i="29"/>
  <c r="BT14" i="29"/>
  <c r="BS34" i="29"/>
  <c r="BT16" i="29"/>
  <c r="AT17" i="29"/>
  <c r="BH17" i="29" s="1"/>
  <c r="BV18" i="29" s="1"/>
  <c r="AT38" i="29"/>
  <c r="BH38" i="29" s="1"/>
  <c r="BQ38" i="29" s="1"/>
  <c r="BU38" i="29" s="1"/>
  <c r="AT18" i="29"/>
  <c r="BH18" i="29" s="1"/>
  <c r="BV19" i="29" s="1"/>
  <c r="AT39" i="29"/>
  <c r="BH39" i="29" s="1"/>
  <c r="BQ39" i="29" s="1"/>
  <c r="BU39" i="29" s="1"/>
  <c r="AQ30" i="29"/>
  <c r="BE30" i="29" s="1"/>
  <c r="AQ9" i="29"/>
  <c r="BE9" i="29" s="1"/>
  <c r="AQ31" i="29"/>
  <c r="BE31" i="29" s="1"/>
  <c r="AQ10" i="29"/>
  <c r="BE10" i="29" s="1"/>
  <c r="AQ29" i="29"/>
  <c r="BE29" i="29" s="1"/>
  <c r="AQ8" i="29"/>
  <c r="BE8" i="29" s="1"/>
  <c r="AT40" i="29"/>
  <c r="BH40" i="29" s="1"/>
  <c r="BQ40" i="29" s="1"/>
  <c r="BU40" i="29" s="1"/>
  <c r="AT19" i="29"/>
  <c r="BH19" i="29" s="1"/>
  <c r="BV20" i="29" s="1"/>
  <c r="BS36" i="29"/>
  <c r="J20" i="4"/>
  <c r="I20" i="12"/>
  <c r="J6" i="4"/>
  <c r="I6" i="12"/>
  <c r="CK161" i="5"/>
  <c r="CL161" i="5" s="1"/>
  <c r="CM161" i="5" s="1"/>
  <c r="CM165" i="5" s="1"/>
  <c r="CI196" i="5" s="1"/>
  <c r="BZ161" i="5"/>
  <c r="CA161" i="5" s="1"/>
  <c r="CB161" i="5" s="1"/>
  <c r="CB165" i="5" s="1"/>
  <c r="BD161" i="5"/>
  <c r="BE161" i="5" s="1"/>
  <c r="BF161" i="5" s="1"/>
  <c r="BF165" i="5" s="1"/>
  <c r="BB196" i="5" s="1"/>
  <c r="AH161" i="5"/>
  <c r="AI161" i="5" s="1"/>
  <c r="AJ161" i="5" s="1"/>
  <c r="AJ165" i="5" s="1"/>
  <c r="AF196" i="5" s="1"/>
  <c r="BO161" i="5"/>
  <c r="BP161" i="5" s="1"/>
  <c r="BQ161" i="5" s="1"/>
  <c r="BQ165" i="5" s="1"/>
  <c r="BM196" i="5" s="1"/>
  <c r="AS161" i="5"/>
  <c r="AT161" i="5" s="1"/>
  <c r="AU161" i="5" s="1"/>
  <c r="AU165" i="5" s="1"/>
  <c r="AQ196" i="5" s="1"/>
  <c r="FK161" i="5"/>
  <c r="FL161" i="5" s="1"/>
  <c r="FM161" i="5" s="1"/>
  <c r="FM165" i="5" s="1"/>
  <c r="FI196" i="5" s="1"/>
  <c r="EN161" i="5"/>
  <c r="EO161" i="5" s="1"/>
  <c r="EP161" i="5" s="1"/>
  <c r="EP165" i="5" s="1"/>
  <c r="EL196" i="5" s="1"/>
  <c r="DR161" i="5"/>
  <c r="DS161" i="5" s="1"/>
  <c r="DT161" i="5" s="1"/>
  <c r="DT165" i="5" s="1"/>
  <c r="DP196" i="5" s="1"/>
  <c r="CV161" i="5"/>
  <c r="CW161" i="5" s="1"/>
  <c r="CX161" i="5" s="1"/>
  <c r="CX165" i="5" s="1"/>
  <c r="CT196" i="5" s="1"/>
  <c r="EY161" i="5"/>
  <c r="EZ161" i="5" s="1"/>
  <c r="FA161" i="5" s="1"/>
  <c r="FA165" i="5" s="1"/>
  <c r="EW196" i="5" s="1"/>
  <c r="EC161" i="5"/>
  <c r="ED161" i="5" s="1"/>
  <c r="EE161" i="5" s="1"/>
  <c r="EE165" i="5" s="1"/>
  <c r="EA196" i="5" s="1"/>
  <c r="DG161" i="5"/>
  <c r="DH161" i="5" s="1"/>
  <c r="DI161" i="5" s="1"/>
  <c r="DI165" i="5" s="1"/>
  <c r="DE196" i="5" s="1"/>
  <c r="W161" i="5"/>
  <c r="X161" i="5" s="1"/>
  <c r="Y161" i="5" s="1"/>
  <c r="Y165" i="5" s="1"/>
  <c r="U196" i="5" s="1"/>
  <c r="L161" i="5"/>
  <c r="M161" i="5" s="1"/>
  <c r="N161" i="5" s="1"/>
  <c r="N165" i="5" s="1"/>
  <c r="FL91" i="5"/>
  <c r="FL95" i="5" s="1"/>
  <c r="FL111" i="5" s="1"/>
  <c r="EZ91" i="5"/>
  <c r="EZ95" i="5" s="1"/>
  <c r="EZ111" i="5" s="1"/>
  <c r="EO91" i="5"/>
  <c r="EO95" i="5" s="1"/>
  <c r="EO111" i="5" s="1"/>
  <c r="ED91" i="5"/>
  <c r="ED95" i="5" s="1"/>
  <c r="ED111" i="5" s="1"/>
  <c r="DS91" i="5"/>
  <c r="DS95" i="5" s="1"/>
  <c r="DS111" i="5" s="1"/>
  <c r="DH91" i="5"/>
  <c r="DH95" i="5" s="1"/>
  <c r="DH111" i="5" s="1"/>
  <c r="CW91" i="5"/>
  <c r="CW95" i="5" s="1"/>
  <c r="CW111" i="5" s="1"/>
  <c r="CL91" i="5"/>
  <c r="CL95" i="5" s="1"/>
  <c r="CL111" i="5" s="1"/>
  <c r="AI8" i="5"/>
  <c r="AI12" i="5" s="1"/>
  <c r="AI28" i="5" s="1"/>
  <c r="M8" i="5"/>
  <c r="M12" i="5" s="1"/>
  <c r="M28" i="5" s="1"/>
  <c r="CA8" i="5"/>
  <c r="CA12" i="5" s="1"/>
  <c r="CA28" i="5" s="1"/>
  <c r="BE8" i="5"/>
  <c r="BE12" i="5" s="1"/>
  <c r="BE28" i="5" s="1"/>
  <c r="BP8" i="5"/>
  <c r="BP12" i="5" s="1"/>
  <c r="BP28" i="5" s="1"/>
  <c r="X8" i="5"/>
  <c r="X12" i="5" s="1"/>
  <c r="X28" i="5" s="1"/>
  <c r="D13" i="18" s="1"/>
  <c r="AT8" i="5"/>
  <c r="AT12" i="5" s="1"/>
  <c r="AT28" i="5" s="1"/>
  <c r="FB10" i="6"/>
  <c r="FB12" i="6" s="1"/>
  <c r="DJ10" i="6"/>
  <c r="DJ12" i="6" s="1"/>
  <c r="BR10" i="6"/>
  <c r="BR12" i="6" s="1"/>
  <c r="Z10" i="6"/>
  <c r="Z12" i="6" s="1"/>
  <c r="FM10" i="6"/>
  <c r="FM12" i="6" s="1"/>
  <c r="DU10" i="6"/>
  <c r="DU12" i="6" s="1"/>
  <c r="CC10" i="6"/>
  <c r="CC12" i="6" s="1"/>
  <c r="AK10" i="6"/>
  <c r="AK12" i="6" s="1"/>
  <c r="N10" i="6"/>
  <c r="N12" i="6" s="1"/>
  <c r="EF10" i="6"/>
  <c r="EF12" i="6" s="1"/>
  <c r="CN10" i="6"/>
  <c r="CN12" i="6" s="1"/>
  <c r="AV10" i="6"/>
  <c r="AV12" i="6" s="1"/>
  <c r="EQ10" i="6"/>
  <c r="EQ12" i="6" s="1"/>
  <c r="CY10" i="6"/>
  <c r="CY12" i="6" s="1"/>
  <c r="BG10" i="6"/>
  <c r="BG12" i="6" s="1"/>
  <c r="S23" i="13"/>
  <c r="AG23" i="13"/>
  <c r="F23" i="13"/>
  <c r="DR52" i="4"/>
  <c r="DS52" i="4" s="1"/>
  <c r="DT52" i="4" s="1"/>
  <c r="DR22" i="4"/>
  <c r="DS22" i="4" s="1"/>
  <c r="DT22" i="4" s="1"/>
  <c r="DT25" i="4" s="1"/>
  <c r="CR22" i="4"/>
  <c r="CS22" i="4" s="1"/>
  <c r="CT22" i="4" s="1"/>
  <c r="CT24" i="4" s="1"/>
  <c r="DE7" i="4"/>
  <c r="DF7" i="4" s="1"/>
  <c r="DG7" i="4" s="1"/>
  <c r="DR37" i="4"/>
  <c r="DS37" i="4" s="1"/>
  <c r="DT37" i="4" s="1"/>
  <c r="DT40" i="4" s="1"/>
  <c r="DR7" i="4"/>
  <c r="DS7" i="4" s="1"/>
  <c r="DT7" i="4" s="1"/>
  <c r="CR7" i="4"/>
  <c r="CS7" i="4" s="1"/>
  <c r="CT7" i="4" s="1"/>
  <c r="DE22" i="4"/>
  <c r="DF22" i="4" s="1"/>
  <c r="DG22" i="4" s="1"/>
  <c r="DG24" i="4" s="1"/>
  <c r="DE8" i="4"/>
  <c r="DF8" i="4" s="1"/>
  <c r="DG8" i="4" s="1"/>
  <c r="DR53" i="4"/>
  <c r="DS53" i="4" s="1"/>
  <c r="DT53" i="4" s="1"/>
  <c r="CD8" i="4"/>
  <c r="CE8" i="4" s="1"/>
  <c r="CF8" i="4" s="1"/>
  <c r="CF11" i="4" s="1"/>
  <c r="DR8" i="4"/>
  <c r="DS8" i="4" s="1"/>
  <c r="DT8" i="4" s="1"/>
  <c r="CR8" i="4"/>
  <c r="CS8" i="4" s="1"/>
  <c r="CT8" i="4" s="1"/>
  <c r="L157" i="4"/>
  <c r="K164" i="4"/>
  <c r="M155" i="4"/>
  <c r="L156" i="4"/>
  <c r="K163" i="4"/>
  <c r="BN9" i="4"/>
  <c r="BO9" i="4" s="1"/>
  <c r="BP9" i="4" s="1"/>
  <c r="CD22" i="4"/>
  <c r="CE22" i="4" s="1"/>
  <c r="CF22" i="4" s="1"/>
  <c r="CF25" i="4" s="1"/>
  <c r="I9" i="4"/>
  <c r="AL9" i="4"/>
  <c r="AY8" i="4"/>
  <c r="AZ8" i="4" s="1"/>
  <c r="BA8" i="4" s="1"/>
  <c r="BA12" i="4" s="1"/>
  <c r="BN8" i="4"/>
  <c r="BO8" i="4" s="1"/>
  <c r="BP8" i="4" s="1"/>
  <c r="I8" i="4"/>
  <c r="BN23" i="4"/>
  <c r="BO23" i="4" s="1"/>
  <c r="BP23" i="4" s="1"/>
  <c r="BP26" i="4" s="1"/>
  <c r="AL8" i="4"/>
  <c r="AM8" i="4" s="1"/>
  <c r="AN8" i="4" s="1"/>
  <c r="AY22" i="4"/>
  <c r="AZ22" i="4" s="1"/>
  <c r="BA22" i="4" s="1"/>
  <c r="BA25" i="4" s="1"/>
  <c r="I22" i="4"/>
  <c r="Y22" i="4"/>
  <c r="Z22" i="4" s="1"/>
  <c r="AA22" i="4" s="1"/>
  <c r="AA25" i="4" s="1"/>
  <c r="Y8" i="4"/>
  <c r="Z8" i="4" s="1"/>
  <c r="AA8" i="4" s="1"/>
  <c r="AA12" i="4" s="1"/>
  <c r="J7" i="12"/>
  <c r="H96" i="14" l="1"/>
  <c r="CO35" i="13"/>
  <c r="GN183" i="13"/>
  <c r="GN181" i="13"/>
  <c r="CH168" i="13"/>
  <c r="CI168" i="13"/>
  <c r="CG170" i="13"/>
  <c r="CI167" i="13"/>
  <c r="CG169" i="13"/>
  <c r="CH167" i="13"/>
  <c r="EN196" i="5"/>
  <c r="EM196" i="5"/>
  <c r="EL203" i="5"/>
  <c r="J181" i="5"/>
  <c r="N181" i="5" s="1"/>
  <c r="J196" i="5"/>
  <c r="EY196" i="5"/>
  <c r="EX196" i="5"/>
  <c r="EW203" i="5"/>
  <c r="FK196" i="5"/>
  <c r="FI203" i="5"/>
  <c r="FJ196" i="5"/>
  <c r="BD196" i="5"/>
  <c r="BB203" i="5"/>
  <c r="BC196" i="5"/>
  <c r="AH196" i="5"/>
  <c r="AG196" i="5"/>
  <c r="AF203" i="5"/>
  <c r="W196" i="5"/>
  <c r="V196" i="5"/>
  <c r="U203" i="5"/>
  <c r="CV196" i="5"/>
  <c r="CU196" i="5"/>
  <c r="CT203" i="5"/>
  <c r="AS196" i="5"/>
  <c r="AR196" i="5"/>
  <c r="AQ203" i="5"/>
  <c r="BX181" i="5"/>
  <c r="CB181" i="5" s="1"/>
  <c r="BX196" i="5"/>
  <c r="EC196" i="5"/>
  <c r="EA203" i="5"/>
  <c r="EB196" i="5"/>
  <c r="DG196" i="5"/>
  <c r="DE203" i="5"/>
  <c r="DF196" i="5"/>
  <c r="DR196" i="5"/>
  <c r="DQ196" i="5"/>
  <c r="DP203" i="5"/>
  <c r="BO196" i="5"/>
  <c r="BM203" i="5"/>
  <c r="BN196" i="5"/>
  <c r="CK196" i="5"/>
  <c r="CI203" i="5"/>
  <c r="CJ196" i="5"/>
  <c r="BT11" i="29"/>
  <c r="AJ8" i="29"/>
  <c r="AX8" i="29" s="1"/>
  <c r="BL8" i="29" s="1"/>
  <c r="AJ10" i="29"/>
  <c r="AX10" i="29" s="1"/>
  <c r="BL10" i="29" s="1"/>
  <c r="AL39" i="10"/>
  <c r="AL38" i="10"/>
  <c r="AM38" i="10"/>
  <c r="AM39" i="10"/>
  <c r="AM35" i="10"/>
  <c r="AM37" i="10"/>
  <c r="AM36" i="10"/>
  <c r="AJ29" i="29"/>
  <c r="AX29" i="29" s="1"/>
  <c r="BL29" i="29" s="1"/>
  <c r="AN8" i="29"/>
  <c r="BB8" i="29" s="1"/>
  <c r="BN8" i="29" s="1"/>
  <c r="AN10" i="29"/>
  <c r="BB10" i="29" s="1"/>
  <c r="BN10" i="29" s="1"/>
  <c r="AC46" i="10"/>
  <c r="AI16" i="10" s="1"/>
  <c r="AI34" i="10" s="1"/>
  <c r="AB46" i="10"/>
  <c r="AH16" i="10" s="1"/>
  <c r="AH34" i="10" s="1"/>
  <c r="BS32" i="29"/>
  <c r="AK32" i="29"/>
  <c r="AY32" i="29" s="1"/>
  <c r="AK11" i="29"/>
  <c r="AY11" i="29" s="1"/>
  <c r="AJ30" i="29"/>
  <c r="AX30" i="29" s="1"/>
  <c r="BL30" i="29" s="1"/>
  <c r="AJ9" i="29"/>
  <c r="AX9" i="29" s="1"/>
  <c r="BL9" i="29" s="1"/>
  <c r="AL28" i="29"/>
  <c r="AZ28" i="29" s="1"/>
  <c r="BM28" i="29" s="1"/>
  <c r="AL7" i="29"/>
  <c r="AZ7" i="29" s="1"/>
  <c r="BM7" i="29" s="1"/>
  <c r="AK6" i="29"/>
  <c r="AY6" i="29" s="1"/>
  <c r="AK27" i="29"/>
  <c r="AY27" i="29" s="1"/>
  <c r="AL9" i="29"/>
  <c r="AZ9" i="29" s="1"/>
  <c r="BM9" i="29" s="1"/>
  <c r="AL30" i="29"/>
  <c r="AZ30" i="29" s="1"/>
  <c r="BM30" i="29" s="1"/>
  <c r="AK7" i="29"/>
  <c r="AY7" i="29" s="1"/>
  <c r="AK28" i="29"/>
  <c r="AY28" i="29" s="1"/>
  <c r="AN9" i="29"/>
  <c r="BB9" i="29" s="1"/>
  <c r="BN9" i="29" s="1"/>
  <c r="AN30" i="29"/>
  <c r="BB30" i="29" s="1"/>
  <c r="BN30" i="29" s="1"/>
  <c r="AJ6" i="29"/>
  <c r="AX6" i="29" s="1"/>
  <c r="BL6" i="29" s="1"/>
  <c r="BT6" i="29" s="1"/>
  <c r="AJ27" i="29"/>
  <c r="AX27" i="29" s="1"/>
  <c r="BL27" i="29" s="1"/>
  <c r="BS27" i="29" s="1"/>
  <c r="AM9" i="29"/>
  <c r="BA9" i="29" s="1"/>
  <c r="AM30" i="29"/>
  <c r="BA30" i="29" s="1"/>
  <c r="AJ28" i="29"/>
  <c r="AX28" i="29" s="1"/>
  <c r="BL28" i="29" s="1"/>
  <c r="AJ7" i="29"/>
  <c r="AX7" i="29" s="1"/>
  <c r="BL7" i="29" s="1"/>
  <c r="AO9" i="29"/>
  <c r="BC9" i="29" s="1"/>
  <c r="AO30" i="29"/>
  <c r="BC30" i="29" s="1"/>
  <c r="AL29" i="29"/>
  <c r="AZ29" i="29" s="1"/>
  <c r="BM29" i="29" s="1"/>
  <c r="BS29" i="29" s="1"/>
  <c r="AL8" i="29"/>
  <c r="AZ8" i="29" s="1"/>
  <c r="BM8" i="29" s="1"/>
  <c r="BT8" i="29" s="1"/>
  <c r="AM10" i="29"/>
  <c r="BA10" i="29" s="1"/>
  <c r="AM31" i="29"/>
  <c r="BA31" i="29" s="1"/>
  <c r="AN28" i="29"/>
  <c r="BB28" i="29" s="1"/>
  <c r="BN28" i="29" s="1"/>
  <c r="AN7" i="29"/>
  <c r="BB7" i="29" s="1"/>
  <c r="BN7" i="29" s="1"/>
  <c r="AK9" i="29"/>
  <c r="AY9" i="29" s="1"/>
  <c r="AK30" i="29"/>
  <c r="AY30" i="29" s="1"/>
  <c r="AM28" i="29"/>
  <c r="BA28" i="29" s="1"/>
  <c r="AM7" i="29"/>
  <c r="BA7" i="29" s="1"/>
  <c r="AM29" i="29"/>
  <c r="BA29" i="29" s="1"/>
  <c r="AM8" i="29"/>
  <c r="BA8" i="29" s="1"/>
  <c r="AL10" i="29"/>
  <c r="AZ10" i="29" s="1"/>
  <c r="BM10" i="29" s="1"/>
  <c r="AL31" i="29"/>
  <c r="AZ31" i="29" s="1"/>
  <c r="BM31" i="29" s="1"/>
  <c r="BS31" i="29" s="1"/>
  <c r="AO28" i="29"/>
  <c r="BC28" i="29" s="1"/>
  <c r="AO7" i="29"/>
  <c r="BC7" i="29" s="1"/>
  <c r="D25" i="18"/>
  <c r="R7" i="28"/>
  <c r="Z7" i="28" s="1"/>
  <c r="D79" i="18"/>
  <c r="R16" i="28"/>
  <c r="Z16" i="28" s="1"/>
  <c r="R5" i="28"/>
  <c r="Z5" i="28" s="1"/>
  <c r="D43" i="18"/>
  <c r="R10" i="28"/>
  <c r="Z10" i="28" s="1"/>
  <c r="D7" i="18"/>
  <c r="R4" i="28"/>
  <c r="D61" i="18"/>
  <c r="R13" i="28"/>
  <c r="Z13" i="28" s="1"/>
  <c r="D85" i="18"/>
  <c r="R17" i="28"/>
  <c r="Z17" i="28" s="1"/>
  <c r="D37" i="18"/>
  <c r="R9" i="28"/>
  <c r="Z9" i="28" s="1"/>
  <c r="D19" i="18"/>
  <c r="R6" i="28"/>
  <c r="Z6" i="28" s="1"/>
  <c r="D67" i="18"/>
  <c r="R14" i="28"/>
  <c r="Z14" i="28" s="1"/>
  <c r="D91" i="18"/>
  <c r="R18" i="28"/>
  <c r="Z18" i="28" s="1"/>
  <c r="D55" i="18"/>
  <c r="R12" i="28"/>
  <c r="Z12" i="28" s="1"/>
  <c r="D31" i="18"/>
  <c r="R8" i="28"/>
  <c r="Z8" i="28" s="1"/>
  <c r="D49" i="18"/>
  <c r="R11" i="28"/>
  <c r="Z11" i="28" s="1"/>
  <c r="K12" i="29" s="1"/>
  <c r="D73" i="18"/>
  <c r="R15" i="28"/>
  <c r="Z15" i="28" s="1"/>
  <c r="K21" i="4"/>
  <c r="K21" i="12" s="1"/>
  <c r="J21" i="12"/>
  <c r="K6" i="4"/>
  <c r="K6" i="12" s="1"/>
  <c r="J6" i="12"/>
  <c r="J22" i="4"/>
  <c r="I22" i="12"/>
  <c r="J8" i="4"/>
  <c r="J8" i="12" s="1"/>
  <c r="I8" i="12"/>
  <c r="J9" i="4"/>
  <c r="I9" i="12"/>
  <c r="K20" i="4"/>
  <c r="K20" i="12" s="1"/>
  <c r="J20" i="12"/>
  <c r="EL182" i="5"/>
  <c r="EL184" i="5"/>
  <c r="EL181" i="5"/>
  <c r="EL180" i="5"/>
  <c r="EL179" i="5"/>
  <c r="EL183" i="5"/>
  <c r="EW182" i="5"/>
  <c r="EW184" i="5"/>
  <c r="EW183" i="5"/>
  <c r="EW180" i="5"/>
  <c r="EW179" i="5"/>
  <c r="EW181" i="5"/>
  <c r="BB182" i="5"/>
  <c r="BB184" i="5"/>
  <c r="BB181" i="5"/>
  <c r="BB180" i="5"/>
  <c r="BB183" i="5"/>
  <c r="BB179" i="5"/>
  <c r="U179" i="5"/>
  <c r="U183" i="5"/>
  <c r="U182" i="5"/>
  <c r="U184" i="5"/>
  <c r="U181" i="5"/>
  <c r="U180" i="5"/>
  <c r="CT182" i="5"/>
  <c r="CT184" i="5"/>
  <c r="CT181" i="5"/>
  <c r="CT180" i="5"/>
  <c r="CT183" i="5"/>
  <c r="CT179" i="5"/>
  <c r="AQ184" i="5"/>
  <c r="AQ179" i="5"/>
  <c r="AQ182" i="5"/>
  <c r="AQ180" i="5"/>
  <c r="AQ183" i="5"/>
  <c r="AQ181" i="5"/>
  <c r="BX183" i="5"/>
  <c r="BX180" i="5"/>
  <c r="BX182" i="5"/>
  <c r="BX179" i="5"/>
  <c r="BX184" i="5"/>
  <c r="EA183" i="5"/>
  <c r="EA180" i="5"/>
  <c r="EA179" i="5"/>
  <c r="EA182" i="5"/>
  <c r="EA184" i="5"/>
  <c r="EA181" i="5"/>
  <c r="AF183" i="5"/>
  <c r="AF181" i="5"/>
  <c r="AF179" i="5"/>
  <c r="AF182" i="5"/>
  <c r="AF184" i="5"/>
  <c r="AF180" i="5"/>
  <c r="J179" i="5"/>
  <c r="J180" i="5"/>
  <c r="J182" i="5"/>
  <c r="J184" i="5"/>
  <c r="J183" i="5"/>
  <c r="FI182" i="5"/>
  <c r="FI184" i="5"/>
  <c r="FI180" i="5"/>
  <c r="FI181" i="5"/>
  <c r="FI179" i="5"/>
  <c r="FI183" i="5"/>
  <c r="DE183" i="5"/>
  <c r="DE181" i="5"/>
  <c r="DE179" i="5"/>
  <c r="DE182" i="5"/>
  <c r="DE184" i="5"/>
  <c r="DE180" i="5"/>
  <c r="DP182" i="5"/>
  <c r="DP184" i="5"/>
  <c r="DP181" i="5"/>
  <c r="DP180" i="5"/>
  <c r="DP179" i="5"/>
  <c r="DP183" i="5"/>
  <c r="BM179" i="5"/>
  <c r="BM182" i="5"/>
  <c r="BM184" i="5"/>
  <c r="BM181" i="5"/>
  <c r="BM180" i="5"/>
  <c r="BM183" i="5"/>
  <c r="CI184" i="5"/>
  <c r="CI183" i="5"/>
  <c r="CI180" i="5"/>
  <c r="CI179" i="5"/>
  <c r="CI181" i="5"/>
  <c r="CI182" i="5"/>
  <c r="AV40" i="6"/>
  <c r="S7" i="28" s="1"/>
  <c r="AA7" i="28" s="1"/>
  <c r="AV21" i="6"/>
  <c r="AK40" i="6"/>
  <c r="S6" i="28" s="1"/>
  <c r="AA6" i="28" s="1"/>
  <c r="AK21" i="6"/>
  <c r="Z40" i="6"/>
  <c r="S5" i="28" s="1"/>
  <c r="AA5" i="28" s="1"/>
  <c r="Z21" i="6"/>
  <c r="BG40" i="6"/>
  <c r="S8" i="28" s="1"/>
  <c r="AA8" i="28" s="1"/>
  <c r="BG21" i="6"/>
  <c r="CN40" i="6"/>
  <c r="S11" i="28" s="1"/>
  <c r="AA11" i="28" s="1"/>
  <c r="AF11" i="28" s="1"/>
  <c r="CN21" i="6"/>
  <c r="CC40" i="6"/>
  <c r="S10" i="28" s="1"/>
  <c r="AA10" i="28" s="1"/>
  <c r="CC21" i="6"/>
  <c r="BR40" i="6"/>
  <c r="S9" i="28" s="1"/>
  <c r="AA9" i="28" s="1"/>
  <c r="BR21" i="6"/>
  <c r="CY40" i="6"/>
  <c r="S12" i="28" s="1"/>
  <c r="AA12" i="28" s="1"/>
  <c r="CY21" i="6"/>
  <c r="EF40" i="6"/>
  <c r="S15" i="28" s="1"/>
  <c r="AA15" i="28" s="1"/>
  <c r="EF21" i="6"/>
  <c r="DU40" i="6"/>
  <c r="S14" i="28" s="1"/>
  <c r="AA14" i="28" s="1"/>
  <c r="DU21" i="6"/>
  <c r="DJ40" i="6"/>
  <c r="S13" i="28" s="1"/>
  <c r="AA13" i="28" s="1"/>
  <c r="DJ21" i="6"/>
  <c r="EQ40" i="6"/>
  <c r="EN142" i="6" s="1"/>
  <c r="EP142" i="6" s="1"/>
  <c r="EQ21" i="6"/>
  <c r="N40" i="6"/>
  <c r="S4" i="28" s="1"/>
  <c r="N21" i="6"/>
  <c r="FM40" i="6"/>
  <c r="FJ142" i="6" s="1"/>
  <c r="FL142" i="6" s="1"/>
  <c r="FM21" i="6"/>
  <c r="FB40" i="6"/>
  <c r="EY142" i="6" s="1"/>
  <c r="FA142" i="6" s="1"/>
  <c r="FB21" i="6"/>
  <c r="J48" i="10"/>
  <c r="J28" i="10"/>
  <c r="J67" i="10"/>
  <c r="J105" i="10"/>
  <c r="J7" i="10"/>
  <c r="J6" i="10"/>
  <c r="J27" i="10"/>
  <c r="J66" i="10"/>
  <c r="J86" i="10"/>
  <c r="DT55" i="4"/>
  <c r="DG10" i="4"/>
  <c r="G23" i="13"/>
  <c r="E87" i="13" s="1"/>
  <c r="E94" i="13" s="1"/>
  <c r="E96" i="13" s="1"/>
  <c r="E98" i="13" s="1"/>
  <c r="H23" i="13"/>
  <c r="H26" i="13" s="1"/>
  <c r="CT10" i="4"/>
  <c r="AI23" i="13"/>
  <c r="AI26" i="13" s="1"/>
  <c r="AH23" i="13"/>
  <c r="AF87" i="13" s="1"/>
  <c r="AF94" i="13" s="1"/>
  <c r="AF96" i="13" s="1"/>
  <c r="AF98" i="13" s="1"/>
  <c r="DT10" i="4"/>
  <c r="T23" i="13"/>
  <c r="R87" i="13" s="1"/>
  <c r="R94" i="13" s="1"/>
  <c r="R96" i="13" s="1"/>
  <c r="R98" i="13" s="1"/>
  <c r="U23" i="13"/>
  <c r="U26" i="13" s="1"/>
  <c r="M157" i="4"/>
  <c r="L164" i="4"/>
  <c r="M156" i="4"/>
  <c r="L163" i="4"/>
  <c r="N155" i="4"/>
  <c r="M162" i="4"/>
  <c r="BP12" i="4"/>
  <c r="K8" i="4"/>
  <c r="K8" i="12" s="1"/>
  <c r="AM9" i="4"/>
  <c r="AN9" i="4" s="1"/>
  <c r="AN12" i="4" s="1"/>
  <c r="K7" i="4"/>
  <c r="K7" i="12" s="1"/>
  <c r="CI170" i="13" l="1"/>
  <c r="CH170" i="13"/>
  <c r="CG172" i="13"/>
  <c r="CG171" i="13"/>
  <c r="CI169" i="13"/>
  <c r="CH169" i="13"/>
  <c r="DP210" i="5"/>
  <c r="DQ203" i="5"/>
  <c r="DR203" i="5"/>
  <c r="BM210" i="5"/>
  <c r="BN203" i="5"/>
  <c r="BO203" i="5"/>
  <c r="DE210" i="5"/>
  <c r="DF203" i="5"/>
  <c r="DG203" i="5"/>
  <c r="EA210" i="5"/>
  <c r="EC203" i="5"/>
  <c r="EB203" i="5"/>
  <c r="AQ210" i="5"/>
  <c r="AS203" i="5"/>
  <c r="AR203" i="5"/>
  <c r="CT210" i="5"/>
  <c r="CV203" i="5"/>
  <c r="CU203" i="5"/>
  <c r="W203" i="5"/>
  <c r="U210" i="5"/>
  <c r="V203" i="5"/>
  <c r="BB210" i="5"/>
  <c r="BC203" i="5"/>
  <c r="BD203" i="5"/>
  <c r="FK203" i="5"/>
  <c r="FJ203" i="5"/>
  <c r="FI210" i="5"/>
  <c r="EL210" i="5"/>
  <c r="EN203" i="5"/>
  <c r="EM203" i="5"/>
  <c r="EW210" i="5"/>
  <c r="EX203" i="5"/>
  <c r="EY203" i="5"/>
  <c r="CI210" i="5"/>
  <c r="CK203" i="5"/>
  <c r="CJ203" i="5"/>
  <c r="AF210" i="5"/>
  <c r="AH203" i="5"/>
  <c r="AG203" i="5"/>
  <c r="BZ196" i="5"/>
  <c r="BY196" i="5"/>
  <c r="BX203" i="5"/>
  <c r="K196" i="5"/>
  <c r="J203" i="5"/>
  <c r="L196" i="5"/>
  <c r="AL34" i="10"/>
  <c r="AM34" i="10"/>
  <c r="BT10" i="29"/>
  <c r="BT9" i="29"/>
  <c r="BT7" i="29"/>
  <c r="BS28" i="29"/>
  <c r="BS30" i="29"/>
  <c r="H159" i="4"/>
  <c r="I159" i="4" s="1"/>
  <c r="AE11" i="28"/>
  <c r="K15" i="29"/>
  <c r="AE14" i="28"/>
  <c r="AE13" i="28"/>
  <c r="K14" i="29"/>
  <c r="K11" i="29"/>
  <c r="AE10" i="28"/>
  <c r="M15" i="29"/>
  <c r="AF14" i="28"/>
  <c r="M13" i="29"/>
  <c r="AF12" i="28"/>
  <c r="M11" i="29"/>
  <c r="AF10" i="28"/>
  <c r="M9" i="29"/>
  <c r="AF8" i="28"/>
  <c r="AF6" i="28"/>
  <c r="M7" i="29"/>
  <c r="AE12" i="28"/>
  <c r="K13" i="29"/>
  <c r="AE9" i="28"/>
  <c r="K10" i="29"/>
  <c r="K17" i="29"/>
  <c r="AE16" i="28"/>
  <c r="M12" i="29"/>
  <c r="AE15" i="28"/>
  <c r="K16" i="29"/>
  <c r="K9" i="29"/>
  <c r="AE8" i="28"/>
  <c r="K19" i="29"/>
  <c r="AE18" i="28"/>
  <c r="AE6" i="28"/>
  <c r="K7" i="29"/>
  <c r="K18" i="29"/>
  <c r="AE17" i="28"/>
  <c r="AE5" i="28"/>
  <c r="K6" i="29"/>
  <c r="AE7" i="28"/>
  <c r="K8" i="29"/>
  <c r="AF13" i="28"/>
  <c r="M14" i="29"/>
  <c r="AF15" i="28"/>
  <c r="M16" i="29"/>
  <c r="M10" i="29"/>
  <c r="AF9" i="28"/>
  <c r="M6" i="29"/>
  <c r="AF5" i="28"/>
  <c r="AF7" i="28"/>
  <c r="M8" i="29"/>
  <c r="K9" i="4"/>
  <c r="K9" i="12" s="1"/>
  <c r="J9" i="12"/>
  <c r="K22" i="4"/>
  <c r="J22" i="12"/>
  <c r="FJ169" i="6"/>
  <c r="FN169" i="6" s="1"/>
  <c r="FJ172" i="6"/>
  <c r="FN172" i="6" s="1"/>
  <c r="FJ170" i="6"/>
  <c r="FN170" i="6" s="1"/>
  <c r="FJ171" i="6"/>
  <c r="FN171" i="6" s="1"/>
  <c r="FJ173" i="6"/>
  <c r="FN173" i="6" s="1"/>
  <c r="FJ168" i="6"/>
  <c r="FN168" i="6" s="1"/>
  <c r="EN171" i="6"/>
  <c r="ER171" i="6" s="1"/>
  <c r="EN168" i="6"/>
  <c r="ER168" i="6" s="1"/>
  <c r="EN170" i="6"/>
  <c r="ER170" i="6" s="1"/>
  <c r="EN173" i="6"/>
  <c r="ER173" i="6" s="1"/>
  <c r="EN169" i="6"/>
  <c r="ER169" i="6" s="1"/>
  <c r="EN172" i="6"/>
  <c r="ER172" i="6" s="1"/>
  <c r="EY171" i="6"/>
  <c r="FC171" i="6" s="1"/>
  <c r="EY172" i="6"/>
  <c r="FC172" i="6" s="1"/>
  <c r="EY168" i="6"/>
  <c r="FC168" i="6" s="1"/>
  <c r="EY170" i="6"/>
  <c r="FC170" i="6" s="1"/>
  <c r="EY173" i="6"/>
  <c r="FC173" i="6" s="1"/>
  <c r="EY169" i="6"/>
  <c r="FC169" i="6" s="1"/>
  <c r="I41" i="18"/>
  <c r="N41" i="18" s="1"/>
  <c r="BQ183" i="5"/>
  <c r="I68" i="18"/>
  <c r="N68" i="18" s="1"/>
  <c r="DT180" i="5"/>
  <c r="I63" i="18"/>
  <c r="DI181" i="5"/>
  <c r="I11" i="18"/>
  <c r="N11" i="18" s="1"/>
  <c r="N183" i="5"/>
  <c r="I22" i="18"/>
  <c r="N22" i="18" s="1"/>
  <c r="AJ182" i="5"/>
  <c r="I74" i="18"/>
  <c r="N74" i="18" s="1"/>
  <c r="EE180" i="5"/>
  <c r="AU179" i="5"/>
  <c r="I25" i="18"/>
  <c r="N25" i="18" s="1"/>
  <c r="Y180" i="5"/>
  <c r="I14" i="18"/>
  <c r="N14" i="18" s="1"/>
  <c r="I32" i="18"/>
  <c r="N32" i="18" s="1"/>
  <c r="BF180" i="5"/>
  <c r="I87" i="18"/>
  <c r="FA181" i="5"/>
  <c r="EP180" i="5"/>
  <c r="I80" i="18"/>
  <c r="N80" i="18" s="1"/>
  <c r="I50" i="18"/>
  <c r="N50" i="18" s="1"/>
  <c r="CM180" i="5"/>
  <c r="BQ179" i="5"/>
  <c r="I37" i="18"/>
  <c r="N37" i="18" s="1"/>
  <c r="I66" i="18"/>
  <c r="N66" i="18" s="1"/>
  <c r="DI184" i="5"/>
  <c r="I92" i="18"/>
  <c r="N92" i="18" s="1"/>
  <c r="FM180" i="5"/>
  <c r="I7" i="18"/>
  <c r="N7" i="18" s="1"/>
  <c r="N179" i="5"/>
  <c r="I77" i="18"/>
  <c r="N77" i="18" s="1"/>
  <c r="EE183" i="5"/>
  <c r="AU183" i="5"/>
  <c r="I29" i="18"/>
  <c r="N29" i="18" s="1"/>
  <c r="I57" i="18"/>
  <c r="CX181" i="5"/>
  <c r="I88" i="18"/>
  <c r="N88" i="18" s="1"/>
  <c r="FA182" i="5"/>
  <c r="CM182" i="5"/>
  <c r="I52" i="18"/>
  <c r="N52" i="18" s="1"/>
  <c r="I53" i="18"/>
  <c r="N53" i="18" s="1"/>
  <c r="CM183" i="5"/>
  <c r="BQ181" i="5"/>
  <c r="I39" i="18"/>
  <c r="I71" i="18"/>
  <c r="N71" i="18" s="1"/>
  <c r="DT183" i="5"/>
  <c r="I72" i="18"/>
  <c r="N72" i="18" s="1"/>
  <c r="DT184" i="5"/>
  <c r="I64" i="18"/>
  <c r="N64" i="18" s="1"/>
  <c r="DI182" i="5"/>
  <c r="I95" i="18"/>
  <c r="N95" i="18" s="1"/>
  <c r="FM183" i="5"/>
  <c r="FM184" i="5"/>
  <c r="I96" i="18"/>
  <c r="N96" i="18" s="1"/>
  <c r="I10" i="18"/>
  <c r="N10" i="18" s="1"/>
  <c r="N182" i="5"/>
  <c r="AJ180" i="5"/>
  <c r="I20" i="18"/>
  <c r="N20" i="18" s="1"/>
  <c r="I21" i="18"/>
  <c r="AJ181" i="5"/>
  <c r="EE182" i="5"/>
  <c r="I76" i="18"/>
  <c r="N76" i="18" s="1"/>
  <c r="I48" i="18"/>
  <c r="N48" i="18" s="1"/>
  <c r="CB184" i="5"/>
  <c r="I44" i="18"/>
  <c r="N44" i="18" s="1"/>
  <c r="CB180" i="5"/>
  <c r="I26" i="18"/>
  <c r="N26" i="18" s="1"/>
  <c r="AU180" i="5"/>
  <c r="I55" i="18"/>
  <c r="N55" i="18" s="1"/>
  <c r="CX179" i="5"/>
  <c r="I60" i="18"/>
  <c r="N60" i="18" s="1"/>
  <c r="CX184" i="5"/>
  <c r="Y184" i="5"/>
  <c r="I18" i="18"/>
  <c r="N18" i="18" s="1"/>
  <c r="I31" i="18"/>
  <c r="N31" i="18" s="1"/>
  <c r="BF179" i="5"/>
  <c r="I36" i="18"/>
  <c r="N36" i="18" s="1"/>
  <c r="BF184" i="5"/>
  <c r="I86" i="18"/>
  <c r="N86" i="18" s="1"/>
  <c r="FA180" i="5"/>
  <c r="EP183" i="5"/>
  <c r="I83" i="18"/>
  <c r="N83" i="18" s="1"/>
  <c r="EP184" i="5"/>
  <c r="I84" i="18"/>
  <c r="N84" i="18" s="1"/>
  <c r="I49" i="18"/>
  <c r="N49" i="18" s="1"/>
  <c r="CM179" i="5"/>
  <c r="BQ182" i="5"/>
  <c r="I40" i="18"/>
  <c r="N40" i="18" s="1"/>
  <c r="DI180" i="5"/>
  <c r="I62" i="18"/>
  <c r="N62" i="18" s="1"/>
  <c r="FM181" i="5"/>
  <c r="I93" i="18"/>
  <c r="I9" i="18"/>
  <c r="EE181" i="5"/>
  <c r="I75" i="18"/>
  <c r="I43" i="18"/>
  <c r="N43" i="18" s="1"/>
  <c r="CB179" i="5"/>
  <c r="I27" i="18"/>
  <c r="AU181" i="5"/>
  <c r="I56" i="18"/>
  <c r="N56" i="18" s="1"/>
  <c r="CX180" i="5"/>
  <c r="I17" i="18"/>
  <c r="N17" i="18" s="1"/>
  <c r="Y183" i="5"/>
  <c r="I90" i="18"/>
  <c r="N90" i="18" s="1"/>
  <c r="FA184" i="5"/>
  <c r="I38" i="18"/>
  <c r="N38" i="18" s="1"/>
  <c r="BQ180" i="5"/>
  <c r="DT181" i="5"/>
  <c r="I69" i="18"/>
  <c r="DI183" i="5"/>
  <c r="I65" i="18"/>
  <c r="N65" i="18" s="1"/>
  <c r="I12" i="18"/>
  <c r="N12" i="18" s="1"/>
  <c r="N184" i="5"/>
  <c r="AJ179" i="5"/>
  <c r="I19" i="18"/>
  <c r="N19" i="18" s="1"/>
  <c r="EE184" i="5"/>
  <c r="I78" i="18"/>
  <c r="N78" i="18" s="1"/>
  <c r="I46" i="18"/>
  <c r="N46" i="18" s="1"/>
  <c r="CB182" i="5"/>
  <c r="I30" i="18"/>
  <c r="N30" i="18" s="1"/>
  <c r="AU184" i="5"/>
  <c r="Y181" i="5"/>
  <c r="I15" i="18"/>
  <c r="N15" i="18" s="1"/>
  <c r="Y179" i="5"/>
  <c r="I13" i="18"/>
  <c r="N13" i="18" s="1"/>
  <c r="I33" i="18"/>
  <c r="BF181" i="5"/>
  <c r="I85" i="18"/>
  <c r="N85" i="18" s="1"/>
  <c r="FA179" i="5"/>
  <c r="I81" i="18"/>
  <c r="EP181" i="5"/>
  <c r="CM181" i="5"/>
  <c r="I51" i="18"/>
  <c r="I54" i="18"/>
  <c r="N54" i="18" s="1"/>
  <c r="CM184" i="5"/>
  <c r="I42" i="18"/>
  <c r="N42" i="18" s="1"/>
  <c r="BQ184" i="5"/>
  <c r="DT179" i="5"/>
  <c r="I67" i="18"/>
  <c r="N67" i="18" s="1"/>
  <c r="DT182" i="5"/>
  <c r="I70" i="18"/>
  <c r="N70" i="18" s="1"/>
  <c r="DI179" i="5"/>
  <c r="I61" i="18"/>
  <c r="N61" i="18" s="1"/>
  <c r="FM179" i="5"/>
  <c r="I91" i="18"/>
  <c r="N91" i="18" s="1"/>
  <c r="I94" i="18"/>
  <c r="N94" i="18" s="1"/>
  <c r="FM182" i="5"/>
  <c r="I8" i="18"/>
  <c r="N8" i="18" s="1"/>
  <c r="N180" i="5"/>
  <c r="I24" i="18"/>
  <c r="N24" i="18" s="1"/>
  <c r="AJ184" i="5"/>
  <c r="AJ183" i="5"/>
  <c r="I23" i="18"/>
  <c r="N23" i="18" s="1"/>
  <c r="I73" i="18"/>
  <c r="N73" i="18" s="1"/>
  <c r="EE179" i="5"/>
  <c r="I45" i="18"/>
  <c r="I47" i="18"/>
  <c r="N47" i="18" s="1"/>
  <c r="CB183" i="5"/>
  <c r="AU182" i="5"/>
  <c r="I28" i="18"/>
  <c r="N28" i="18" s="1"/>
  <c r="I59" i="18"/>
  <c r="N59" i="18" s="1"/>
  <c r="CX183" i="5"/>
  <c r="I58" i="18"/>
  <c r="N58" i="18" s="1"/>
  <c r="CX182" i="5"/>
  <c r="I16" i="18"/>
  <c r="N16" i="18" s="1"/>
  <c r="Y182" i="5"/>
  <c r="I35" i="18"/>
  <c r="N35" i="18" s="1"/>
  <c r="BF183" i="5"/>
  <c r="I34" i="18"/>
  <c r="N34" i="18" s="1"/>
  <c r="BF182" i="5"/>
  <c r="I89" i="18"/>
  <c r="N89" i="18" s="1"/>
  <c r="FA183" i="5"/>
  <c r="I79" i="18"/>
  <c r="N79" i="18" s="1"/>
  <c r="EP179" i="5"/>
  <c r="I82" i="18"/>
  <c r="N82" i="18" s="1"/>
  <c r="EP182" i="5"/>
  <c r="U67" i="18"/>
  <c r="DR142" i="6"/>
  <c r="DT142" i="6" s="1"/>
  <c r="U55" i="18"/>
  <c r="CV142" i="6"/>
  <c r="CX142" i="6" s="1"/>
  <c r="U43" i="18"/>
  <c r="BZ142" i="6"/>
  <c r="CB142" i="6" s="1"/>
  <c r="BD142" i="6"/>
  <c r="BF142" i="6" s="1"/>
  <c r="U31" i="18"/>
  <c r="U19" i="18"/>
  <c r="AH142" i="6"/>
  <c r="AJ142" i="6" s="1"/>
  <c r="U7" i="18"/>
  <c r="K142" i="6"/>
  <c r="M142" i="6" s="1"/>
  <c r="DG142" i="6"/>
  <c r="DI142" i="6" s="1"/>
  <c r="U61" i="18"/>
  <c r="EC142" i="6"/>
  <c r="EE142" i="6" s="1"/>
  <c r="U73" i="18"/>
  <c r="U37" i="18"/>
  <c r="BO142" i="6"/>
  <c r="BQ142" i="6" s="1"/>
  <c r="CK142" i="6"/>
  <c r="CM142" i="6" s="1"/>
  <c r="U49" i="18"/>
  <c r="U13" i="18"/>
  <c r="AS142" i="6"/>
  <c r="AU142" i="6" s="1"/>
  <c r="U25" i="18"/>
  <c r="G15" i="14"/>
  <c r="G25" i="14"/>
  <c r="J104" i="10"/>
  <c r="J26" i="10"/>
  <c r="J47" i="10"/>
  <c r="J85" i="10"/>
  <c r="J123" i="10"/>
  <c r="G5" i="14"/>
  <c r="H24" i="14"/>
  <c r="H25" i="14"/>
  <c r="H4" i="14"/>
  <c r="H5" i="14"/>
  <c r="H14" i="14"/>
  <c r="H15" i="14"/>
  <c r="N157" i="4"/>
  <c r="M164" i="4"/>
  <c r="O155" i="4"/>
  <c r="N162" i="4"/>
  <c r="N156" i="4"/>
  <c r="M163" i="4"/>
  <c r="K12" i="4"/>
  <c r="K12" i="12" s="1"/>
  <c r="V4" i="10" s="1"/>
  <c r="C5" i="29" s="1"/>
  <c r="H165" i="4"/>
  <c r="CI172" i="13" l="1"/>
  <c r="CH172" i="13"/>
  <c r="CG173" i="13"/>
  <c r="CG175" i="13" s="1"/>
  <c r="CG181" i="13" s="1"/>
  <c r="CI171" i="13"/>
  <c r="CH171" i="13"/>
  <c r="AQ217" i="5"/>
  <c r="AR210" i="5"/>
  <c r="AS210" i="5"/>
  <c r="EL217" i="5"/>
  <c r="EM210" i="5"/>
  <c r="EN210" i="5"/>
  <c r="W210" i="5"/>
  <c r="U217" i="5"/>
  <c r="V210" i="5"/>
  <c r="CU210" i="5"/>
  <c r="CT217" i="5"/>
  <c r="CV210" i="5"/>
  <c r="AH210" i="5"/>
  <c r="AF217" i="5"/>
  <c r="AG210" i="5"/>
  <c r="EW217" i="5"/>
  <c r="EY210" i="5"/>
  <c r="EX210" i="5"/>
  <c r="FJ210" i="5"/>
  <c r="FK210" i="5"/>
  <c r="FI217" i="5"/>
  <c r="FI221" i="5"/>
  <c r="DF210" i="5"/>
  <c r="DG210" i="5"/>
  <c r="DE217" i="5"/>
  <c r="BN210" i="5"/>
  <c r="BM217" i="5"/>
  <c r="BO210" i="5"/>
  <c r="DQ210" i="5"/>
  <c r="DP217" i="5"/>
  <c r="DR210" i="5"/>
  <c r="L203" i="5"/>
  <c r="J210" i="5"/>
  <c r="K203" i="5"/>
  <c r="BZ203" i="5"/>
  <c r="BY203" i="5"/>
  <c r="BX210" i="5"/>
  <c r="CI217" i="5"/>
  <c r="CI221" i="5" s="1"/>
  <c r="CJ210" i="5"/>
  <c r="CK210" i="5"/>
  <c r="BB217" i="5"/>
  <c r="BB221" i="5" s="1"/>
  <c r="BD210" i="5"/>
  <c r="BC210" i="5"/>
  <c r="EB210" i="5"/>
  <c r="EC210" i="5"/>
  <c r="EA217" i="5"/>
  <c r="EA221" i="5"/>
  <c r="J9" i="18"/>
  <c r="S5" i="29" s="1"/>
  <c r="N9" i="18"/>
  <c r="H166" i="4"/>
  <c r="Z17" i="10"/>
  <c r="Z22" i="10"/>
  <c r="Z16" i="10"/>
  <c r="Z19" i="10"/>
  <c r="Z21" i="10"/>
  <c r="Z15" i="10"/>
  <c r="AC25" i="10" s="1"/>
  <c r="AI15" i="10" s="1"/>
  <c r="AI33" i="10" s="1"/>
  <c r="Z20" i="10"/>
  <c r="Z18" i="10"/>
  <c r="Z24" i="10"/>
  <c r="Z23" i="10"/>
  <c r="N63" i="18"/>
  <c r="AO15" i="18" s="1"/>
  <c r="BA15" i="18" s="1"/>
  <c r="J63" i="18"/>
  <c r="S14" i="29" s="1"/>
  <c r="N87" i="18"/>
  <c r="AO19" i="18" s="1"/>
  <c r="BA19" i="18" s="1"/>
  <c r="J87" i="18"/>
  <c r="S18" i="29" s="1"/>
  <c r="N81" i="18"/>
  <c r="AO18" i="18" s="1"/>
  <c r="BA18" i="18" s="1"/>
  <c r="J81" i="18"/>
  <c r="S17" i="29" s="1"/>
  <c r="N57" i="18"/>
  <c r="AO14" i="18" s="1"/>
  <c r="BA14" i="18" s="1"/>
  <c r="J57" i="18"/>
  <c r="S13" i="29" s="1"/>
  <c r="N51" i="18"/>
  <c r="AO13" i="18" s="1"/>
  <c r="BA13" i="18" s="1"/>
  <c r="J51" i="18"/>
  <c r="S12" i="29" s="1"/>
  <c r="N69" i="18"/>
  <c r="AO16" i="18" s="1"/>
  <c r="BA16" i="18" s="1"/>
  <c r="J69" i="18"/>
  <c r="S15" i="29" s="1"/>
  <c r="N75" i="18"/>
  <c r="AO17" i="18" s="1"/>
  <c r="BA17" i="18" s="1"/>
  <c r="J75" i="18"/>
  <c r="S16" i="29" s="1"/>
  <c r="N93" i="18"/>
  <c r="AO20" i="18" s="1"/>
  <c r="BA20" i="18" s="1"/>
  <c r="J93" i="18"/>
  <c r="S19" i="29" s="1"/>
  <c r="Q8" i="14"/>
  <c r="J7" i="29"/>
  <c r="J6" i="29"/>
  <c r="Q7" i="14"/>
  <c r="J5" i="29"/>
  <c r="Q6" i="14"/>
  <c r="G5" i="29"/>
  <c r="E5" i="29"/>
  <c r="K22" i="12"/>
  <c r="K25" i="4"/>
  <c r="AO7" i="18"/>
  <c r="J15" i="18"/>
  <c r="S6" i="29" s="1"/>
  <c r="N39" i="18"/>
  <c r="AO11" i="18" s="1"/>
  <c r="BA11" i="18" s="1"/>
  <c r="J39" i="18"/>
  <c r="S10" i="29" s="1"/>
  <c r="N33" i="18"/>
  <c r="AO10" i="18" s="1"/>
  <c r="BA10" i="18" s="1"/>
  <c r="J33" i="18"/>
  <c r="S9" i="29" s="1"/>
  <c r="N27" i="18"/>
  <c r="AO9" i="18" s="1"/>
  <c r="BA9" i="18" s="1"/>
  <c r="J27" i="18"/>
  <c r="S8" i="29" s="1"/>
  <c r="N21" i="18"/>
  <c r="AO8" i="18" s="1"/>
  <c r="BA8" i="18" s="1"/>
  <c r="J21" i="18"/>
  <c r="S7" i="29" s="1"/>
  <c r="N45" i="18"/>
  <c r="AO12" i="18" s="1"/>
  <c r="BI12" i="18" s="1"/>
  <c r="J45" i="18"/>
  <c r="S11" i="29" s="1"/>
  <c r="K169" i="6"/>
  <c r="O169" i="6" s="1"/>
  <c r="X8" i="18" s="1"/>
  <c r="AE8" i="18" s="1"/>
  <c r="K173" i="6"/>
  <c r="O173" i="6" s="1"/>
  <c r="X12" i="18" s="1"/>
  <c r="AE12" i="18" s="1"/>
  <c r="O170" i="6"/>
  <c r="X9" i="18" s="1"/>
  <c r="U5" i="29" s="1"/>
  <c r="K168" i="6"/>
  <c r="O168" i="6" s="1"/>
  <c r="X7" i="18" s="1"/>
  <c r="AE7" i="18" s="1"/>
  <c r="K171" i="6"/>
  <c r="O171" i="6" s="1"/>
  <c r="X10" i="18" s="1"/>
  <c r="AE10" i="18" s="1"/>
  <c r="K172" i="6"/>
  <c r="O172" i="6" s="1"/>
  <c r="X11" i="18" s="1"/>
  <c r="AE11" i="18" s="1"/>
  <c r="CV171" i="6"/>
  <c r="CZ171" i="6" s="1"/>
  <c r="X58" i="18" s="1"/>
  <c r="AE58" i="18" s="1"/>
  <c r="CV173" i="6"/>
  <c r="CZ173" i="6" s="1"/>
  <c r="X60" i="18" s="1"/>
  <c r="AE60" i="18" s="1"/>
  <c r="CV168" i="6"/>
  <c r="CZ168" i="6" s="1"/>
  <c r="X55" i="18" s="1"/>
  <c r="AE55" i="18" s="1"/>
  <c r="CV170" i="6"/>
  <c r="CZ170" i="6" s="1"/>
  <c r="X57" i="18" s="1"/>
  <c r="CV172" i="6"/>
  <c r="CZ172" i="6" s="1"/>
  <c r="X59" i="18" s="1"/>
  <c r="AE59" i="18" s="1"/>
  <c r="CV169" i="6"/>
  <c r="CZ169" i="6" s="1"/>
  <c r="X56" i="18" s="1"/>
  <c r="AE56" i="18" s="1"/>
  <c r="AS170" i="6"/>
  <c r="AW170" i="6" s="1"/>
  <c r="X27" i="18" s="1"/>
  <c r="U8" i="29" s="1"/>
  <c r="AS173" i="6"/>
  <c r="AW173" i="6" s="1"/>
  <c r="X30" i="18" s="1"/>
  <c r="AE30" i="18" s="1"/>
  <c r="AS169" i="6"/>
  <c r="AW169" i="6" s="1"/>
  <c r="X26" i="18" s="1"/>
  <c r="AE26" i="18" s="1"/>
  <c r="AS172" i="6"/>
  <c r="AW172" i="6" s="1"/>
  <c r="X29" i="18" s="1"/>
  <c r="AE29" i="18" s="1"/>
  <c r="AS168" i="6"/>
  <c r="AW168" i="6" s="1"/>
  <c r="X25" i="18" s="1"/>
  <c r="AE25" i="18" s="1"/>
  <c r="AS171" i="6"/>
  <c r="AW171" i="6" s="1"/>
  <c r="X28" i="18" s="1"/>
  <c r="AE28" i="18" s="1"/>
  <c r="CK171" i="6"/>
  <c r="CO171" i="6" s="1"/>
  <c r="X52" i="18" s="1"/>
  <c r="AE52" i="18" s="1"/>
  <c r="CK170" i="6"/>
  <c r="CO170" i="6" s="1"/>
  <c r="X51" i="18" s="1"/>
  <c r="CK173" i="6"/>
  <c r="CO173" i="6" s="1"/>
  <c r="X54" i="18" s="1"/>
  <c r="AE54" i="18" s="1"/>
  <c r="CK169" i="6"/>
  <c r="CO169" i="6" s="1"/>
  <c r="X50" i="18" s="1"/>
  <c r="AE50" i="18" s="1"/>
  <c r="CK172" i="6"/>
  <c r="CO172" i="6" s="1"/>
  <c r="X53" i="18" s="1"/>
  <c r="AE53" i="18" s="1"/>
  <c r="CK168" i="6"/>
  <c r="CO168" i="6" s="1"/>
  <c r="X49" i="18" s="1"/>
  <c r="AE49" i="18" s="1"/>
  <c r="EC170" i="6"/>
  <c r="EG170" i="6" s="1"/>
  <c r="X75" i="18" s="1"/>
  <c r="EC169" i="6"/>
  <c r="EG169" i="6" s="1"/>
  <c r="X74" i="18" s="1"/>
  <c r="AE74" i="18" s="1"/>
  <c r="EC172" i="6"/>
  <c r="EG172" i="6" s="1"/>
  <c r="X77" i="18" s="1"/>
  <c r="AE77" i="18" s="1"/>
  <c r="EC168" i="6"/>
  <c r="EG168" i="6" s="1"/>
  <c r="X73" i="18" s="1"/>
  <c r="AE73" i="18" s="1"/>
  <c r="EC171" i="6"/>
  <c r="EG171" i="6" s="1"/>
  <c r="X76" i="18" s="1"/>
  <c r="AE76" i="18" s="1"/>
  <c r="EC173" i="6"/>
  <c r="EG173" i="6" s="1"/>
  <c r="X78" i="18" s="1"/>
  <c r="AE78" i="18" s="1"/>
  <c r="BD172" i="6"/>
  <c r="BH172" i="6" s="1"/>
  <c r="X35" i="18" s="1"/>
  <c r="AE35" i="18" s="1"/>
  <c r="BD168" i="6"/>
  <c r="BH168" i="6" s="1"/>
  <c r="X31" i="18" s="1"/>
  <c r="AE31" i="18" s="1"/>
  <c r="BD171" i="6"/>
  <c r="BH171" i="6" s="1"/>
  <c r="X34" i="18" s="1"/>
  <c r="AE34" i="18" s="1"/>
  <c r="BD173" i="6"/>
  <c r="BH173" i="6" s="1"/>
  <c r="X36" i="18" s="1"/>
  <c r="AE36" i="18" s="1"/>
  <c r="BD169" i="6"/>
  <c r="BH169" i="6" s="1"/>
  <c r="X32" i="18" s="1"/>
  <c r="AE32" i="18" s="1"/>
  <c r="BD170" i="6"/>
  <c r="BH170" i="6" s="1"/>
  <c r="X33" i="18" s="1"/>
  <c r="U9" i="29" s="1"/>
  <c r="W171" i="6"/>
  <c r="AA171" i="6" s="1"/>
  <c r="X16" i="18" s="1"/>
  <c r="AE16" i="18" s="1"/>
  <c r="W172" i="6"/>
  <c r="AA172" i="6" s="1"/>
  <c r="X17" i="18" s="1"/>
  <c r="AE17" i="18" s="1"/>
  <c r="W169" i="6"/>
  <c r="AA169" i="6" s="1"/>
  <c r="X14" i="18" s="1"/>
  <c r="AE14" i="18" s="1"/>
  <c r="W173" i="6"/>
  <c r="AA173" i="6" s="1"/>
  <c r="X18" i="18" s="1"/>
  <c r="AE18" i="18" s="1"/>
  <c r="W170" i="6"/>
  <c r="AA170" i="6" s="1"/>
  <c r="X15" i="18" s="1"/>
  <c r="U6" i="29" s="1"/>
  <c r="AA168" i="6"/>
  <c r="X13" i="18" s="1"/>
  <c r="AE13" i="18" s="1"/>
  <c r="BO171" i="6"/>
  <c r="BS171" i="6" s="1"/>
  <c r="X40" i="18" s="1"/>
  <c r="AE40" i="18" s="1"/>
  <c r="BO170" i="6"/>
  <c r="BS170" i="6" s="1"/>
  <c r="X39" i="18" s="1"/>
  <c r="U10" i="29" s="1"/>
  <c r="BO173" i="6"/>
  <c r="BS173" i="6" s="1"/>
  <c r="X42" i="18" s="1"/>
  <c r="AE42" i="18" s="1"/>
  <c r="BO169" i="6"/>
  <c r="BS169" i="6" s="1"/>
  <c r="X38" i="18" s="1"/>
  <c r="AE38" i="18" s="1"/>
  <c r="BO172" i="6"/>
  <c r="BS172" i="6" s="1"/>
  <c r="X41" i="18" s="1"/>
  <c r="AE41" i="18" s="1"/>
  <c r="BO168" i="6"/>
  <c r="BS168" i="6" s="1"/>
  <c r="X37" i="18" s="1"/>
  <c r="AE37" i="18" s="1"/>
  <c r="AH170" i="6"/>
  <c r="AH173" i="6"/>
  <c r="AL173" i="6" s="1"/>
  <c r="X24" i="18" s="1"/>
  <c r="AE24" i="18" s="1"/>
  <c r="AH169" i="6"/>
  <c r="AL169" i="6" s="1"/>
  <c r="X20" i="18" s="1"/>
  <c r="AE20" i="18" s="1"/>
  <c r="AH172" i="6"/>
  <c r="AL172" i="6" s="1"/>
  <c r="X23" i="18" s="1"/>
  <c r="AE23" i="18" s="1"/>
  <c r="AH168" i="6"/>
  <c r="AL168" i="6" s="1"/>
  <c r="X19" i="18" s="1"/>
  <c r="AE19" i="18" s="1"/>
  <c r="AH171" i="6"/>
  <c r="AL171" i="6" s="1"/>
  <c r="X22" i="18" s="1"/>
  <c r="AE22" i="18" s="1"/>
  <c r="BZ171" i="6"/>
  <c r="CD171" i="6" s="1"/>
  <c r="X46" i="18" s="1"/>
  <c r="AE46" i="18" s="1"/>
  <c r="BZ170" i="6"/>
  <c r="CD170" i="6" s="1"/>
  <c r="X45" i="18" s="1"/>
  <c r="U11" i="29" s="1"/>
  <c r="BZ173" i="6"/>
  <c r="CD173" i="6" s="1"/>
  <c r="X48" i="18" s="1"/>
  <c r="AE48" i="18" s="1"/>
  <c r="BZ169" i="6"/>
  <c r="CD169" i="6" s="1"/>
  <c r="X44" i="18" s="1"/>
  <c r="AE44" i="18" s="1"/>
  <c r="BZ172" i="6"/>
  <c r="CD172" i="6" s="1"/>
  <c r="X47" i="18" s="1"/>
  <c r="AE47" i="18" s="1"/>
  <c r="BZ168" i="6"/>
  <c r="CD168" i="6" s="1"/>
  <c r="X43" i="18" s="1"/>
  <c r="AE43" i="18" s="1"/>
  <c r="DR173" i="6"/>
  <c r="DV173" i="6" s="1"/>
  <c r="X72" i="18" s="1"/>
  <c r="AE72" i="18" s="1"/>
  <c r="DR169" i="6"/>
  <c r="DV169" i="6" s="1"/>
  <c r="X68" i="18" s="1"/>
  <c r="AE68" i="18" s="1"/>
  <c r="DR172" i="6"/>
  <c r="DV172" i="6" s="1"/>
  <c r="X71" i="18" s="1"/>
  <c r="AE71" i="18" s="1"/>
  <c r="DR168" i="6"/>
  <c r="DV168" i="6" s="1"/>
  <c r="X67" i="18" s="1"/>
  <c r="AE67" i="18" s="1"/>
  <c r="DR171" i="6"/>
  <c r="DV171" i="6" s="1"/>
  <c r="X70" i="18" s="1"/>
  <c r="AE70" i="18" s="1"/>
  <c r="DR170" i="6"/>
  <c r="DV170" i="6" s="1"/>
  <c r="X69" i="18" s="1"/>
  <c r="DG173" i="6"/>
  <c r="DK173" i="6" s="1"/>
  <c r="X66" i="18" s="1"/>
  <c r="AE66" i="18" s="1"/>
  <c r="DG169" i="6"/>
  <c r="DK169" i="6" s="1"/>
  <c r="X62" i="18" s="1"/>
  <c r="AE62" i="18" s="1"/>
  <c r="DG172" i="6"/>
  <c r="DK172" i="6" s="1"/>
  <c r="X65" i="18" s="1"/>
  <c r="AE65" i="18" s="1"/>
  <c r="DG168" i="6"/>
  <c r="DK168" i="6" s="1"/>
  <c r="X61" i="18" s="1"/>
  <c r="AE61" i="18" s="1"/>
  <c r="DG171" i="6"/>
  <c r="DK171" i="6" s="1"/>
  <c r="X64" i="18" s="1"/>
  <c r="AE64" i="18" s="1"/>
  <c r="DG170" i="6"/>
  <c r="DK170" i="6" s="1"/>
  <c r="X63" i="18" s="1"/>
  <c r="J4" i="10"/>
  <c r="O156" i="4"/>
  <c r="N163" i="4"/>
  <c r="P155" i="4"/>
  <c r="O162" i="4"/>
  <c r="O157" i="4"/>
  <c r="N164" i="4"/>
  <c r="H168" i="4"/>
  <c r="H170" i="4" s="1"/>
  <c r="I166" i="4"/>
  <c r="J159" i="4"/>
  <c r="I165" i="4"/>
  <c r="CI173" i="13" l="1"/>
  <c r="CI175" i="13" s="1"/>
  <c r="CG183" i="13" s="1"/>
  <c r="CH173" i="13"/>
  <c r="CH175" i="13" s="1"/>
  <c r="BN217" i="5"/>
  <c r="BN221" i="5" s="1"/>
  <c r="BO217" i="5"/>
  <c r="BM221" i="5"/>
  <c r="BX217" i="5"/>
  <c r="BZ210" i="5"/>
  <c r="BY210" i="5"/>
  <c r="J217" i="5"/>
  <c r="K210" i="5"/>
  <c r="L210" i="5"/>
  <c r="DG217" i="5"/>
  <c r="DG221" i="5" s="1"/>
  <c r="DF217" i="5"/>
  <c r="DF221" i="5" s="1"/>
  <c r="DE221" i="5"/>
  <c r="FJ217" i="5"/>
  <c r="FJ221" i="5" s="1"/>
  <c r="FK217" i="5"/>
  <c r="FK221" i="5" s="1"/>
  <c r="AS221" i="5"/>
  <c r="BD221" i="5"/>
  <c r="V217" i="5"/>
  <c r="V221" i="5" s="1"/>
  <c r="W217" i="5"/>
  <c r="W221" i="5" s="1"/>
  <c r="U221" i="5"/>
  <c r="EM217" i="5"/>
  <c r="EN217" i="5"/>
  <c r="EN221" i="5" s="1"/>
  <c r="EL221" i="5"/>
  <c r="AR217" i="5"/>
  <c r="AR221" i="5" s="1"/>
  <c r="AS217" i="5"/>
  <c r="AQ221" i="5"/>
  <c r="BD217" i="5"/>
  <c r="BC217" i="5"/>
  <c r="BC221" i="5" s="1"/>
  <c r="CJ217" i="5"/>
  <c r="CJ221" i="5" s="1"/>
  <c r="CK217" i="5"/>
  <c r="DR217" i="5"/>
  <c r="DR221" i="5" s="1"/>
  <c r="DQ217" i="5"/>
  <c r="DQ221" i="5" s="1"/>
  <c r="DP221" i="5"/>
  <c r="AG217" i="5"/>
  <c r="AG221" i="5" s="1"/>
  <c r="AH217" i="5"/>
  <c r="AH221" i="5" s="1"/>
  <c r="AF221" i="5"/>
  <c r="CV217" i="5"/>
  <c r="CV221" i="5" s="1"/>
  <c r="CU217" i="5"/>
  <c r="CU221" i="5" s="1"/>
  <c r="CT221" i="5"/>
  <c r="EB217" i="5"/>
  <c r="EB221" i="5" s="1"/>
  <c r="EC217" i="5"/>
  <c r="EC221" i="5" s="1"/>
  <c r="CK221" i="5"/>
  <c r="BO221" i="5"/>
  <c r="EY217" i="5"/>
  <c r="EY221" i="5" s="1"/>
  <c r="EX217" i="5"/>
  <c r="EX221" i="5" s="1"/>
  <c r="EW221" i="5"/>
  <c r="EM221" i="5"/>
  <c r="AE9" i="18"/>
  <c r="AP6" i="18" s="1"/>
  <c r="BB6" i="18" s="1"/>
  <c r="AL170" i="6"/>
  <c r="X21" i="18" s="1"/>
  <c r="AD5" i="29"/>
  <c r="AD26" i="29"/>
  <c r="BA7" i="18"/>
  <c r="BI7" i="18"/>
  <c r="AU20" i="18"/>
  <c r="AR19" i="18"/>
  <c r="AU19" i="18"/>
  <c r="BA12" i="18"/>
  <c r="AD30" i="29"/>
  <c r="AR30" i="29" s="1"/>
  <c r="BF30" i="29" s="1"/>
  <c r="BP30" i="29" s="1"/>
  <c r="BT30" i="29" s="1"/>
  <c r="AD9" i="29"/>
  <c r="AR9" i="29" s="1"/>
  <c r="BF9" i="29" s="1"/>
  <c r="BP9" i="29" s="1"/>
  <c r="BV9" i="29" s="1"/>
  <c r="AQ26" i="29"/>
  <c r="BE26" i="29" s="1"/>
  <c r="AQ5" i="29"/>
  <c r="BE5" i="29" s="1"/>
  <c r="AF27" i="29"/>
  <c r="AT27" i="29" s="1"/>
  <c r="BH27" i="29" s="1"/>
  <c r="BQ27" i="29" s="1"/>
  <c r="BU27" i="29" s="1"/>
  <c r="AF6" i="29"/>
  <c r="AT6" i="29" s="1"/>
  <c r="BH6" i="29" s="1"/>
  <c r="BQ6" i="29" s="1"/>
  <c r="BW6" i="29" s="1"/>
  <c r="AE75" i="18"/>
  <c r="AP17" i="18" s="1"/>
  <c r="BB17" i="18" s="1"/>
  <c r="U16" i="29"/>
  <c r="AF8" i="29"/>
  <c r="AT8" i="29" s="1"/>
  <c r="BH8" i="29" s="1"/>
  <c r="BQ8" i="29" s="1"/>
  <c r="BW8" i="29" s="1"/>
  <c r="AF29" i="29"/>
  <c r="AT29" i="29" s="1"/>
  <c r="BH29" i="29" s="1"/>
  <c r="BQ29" i="29" s="1"/>
  <c r="BU29" i="29" s="1"/>
  <c r="AR20" i="18"/>
  <c r="AO6" i="18"/>
  <c r="BA6" i="18" s="1"/>
  <c r="AN26" i="29"/>
  <c r="BB26" i="29" s="1"/>
  <c r="BN26" i="29" s="1"/>
  <c r="AN5" i="29"/>
  <c r="BB5" i="29" s="1"/>
  <c r="BN5" i="29" s="1"/>
  <c r="AD37" i="29"/>
  <c r="AR37" i="29" s="1"/>
  <c r="BF37" i="29" s="1"/>
  <c r="BP37" i="29" s="1"/>
  <c r="BT37" i="29" s="1"/>
  <c r="AD16" i="29"/>
  <c r="AR16" i="29" s="1"/>
  <c r="BF16" i="29" s="1"/>
  <c r="BU17" i="29" s="1"/>
  <c r="AD36" i="29"/>
  <c r="AR36" i="29" s="1"/>
  <c r="BF36" i="29" s="1"/>
  <c r="BP36" i="29" s="1"/>
  <c r="BT36" i="29" s="1"/>
  <c r="AD15" i="29"/>
  <c r="AR15" i="29" s="1"/>
  <c r="BF15" i="29" s="1"/>
  <c r="BU16" i="29" s="1"/>
  <c r="AD34" i="29"/>
  <c r="AR34" i="29" s="1"/>
  <c r="BF34" i="29" s="1"/>
  <c r="BP34" i="29" s="1"/>
  <c r="BT34" i="29" s="1"/>
  <c r="AD13" i="29"/>
  <c r="AR13" i="29" s="1"/>
  <c r="BF13" i="29" s="1"/>
  <c r="BU14" i="29" s="1"/>
  <c r="AD39" i="29"/>
  <c r="AR39" i="29" s="1"/>
  <c r="BF39" i="29" s="1"/>
  <c r="BP39" i="29" s="1"/>
  <c r="BT39" i="29" s="1"/>
  <c r="AD18" i="29"/>
  <c r="AR18" i="29" s="1"/>
  <c r="BF18" i="29" s="1"/>
  <c r="BU19" i="29" s="1"/>
  <c r="AE57" i="18"/>
  <c r="AP14" i="18" s="1"/>
  <c r="BB14" i="18" s="1"/>
  <c r="U13" i="29"/>
  <c r="AD28" i="29"/>
  <c r="AR28" i="29" s="1"/>
  <c r="BF28" i="29" s="1"/>
  <c r="BP28" i="29" s="1"/>
  <c r="BT28" i="29" s="1"/>
  <c r="AD7" i="29"/>
  <c r="AR7" i="29" s="1"/>
  <c r="BF7" i="29" s="1"/>
  <c r="BP7" i="29" s="1"/>
  <c r="BV7" i="29" s="1"/>
  <c r="AL5" i="29"/>
  <c r="AZ5" i="29" s="1"/>
  <c r="BM5" i="29" s="1"/>
  <c r="AL26" i="29"/>
  <c r="AZ26" i="29" s="1"/>
  <c r="BM26" i="29" s="1"/>
  <c r="AE63" i="18"/>
  <c r="AP15" i="18" s="1"/>
  <c r="BB15" i="18" s="1"/>
  <c r="U14" i="29"/>
  <c r="AF32" i="29"/>
  <c r="AT32" i="29" s="1"/>
  <c r="BH32" i="29" s="1"/>
  <c r="BQ32" i="29" s="1"/>
  <c r="BU32" i="29" s="1"/>
  <c r="AF11" i="29"/>
  <c r="AT11" i="29" s="1"/>
  <c r="BH11" i="29" s="1"/>
  <c r="BQ11" i="29" s="1"/>
  <c r="BW11" i="29" s="1"/>
  <c r="AF31" i="29"/>
  <c r="AT31" i="29" s="1"/>
  <c r="BH31" i="29" s="1"/>
  <c r="BQ31" i="29" s="1"/>
  <c r="BU31" i="29" s="1"/>
  <c r="AF10" i="29"/>
  <c r="AT10" i="29" s="1"/>
  <c r="BH10" i="29" s="1"/>
  <c r="BQ10" i="29" s="1"/>
  <c r="BW10" i="29" s="1"/>
  <c r="AF30" i="29"/>
  <c r="AT30" i="29" s="1"/>
  <c r="BH30" i="29" s="1"/>
  <c r="BQ30" i="29" s="1"/>
  <c r="BU30" i="29" s="1"/>
  <c r="AF9" i="29"/>
  <c r="AT9" i="29" s="1"/>
  <c r="BH9" i="29" s="1"/>
  <c r="BQ9" i="29" s="1"/>
  <c r="BW9" i="29" s="1"/>
  <c r="AE51" i="18"/>
  <c r="AP13" i="18" s="1"/>
  <c r="BB13" i="18" s="1"/>
  <c r="U12" i="29"/>
  <c r="AR18" i="18"/>
  <c r="AD32" i="29"/>
  <c r="AR32" i="29" s="1"/>
  <c r="BF32" i="29" s="1"/>
  <c r="BP32" i="29" s="1"/>
  <c r="BT32" i="29" s="1"/>
  <c r="AD11" i="29"/>
  <c r="AR11" i="29" s="1"/>
  <c r="BF11" i="29" s="1"/>
  <c r="BP11" i="29" s="1"/>
  <c r="BV11" i="29" s="1"/>
  <c r="AD29" i="29"/>
  <c r="AR29" i="29" s="1"/>
  <c r="BF29" i="29" s="1"/>
  <c r="BP29" i="29" s="1"/>
  <c r="BT29" i="29" s="1"/>
  <c r="AD8" i="29"/>
  <c r="AR8" i="29" s="1"/>
  <c r="BF8" i="29" s="1"/>
  <c r="BP8" i="29" s="1"/>
  <c r="BV8" i="29" s="1"/>
  <c r="AD31" i="29"/>
  <c r="AR31" i="29" s="1"/>
  <c r="BF31" i="29" s="1"/>
  <c r="BP31" i="29" s="1"/>
  <c r="BT31" i="29" s="1"/>
  <c r="AD10" i="29"/>
  <c r="AR10" i="29" s="1"/>
  <c r="BF10" i="29" s="1"/>
  <c r="BP10" i="29" s="1"/>
  <c r="BV10" i="29" s="1"/>
  <c r="AJ26" i="29"/>
  <c r="AX26" i="29" s="1"/>
  <c r="BL26" i="29" s="1"/>
  <c r="AJ5" i="29"/>
  <c r="AX5" i="29" s="1"/>
  <c r="BL5" i="29" s="1"/>
  <c r="AQ27" i="29"/>
  <c r="BE27" i="29" s="1"/>
  <c r="AQ6" i="29"/>
  <c r="BE6" i="29" s="1"/>
  <c r="AD14" i="29"/>
  <c r="AR14" i="29" s="1"/>
  <c r="BF14" i="29" s="1"/>
  <c r="BU15" i="29" s="1"/>
  <c r="AD35" i="29"/>
  <c r="AR35" i="29" s="1"/>
  <c r="BF35" i="29" s="1"/>
  <c r="BP35" i="29" s="1"/>
  <c r="BT35" i="29" s="1"/>
  <c r="AE69" i="18"/>
  <c r="AP16" i="18" s="1"/>
  <c r="BB16" i="18" s="1"/>
  <c r="U15" i="29"/>
  <c r="AD27" i="29"/>
  <c r="AR27" i="29" s="1"/>
  <c r="BF27" i="29" s="1"/>
  <c r="BP27" i="29" s="1"/>
  <c r="BT27" i="29" s="1"/>
  <c r="AD6" i="29"/>
  <c r="AR6" i="29" s="1"/>
  <c r="BF6" i="29" s="1"/>
  <c r="BP6" i="29" s="1"/>
  <c r="BV6" i="29" s="1"/>
  <c r="AF5" i="29"/>
  <c r="AF26" i="29"/>
  <c r="AU18" i="18"/>
  <c r="AQ28" i="29"/>
  <c r="BE28" i="29" s="1"/>
  <c r="AQ7" i="29"/>
  <c r="BE7" i="29" s="1"/>
  <c r="AD40" i="29"/>
  <c r="AR40" i="29" s="1"/>
  <c r="BF40" i="29" s="1"/>
  <c r="BP40" i="29" s="1"/>
  <c r="BT40" i="29" s="1"/>
  <c r="AD19" i="29"/>
  <c r="AR19" i="29" s="1"/>
  <c r="BF19" i="29" s="1"/>
  <c r="BU20" i="29" s="1"/>
  <c r="AD33" i="29"/>
  <c r="AR33" i="29" s="1"/>
  <c r="BF33" i="29" s="1"/>
  <c r="BP33" i="29" s="1"/>
  <c r="BT33" i="29" s="1"/>
  <c r="AD12" i="29"/>
  <c r="AR12" i="29" s="1"/>
  <c r="BF12" i="29" s="1"/>
  <c r="BU13" i="29" s="1"/>
  <c r="AD38" i="29"/>
  <c r="AR38" i="29" s="1"/>
  <c r="BF38" i="29" s="1"/>
  <c r="BP38" i="29" s="1"/>
  <c r="BT38" i="29" s="1"/>
  <c r="AD17" i="29"/>
  <c r="AR17" i="29" s="1"/>
  <c r="BF17" i="29" s="1"/>
  <c r="BU18" i="29" s="1"/>
  <c r="K25" i="12"/>
  <c r="V5" i="10" s="1"/>
  <c r="J5" i="10"/>
  <c r="BI8" i="18"/>
  <c r="BI11" i="18"/>
  <c r="BI10" i="18"/>
  <c r="AE15" i="18"/>
  <c r="AP7" i="18" s="1"/>
  <c r="BK7" i="18" s="1"/>
  <c r="AE39" i="18"/>
  <c r="AP11" i="18" s="1"/>
  <c r="AE27" i="18"/>
  <c r="AP9" i="18" s="1"/>
  <c r="AE33" i="18"/>
  <c r="AP10" i="18" s="1"/>
  <c r="AU17" i="18"/>
  <c r="BI9" i="18"/>
  <c r="AE45" i="18"/>
  <c r="AP12" i="18" s="1"/>
  <c r="L15" i="10"/>
  <c r="P157" i="4"/>
  <c r="O164" i="4"/>
  <c r="P156" i="4"/>
  <c r="O163" i="4"/>
  <c r="Q155" i="4"/>
  <c r="P162" i="4"/>
  <c r="I168" i="4"/>
  <c r="I170" i="4" s="1"/>
  <c r="J165" i="4"/>
  <c r="J166" i="4"/>
  <c r="K159" i="4"/>
  <c r="BY217" i="5" l="1"/>
  <c r="BY221" i="5" s="1"/>
  <c r="BZ217" i="5"/>
  <c r="BZ221" i="5" s="1"/>
  <c r="BX221" i="5"/>
  <c r="L217" i="5"/>
  <c r="L221" i="5" s="1"/>
  <c r="K217" i="5"/>
  <c r="K221" i="5" s="1"/>
  <c r="J221" i="5"/>
  <c r="U7" i="29"/>
  <c r="AF28" i="29" s="1"/>
  <c r="AT28" i="29" s="1"/>
  <c r="BH28" i="29" s="1"/>
  <c r="BQ28" i="29" s="1"/>
  <c r="BU28" i="29" s="1"/>
  <c r="AE21" i="18"/>
  <c r="AP8" i="18" s="1"/>
  <c r="AU8" i="18" s="1"/>
  <c r="AA19" i="10"/>
  <c r="AA23" i="10"/>
  <c r="AA16" i="10"/>
  <c r="AA20" i="10"/>
  <c r="AA24" i="10"/>
  <c r="AD25" i="10" s="1"/>
  <c r="AJ15" i="10" s="1"/>
  <c r="AJ33" i="10" s="1"/>
  <c r="AA17" i="10"/>
  <c r="AA21" i="10"/>
  <c r="AA15" i="10"/>
  <c r="AA18" i="10"/>
  <c r="AA22" i="10"/>
  <c r="AR17" i="18"/>
  <c r="AU15" i="18"/>
  <c r="AR15" i="18"/>
  <c r="BT5" i="29"/>
  <c r="AR13" i="18"/>
  <c r="AU13" i="18"/>
  <c r="AR16" i="18"/>
  <c r="AF34" i="29"/>
  <c r="AT34" i="29" s="1"/>
  <c r="BH34" i="29" s="1"/>
  <c r="BQ34" i="29" s="1"/>
  <c r="BU34" i="29" s="1"/>
  <c r="AF13" i="29"/>
  <c r="AT13" i="29" s="1"/>
  <c r="BH13" i="29" s="1"/>
  <c r="BV14" i="29" s="1"/>
  <c r="AU14" i="18"/>
  <c r="BS26" i="29"/>
  <c r="AF12" i="29"/>
  <c r="AT12" i="29" s="1"/>
  <c r="BH12" i="29" s="1"/>
  <c r="BV13" i="29" s="1"/>
  <c r="AF33" i="29"/>
  <c r="AT33" i="29" s="1"/>
  <c r="BH33" i="29" s="1"/>
  <c r="BQ33" i="29" s="1"/>
  <c r="BU33" i="29" s="1"/>
  <c r="AF35" i="29"/>
  <c r="AT35" i="29" s="1"/>
  <c r="BH35" i="29" s="1"/>
  <c r="BQ35" i="29" s="1"/>
  <c r="BU35" i="29" s="1"/>
  <c r="AF14" i="29"/>
  <c r="AT14" i="29" s="1"/>
  <c r="BH14" i="29" s="1"/>
  <c r="BV15" i="29" s="1"/>
  <c r="BI6" i="18"/>
  <c r="AF16" i="29"/>
  <c r="AT16" i="29" s="1"/>
  <c r="BH16" i="29" s="1"/>
  <c r="BV17" i="29" s="1"/>
  <c r="AF37" i="29"/>
  <c r="AT37" i="29" s="1"/>
  <c r="BH37" i="29" s="1"/>
  <c r="BQ37" i="29" s="1"/>
  <c r="BU37" i="29" s="1"/>
  <c r="AR14" i="18"/>
  <c r="AU16" i="18"/>
  <c r="AF36" i="29"/>
  <c r="AT36" i="29" s="1"/>
  <c r="BH36" i="29" s="1"/>
  <c r="BQ36" i="29" s="1"/>
  <c r="BU36" i="29" s="1"/>
  <c r="AF15" i="29"/>
  <c r="AT15" i="29" s="1"/>
  <c r="BH15" i="29" s="1"/>
  <c r="BV16" i="29" s="1"/>
  <c r="H5" i="29"/>
  <c r="F5" i="29"/>
  <c r="D5" i="29"/>
  <c r="AR8" i="18"/>
  <c r="BK8" i="18"/>
  <c r="AU7" i="18"/>
  <c r="BB7" i="18"/>
  <c r="AR7" i="18"/>
  <c r="AU6" i="18"/>
  <c r="AR6" i="18"/>
  <c r="BK6" i="18"/>
  <c r="BB8" i="18"/>
  <c r="BK12" i="18"/>
  <c r="BB12" i="18"/>
  <c r="AR12" i="18"/>
  <c r="AU12" i="18"/>
  <c r="BK9" i="18"/>
  <c r="BB9" i="18"/>
  <c r="AU9" i="18"/>
  <c r="AR9" i="18"/>
  <c r="BK10" i="18"/>
  <c r="BB10" i="18"/>
  <c r="AU10" i="18"/>
  <c r="AR10" i="18"/>
  <c r="BK11" i="18"/>
  <c r="BB11" i="18"/>
  <c r="AR11" i="18"/>
  <c r="AU11" i="18"/>
  <c r="L16" i="10"/>
  <c r="Q157" i="4"/>
  <c r="P164" i="4"/>
  <c r="Q162" i="4"/>
  <c r="V155" i="4"/>
  <c r="Q156" i="4"/>
  <c r="P163" i="4"/>
  <c r="L159" i="4"/>
  <c r="K166" i="4"/>
  <c r="K165" i="4"/>
  <c r="J168" i="4"/>
  <c r="J170" i="4" s="1"/>
  <c r="AF7" i="29" l="1"/>
  <c r="AT7" i="29" s="1"/>
  <c r="BH7" i="29" s="1"/>
  <c r="BQ7" i="29" s="1"/>
  <c r="BW7" i="29" s="1"/>
  <c r="AB25" i="10"/>
  <c r="AH15" i="10" s="1"/>
  <c r="AH33" i="10" s="1"/>
  <c r="AL33" i="10" s="1"/>
  <c r="AO26" i="29"/>
  <c r="BC26" i="29" s="1"/>
  <c r="AO5" i="29"/>
  <c r="BC5" i="29" s="1"/>
  <c r="AK5" i="29"/>
  <c r="AY5" i="29" s="1"/>
  <c r="AK26" i="29"/>
  <c r="AY26" i="29" s="1"/>
  <c r="AM5" i="29"/>
  <c r="BA5" i="29" s="1"/>
  <c r="AM26" i="29"/>
  <c r="BA26" i="29" s="1"/>
  <c r="L17" i="10"/>
  <c r="V157" i="4"/>
  <c r="Q164" i="4"/>
  <c r="V156" i="4"/>
  <c r="Q163" i="4"/>
  <c r="W155" i="4"/>
  <c r="V162" i="4"/>
  <c r="K168" i="4"/>
  <c r="K170" i="4" s="1"/>
  <c r="L165" i="4"/>
  <c r="M159" i="4"/>
  <c r="L166" i="4"/>
  <c r="AM33" i="10" l="1"/>
  <c r="L18" i="10"/>
  <c r="W157" i="4"/>
  <c r="V164" i="4"/>
  <c r="X155" i="4"/>
  <c r="W162" i="4"/>
  <c r="W156" i="4"/>
  <c r="V163" i="4"/>
  <c r="L168" i="4"/>
  <c r="L170" i="4" s="1"/>
  <c r="N159" i="4"/>
  <c r="M166" i="4"/>
  <c r="M165" i="4"/>
  <c r="L19" i="10" l="1"/>
  <c r="W164" i="4"/>
  <c r="X157" i="4"/>
  <c r="W163" i="4"/>
  <c r="X156" i="4"/>
  <c r="Y155" i="4"/>
  <c r="X162" i="4"/>
  <c r="M168" i="4"/>
  <c r="M170" i="4" s="1"/>
  <c r="N165" i="4"/>
  <c r="O159" i="4"/>
  <c r="N166" i="4"/>
  <c r="L20" i="10" l="1"/>
  <c r="Z155" i="4"/>
  <c r="Y162" i="4"/>
  <c r="X164" i="4"/>
  <c r="Y157" i="4"/>
  <c r="X163" i="4"/>
  <c r="Y156" i="4"/>
  <c r="P159" i="4"/>
  <c r="O166" i="4"/>
  <c r="N168" i="4"/>
  <c r="N170" i="4" s="1"/>
  <c r="O165" i="4"/>
  <c r="L21" i="10" l="1"/>
  <c r="Y164" i="4"/>
  <c r="Z157" i="4"/>
  <c r="Y163" i="4"/>
  <c r="Z156" i="4"/>
  <c r="AA155" i="4"/>
  <c r="Z162" i="4"/>
  <c r="O168" i="4"/>
  <c r="O170" i="4" s="1"/>
  <c r="P165" i="4"/>
  <c r="Q159" i="4"/>
  <c r="P166" i="4"/>
  <c r="L22" i="10" l="1"/>
  <c r="Z163" i="4"/>
  <c r="AA156" i="4"/>
  <c r="AB155" i="4"/>
  <c r="AA162" i="4"/>
  <c r="Z164" i="4"/>
  <c r="AA157" i="4"/>
  <c r="Q166" i="4"/>
  <c r="V159" i="4"/>
  <c r="P168" i="4"/>
  <c r="P170" i="4" s="1"/>
  <c r="Q165" i="4"/>
  <c r="L23" i="10" l="1"/>
  <c r="AA164" i="4"/>
  <c r="AB157" i="4"/>
  <c r="AB162" i="4"/>
  <c r="AC155" i="4"/>
  <c r="AB156" i="4"/>
  <c r="AA163" i="4"/>
  <c r="Q168" i="4"/>
  <c r="Q170" i="4" s="1"/>
  <c r="W159" i="4"/>
  <c r="V166" i="4"/>
  <c r="L24" i="10" l="1"/>
  <c r="AC156" i="4"/>
  <c r="AB163" i="4"/>
  <c r="AD155" i="4"/>
  <c r="AC162" i="4"/>
  <c r="AB164" i="4"/>
  <c r="AC157" i="4"/>
  <c r="X159" i="4"/>
  <c r="W166" i="4"/>
  <c r="V168" i="4"/>
  <c r="V170" i="4" s="1"/>
  <c r="W165" i="4"/>
  <c r="AC164" i="4" l="1"/>
  <c r="AD157" i="4"/>
  <c r="AD162" i="4"/>
  <c r="AE155" i="4"/>
  <c r="W168" i="4"/>
  <c r="W170" i="4" s="1"/>
  <c r="AC163" i="4"/>
  <c r="AD156" i="4"/>
  <c r="X165" i="4"/>
  <c r="Y159" i="4"/>
  <c r="X166" i="4"/>
  <c r="AD163" i="4" l="1"/>
  <c r="AE156" i="4"/>
  <c r="AE162" i="4"/>
  <c r="AK155" i="4"/>
  <c r="AE157" i="4"/>
  <c r="AD164" i="4"/>
  <c r="Z159" i="4"/>
  <c r="Y166" i="4"/>
  <c r="X168" i="4"/>
  <c r="X170" i="4" s="1"/>
  <c r="Y165" i="4"/>
  <c r="Y168" i="4" l="1"/>
  <c r="Y170" i="4" s="1"/>
  <c r="AE163" i="4"/>
  <c r="AK156" i="4"/>
  <c r="AE164" i="4"/>
  <c r="AK157" i="4"/>
  <c r="AK162" i="4"/>
  <c r="AL155" i="4"/>
  <c r="Z165" i="4"/>
  <c r="AA159" i="4"/>
  <c r="Z166" i="4"/>
  <c r="AL162" i="4" l="1"/>
  <c r="AM155" i="4"/>
  <c r="AK164" i="4"/>
  <c r="AL157" i="4"/>
  <c r="AL156" i="4"/>
  <c r="AK163" i="4"/>
  <c r="AB159" i="4"/>
  <c r="AA166" i="4"/>
  <c r="Z168" i="4"/>
  <c r="Z170" i="4" s="1"/>
  <c r="AA165" i="4"/>
  <c r="AM157" i="4" l="1"/>
  <c r="AL164" i="4"/>
  <c r="AW155" i="4"/>
  <c r="AM162" i="4"/>
  <c r="AN155" i="4"/>
  <c r="AL163" i="4"/>
  <c r="AM156" i="4"/>
  <c r="AA168" i="4"/>
  <c r="AA170" i="4" s="1"/>
  <c r="AB165" i="4"/>
  <c r="AB166" i="4"/>
  <c r="AC159" i="4"/>
  <c r="AW156" i="4" l="1"/>
  <c r="AM163" i="4"/>
  <c r="AN156" i="4"/>
  <c r="AO155" i="4"/>
  <c r="AN162" i="4"/>
  <c r="AX155" i="4"/>
  <c r="AW162" i="4"/>
  <c r="AW157" i="4"/>
  <c r="AM164" i="4"/>
  <c r="AN157" i="4"/>
  <c r="AC166" i="4"/>
  <c r="AD159" i="4"/>
  <c r="AB168" i="4"/>
  <c r="AB170" i="4" s="1"/>
  <c r="AC165" i="4"/>
  <c r="AX157" i="4" l="1"/>
  <c r="AW164" i="4"/>
  <c r="AY155" i="4"/>
  <c r="AX162" i="4"/>
  <c r="AP155" i="4"/>
  <c r="AO162" i="4"/>
  <c r="AN163" i="4"/>
  <c r="AO156" i="4"/>
  <c r="AN164" i="4"/>
  <c r="AO157" i="4"/>
  <c r="AW163" i="4"/>
  <c r="AX156" i="4"/>
  <c r="AC168" i="4"/>
  <c r="AC170" i="4" s="1"/>
  <c r="AD165" i="4"/>
  <c r="AD166" i="4"/>
  <c r="AE159" i="4"/>
  <c r="AP156" i="4" l="1"/>
  <c r="AO163" i="4"/>
  <c r="AQ155" i="4"/>
  <c r="AP162" i="4"/>
  <c r="AX163" i="4"/>
  <c r="AY156" i="4"/>
  <c r="AY162" i="4"/>
  <c r="AZ155" i="4"/>
  <c r="AP157" i="4"/>
  <c r="AO164" i="4"/>
  <c r="AX164" i="4"/>
  <c r="AY157" i="4"/>
  <c r="AE166" i="4"/>
  <c r="AK159" i="4"/>
  <c r="AE165" i="4"/>
  <c r="AD168" i="4"/>
  <c r="AD170" i="4" s="1"/>
  <c r="AZ156" i="4" l="1"/>
  <c r="AY163" i="4"/>
  <c r="AY164" i="4"/>
  <c r="AZ157" i="4"/>
  <c r="AR155" i="4"/>
  <c r="AQ162" i="4"/>
  <c r="AZ162" i="4"/>
  <c r="BA155" i="4"/>
  <c r="AQ157" i="4"/>
  <c r="AP164" i="4"/>
  <c r="AP163" i="4"/>
  <c r="AQ156" i="4"/>
  <c r="AE168" i="4"/>
  <c r="AE170" i="4" s="1"/>
  <c r="AK165" i="4"/>
  <c r="AL159" i="4"/>
  <c r="AK166" i="4"/>
  <c r="BB155" i="4" l="1"/>
  <c r="BA162" i="4"/>
  <c r="AS155" i="4"/>
  <c r="AR162" i="4"/>
  <c r="AQ163" i="4"/>
  <c r="AR156" i="4"/>
  <c r="AZ164" i="4"/>
  <c r="BA157" i="4"/>
  <c r="AQ164" i="4"/>
  <c r="AR157" i="4"/>
  <c r="AZ163" i="4"/>
  <c r="BA156" i="4"/>
  <c r="AM159" i="4"/>
  <c r="AL166" i="4"/>
  <c r="AK168" i="4"/>
  <c r="AK170" i="4" s="1"/>
  <c r="AL165" i="4"/>
  <c r="L36" i="10" l="1"/>
  <c r="BA164" i="4"/>
  <c r="BB157" i="4"/>
  <c r="BB156" i="4"/>
  <c r="BA163" i="4"/>
  <c r="AR163" i="4"/>
  <c r="AS156" i="4"/>
  <c r="AS162" i="4"/>
  <c r="AT155" i="4"/>
  <c r="AT162" i="4" s="1"/>
  <c r="AS157" i="4"/>
  <c r="AR164" i="4"/>
  <c r="BB162" i="4"/>
  <c r="BC155" i="4"/>
  <c r="AL168" i="4"/>
  <c r="AL170" i="4" s="1"/>
  <c r="AM165" i="4"/>
  <c r="AW159" i="4"/>
  <c r="AM166" i="4"/>
  <c r="AN159" i="4"/>
  <c r="L37" i="10" l="1"/>
  <c r="AT156" i="4"/>
  <c r="AT163" i="4" s="1"/>
  <c r="AS163" i="4"/>
  <c r="BB164" i="4"/>
  <c r="BC157" i="4"/>
  <c r="BM155" i="4"/>
  <c r="BD155" i="4"/>
  <c r="BC162" i="4"/>
  <c r="BB163" i="4"/>
  <c r="BC156" i="4"/>
  <c r="AS164" i="4"/>
  <c r="AT157" i="4"/>
  <c r="AT164" i="4" s="1"/>
  <c r="AX159" i="4"/>
  <c r="AW166" i="4"/>
  <c r="AO159" i="4"/>
  <c r="AN166" i="4"/>
  <c r="AM168" i="4"/>
  <c r="AM170" i="4" s="1"/>
  <c r="AN165" i="4"/>
  <c r="AW165" i="4"/>
  <c r="L38" i="10" l="1"/>
  <c r="BD162" i="4"/>
  <c r="BE155" i="4"/>
  <c r="BN155" i="4"/>
  <c r="BM162" i="4"/>
  <c r="BM157" i="4"/>
  <c r="BD157" i="4"/>
  <c r="BC164" i="4"/>
  <c r="AN168" i="4"/>
  <c r="AN170" i="4" s="1"/>
  <c r="BM156" i="4"/>
  <c r="BC163" i="4"/>
  <c r="BD156" i="4"/>
  <c r="AW168" i="4"/>
  <c r="AW170" i="4" s="1"/>
  <c r="AP159" i="4"/>
  <c r="AO166" i="4"/>
  <c r="AX165" i="4"/>
  <c r="AO165" i="4"/>
  <c r="AY159" i="4"/>
  <c r="AX166" i="4"/>
  <c r="L39" i="10" l="1"/>
  <c r="BN157" i="4"/>
  <c r="BM164" i="4"/>
  <c r="BE162" i="4"/>
  <c r="BF155" i="4"/>
  <c r="BF162" i="4" s="1"/>
  <c r="BD164" i="4"/>
  <c r="BE157" i="4"/>
  <c r="BE156" i="4"/>
  <c r="BD163" i="4"/>
  <c r="BO155" i="4"/>
  <c r="BN162" i="4"/>
  <c r="BN156" i="4"/>
  <c r="BM163" i="4"/>
  <c r="AO168" i="4"/>
  <c r="AO170" i="4" s="1"/>
  <c r="AP165" i="4"/>
  <c r="AY165" i="4"/>
  <c r="AZ159" i="4"/>
  <c r="AY166" i="4"/>
  <c r="AX168" i="4"/>
  <c r="AX170" i="4" s="1"/>
  <c r="AP166" i="4"/>
  <c r="AQ159" i="4"/>
  <c r="L40" i="10" l="1"/>
  <c r="BF157" i="4"/>
  <c r="BF164" i="4" s="1"/>
  <c r="BE164" i="4"/>
  <c r="BN163" i="4"/>
  <c r="BO156" i="4"/>
  <c r="BF156" i="4"/>
  <c r="BF163" i="4" s="1"/>
  <c r="BE163" i="4"/>
  <c r="BO162" i="4"/>
  <c r="BP155" i="4"/>
  <c r="BN164" i="4"/>
  <c r="BO157" i="4"/>
  <c r="AZ166" i="4"/>
  <c r="BA159" i="4"/>
  <c r="AZ165" i="4"/>
  <c r="AY168" i="4"/>
  <c r="AY170" i="4" s="1"/>
  <c r="AP168" i="4"/>
  <c r="AP170" i="4" s="1"/>
  <c r="AR159" i="4"/>
  <c r="AQ166" i="4"/>
  <c r="AQ165" i="4"/>
  <c r="L41" i="10" l="1"/>
  <c r="BP157" i="4"/>
  <c r="BO164" i="4"/>
  <c r="BP156" i="4"/>
  <c r="BO163" i="4"/>
  <c r="BP162" i="4"/>
  <c r="BQ155" i="4"/>
  <c r="AZ168" i="4"/>
  <c r="AZ170" i="4" s="1"/>
  <c r="BA165" i="4"/>
  <c r="AR165" i="4"/>
  <c r="BA166" i="4"/>
  <c r="BB159" i="4"/>
  <c r="AR166" i="4"/>
  <c r="AS159" i="4"/>
  <c r="AQ168" i="4"/>
  <c r="AQ170" i="4" s="1"/>
  <c r="L42" i="10" l="1"/>
  <c r="BQ162" i="4"/>
  <c r="BR155" i="4"/>
  <c r="BP163" i="4"/>
  <c r="BQ156" i="4"/>
  <c r="BP164" i="4"/>
  <c r="BQ157" i="4"/>
  <c r="BB166" i="4"/>
  <c r="BC159" i="4"/>
  <c r="BM159" i="4" s="1"/>
  <c r="AR168" i="4"/>
  <c r="AR170" i="4" s="1"/>
  <c r="BB165" i="4"/>
  <c r="AS166" i="4"/>
  <c r="AT159" i="4"/>
  <c r="AT166" i="4" s="1"/>
  <c r="AS165" i="4"/>
  <c r="AT165" i="4"/>
  <c r="BA168" i="4"/>
  <c r="BA170" i="4" s="1"/>
  <c r="L43" i="10" l="1"/>
  <c r="BR156" i="4"/>
  <c r="BQ163" i="4"/>
  <c r="BR157" i="4"/>
  <c r="BQ164" i="4"/>
  <c r="BR162" i="4"/>
  <c r="BS155" i="4"/>
  <c r="BM165" i="4"/>
  <c r="BN159" i="4"/>
  <c r="BM166" i="4"/>
  <c r="AS168" i="4"/>
  <c r="AS170" i="4" s="1"/>
  <c r="BB168" i="4"/>
  <c r="BB170" i="4" s="1"/>
  <c r="BC165" i="4"/>
  <c r="BC166" i="4"/>
  <c r="BD159" i="4"/>
  <c r="AT168" i="4"/>
  <c r="AT170" i="4" s="1"/>
  <c r="L45" i="10" l="1"/>
  <c r="L44" i="10"/>
  <c r="CC155" i="4"/>
  <c r="BT155" i="4"/>
  <c r="BS162" i="4"/>
  <c r="BN165" i="4"/>
  <c r="BS157" i="4"/>
  <c r="BR164" i="4"/>
  <c r="BO159" i="4"/>
  <c r="BN166" i="4"/>
  <c r="BS156" i="4"/>
  <c r="BR163" i="4"/>
  <c r="BM168" i="4"/>
  <c r="BM170" i="4" s="1"/>
  <c r="BD165" i="4"/>
  <c r="BD166" i="4"/>
  <c r="BE159" i="4"/>
  <c r="BC168" i="4"/>
  <c r="BC170" i="4" s="1"/>
  <c r="L56" i="10" l="1"/>
  <c r="BN168" i="4"/>
  <c r="BN170" i="4" s="1"/>
  <c r="CC157" i="4"/>
  <c r="BS164" i="4"/>
  <c r="BT157" i="4"/>
  <c r="BO165" i="4"/>
  <c r="CC156" i="4"/>
  <c r="BS163" i="4"/>
  <c r="BT156" i="4"/>
  <c r="BU155" i="4"/>
  <c r="BT162" i="4"/>
  <c r="CD155" i="4"/>
  <c r="CC162" i="4"/>
  <c r="BO166" i="4"/>
  <c r="BP159" i="4"/>
  <c r="BF159" i="4"/>
  <c r="BF166" i="4" s="1"/>
  <c r="BE166" i="4"/>
  <c r="BD168" i="4"/>
  <c r="BD170" i="4" s="1"/>
  <c r="BE165" i="4"/>
  <c r="BF165" i="4"/>
  <c r="L57" i="10" l="1"/>
  <c r="CE155" i="4"/>
  <c r="CD162" i="4"/>
  <c r="BP165" i="4"/>
  <c r="BQ159" i="4"/>
  <c r="BP166" i="4"/>
  <c r="CD156" i="4"/>
  <c r="CC163" i="4"/>
  <c r="BU157" i="4"/>
  <c r="BT164" i="4"/>
  <c r="BU162" i="4"/>
  <c r="BV155" i="4"/>
  <c r="BV162" i="4" s="1"/>
  <c r="BT163" i="4"/>
  <c r="BU156" i="4"/>
  <c r="CD157" i="4"/>
  <c r="CC164" i="4"/>
  <c r="BO168" i="4"/>
  <c r="BO170" i="4" s="1"/>
  <c r="BF168" i="4"/>
  <c r="BF170" i="4" s="1"/>
  <c r="BE168" i="4"/>
  <c r="BE170" i="4" s="1"/>
  <c r="L58" i="10" l="1"/>
  <c r="BP168" i="4"/>
  <c r="BP170" i="4" s="1"/>
  <c r="CE162" i="4"/>
  <c r="CF155" i="4"/>
  <c r="BU163" i="4"/>
  <c r="BV156" i="4"/>
  <c r="BV163" i="4" s="1"/>
  <c r="CE156" i="4"/>
  <c r="CD163" i="4"/>
  <c r="BR159" i="4"/>
  <c r="BQ166" i="4"/>
  <c r="BQ165" i="4"/>
  <c r="BU164" i="4"/>
  <c r="BV157" i="4"/>
  <c r="BV164" i="4" s="1"/>
  <c r="CD164" i="4"/>
  <c r="CE157" i="4"/>
  <c r="L59" i="10" l="1"/>
  <c r="BQ168" i="4"/>
  <c r="BQ170" i="4" s="1"/>
  <c r="BR165" i="4"/>
  <c r="CG155" i="4"/>
  <c r="CF162" i="4"/>
  <c r="BS159" i="4"/>
  <c r="BR166" i="4"/>
  <c r="CE163" i="4"/>
  <c r="CF156" i="4"/>
  <c r="CE164" i="4"/>
  <c r="CF157" i="4"/>
  <c r="L60" i="10" l="1"/>
  <c r="BR168" i="4"/>
  <c r="BR170" i="4" s="1"/>
  <c r="CC159" i="4"/>
  <c r="BT159" i="4"/>
  <c r="BS166" i="4"/>
  <c r="CQ155" i="4"/>
  <c r="CH155" i="4"/>
  <c r="CG162" i="4"/>
  <c r="CG157" i="4"/>
  <c r="CF164" i="4"/>
  <c r="BS165" i="4"/>
  <c r="BS168" i="4" s="1"/>
  <c r="BS170" i="4" s="1"/>
  <c r="CG156" i="4"/>
  <c r="CF163" i="4"/>
  <c r="L61" i="10" l="1"/>
  <c r="L62" i="10"/>
  <c r="CC165" i="4"/>
  <c r="CH162" i="4"/>
  <c r="CI155" i="4"/>
  <c r="CQ156" i="4"/>
  <c r="CG163" i="4"/>
  <c r="CH156" i="4"/>
  <c r="CR155" i="4"/>
  <c r="CQ162" i="4"/>
  <c r="BT165" i="4"/>
  <c r="BT166" i="4"/>
  <c r="BU159" i="4"/>
  <c r="CD159" i="4"/>
  <c r="CC166" i="4"/>
  <c r="CQ157" i="4"/>
  <c r="CH157" i="4"/>
  <c r="CG164" i="4"/>
  <c r="CC168" i="4" l="1"/>
  <c r="CC170" i="4" s="1"/>
  <c r="CD165" i="4"/>
  <c r="CD166" i="4"/>
  <c r="CE159" i="4"/>
  <c r="BU166" i="4"/>
  <c r="BV159" i="4"/>
  <c r="BV166" i="4" s="1"/>
  <c r="CQ163" i="4"/>
  <c r="CR156" i="4"/>
  <c r="CJ155" i="4"/>
  <c r="CI162" i="4"/>
  <c r="BV165" i="4"/>
  <c r="BU165" i="4"/>
  <c r="BT168" i="4"/>
  <c r="BT170" i="4" s="1"/>
  <c r="CI157" i="4"/>
  <c r="CH164" i="4"/>
  <c r="CR157" i="4"/>
  <c r="CQ164" i="4"/>
  <c r="CS155" i="4"/>
  <c r="CR162" i="4"/>
  <c r="CH163" i="4"/>
  <c r="CI156" i="4"/>
  <c r="L63" i="10" l="1"/>
  <c r="L75" i="10"/>
  <c r="BV168" i="4"/>
  <c r="BV170" i="4" s="1"/>
  <c r="CI163" i="4"/>
  <c r="CJ156" i="4"/>
  <c r="CE166" i="4"/>
  <c r="CF159" i="4"/>
  <c r="CK155" i="4"/>
  <c r="CJ162" i="4"/>
  <c r="BU168" i="4"/>
  <c r="BU170" i="4" s="1"/>
  <c r="CT155" i="4"/>
  <c r="CS162" i="4"/>
  <c r="CE165" i="4"/>
  <c r="CD168" i="4"/>
  <c r="CD170" i="4" s="1"/>
  <c r="CR164" i="4"/>
  <c r="CS157" i="4"/>
  <c r="CR163" i="4"/>
  <c r="CS156" i="4"/>
  <c r="CI164" i="4"/>
  <c r="CJ157" i="4"/>
  <c r="L76" i="10" l="1"/>
  <c r="L64" i="10"/>
  <c r="L65" i="10"/>
  <c r="CE168" i="4"/>
  <c r="CE170" i="4" s="1"/>
  <c r="CT156" i="4"/>
  <c r="CS163" i="4"/>
  <c r="CK162" i="4"/>
  <c r="CL155" i="4"/>
  <c r="CL162" i="4" s="1"/>
  <c r="CF165" i="4"/>
  <c r="CF166" i="4"/>
  <c r="CG159" i="4"/>
  <c r="CJ164" i="4"/>
  <c r="CK157" i="4"/>
  <c r="CJ163" i="4"/>
  <c r="CK156" i="4"/>
  <c r="DD155" i="4"/>
  <c r="CT162" i="4"/>
  <c r="CU155" i="4"/>
  <c r="CT157" i="4"/>
  <c r="CS164" i="4"/>
  <c r="L77" i="10" l="1"/>
  <c r="CF168" i="4"/>
  <c r="CF170" i="4" s="1"/>
  <c r="DE155" i="4"/>
  <c r="DD162" i="4"/>
  <c r="CG165" i="4"/>
  <c r="CL156" i="4"/>
  <c r="CL163" i="4" s="1"/>
  <c r="CK163" i="4"/>
  <c r="CL157" i="4"/>
  <c r="CL164" i="4" s="1"/>
  <c r="CK164" i="4"/>
  <c r="DD157" i="4"/>
  <c r="CT164" i="4"/>
  <c r="CU157" i="4"/>
  <c r="CU162" i="4"/>
  <c r="CV155" i="4"/>
  <c r="CQ159" i="4"/>
  <c r="CH159" i="4"/>
  <c r="CG166" i="4"/>
  <c r="DD156" i="4"/>
  <c r="CT163" i="4"/>
  <c r="CU156" i="4"/>
  <c r="L78" i="10" l="1"/>
  <c r="CG168" i="4"/>
  <c r="CG170" i="4" s="1"/>
  <c r="CV156" i="4"/>
  <c r="CU163" i="4"/>
  <c r="CH165" i="4"/>
  <c r="DD163" i="4"/>
  <c r="DE156" i="4"/>
  <c r="DE157" i="4"/>
  <c r="DD164" i="4"/>
  <c r="CQ165" i="4"/>
  <c r="CH166" i="4"/>
  <c r="CI159" i="4"/>
  <c r="DF155" i="4"/>
  <c r="DE162" i="4"/>
  <c r="CV162" i="4"/>
  <c r="CW155" i="4"/>
  <c r="CV157" i="4"/>
  <c r="CU164" i="4"/>
  <c r="CR159" i="4"/>
  <c r="CQ166" i="4"/>
  <c r="L79" i="10" l="1"/>
  <c r="CX155" i="4"/>
  <c r="CW162" i="4"/>
  <c r="CV163" i="4"/>
  <c r="CW156" i="4"/>
  <c r="DE163" i="4"/>
  <c r="DF156" i="4"/>
  <c r="DG155" i="4"/>
  <c r="DF162" i="4"/>
  <c r="CJ159" i="4"/>
  <c r="CI166" i="4"/>
  <c r="CI165" i="4"/>
  <c r="CS159" i="4"/>
  <c r="CR166" i="4"/>
  <c r="CH168" i="4"/>
  <c r="CH170" i="4" s="1"/>
  <c r="CQ168" i="4"/>
  <c r="CQ170" i="4" s="1"/>
  <c r="CW157" i="4"/>
  <c r="CV164" i="4"/>
  <c r="CR165" i="4"/>
  <c r="DE164" i="4"/>
  <c r="DF157" i="4"/>
  <c r="L80" i="10" l="1"/>
  <c r="L94" i="10"/>
  <c r="CI168" i="4"/>
  <c r="CI170" i="4" s="1"/>
  <c r="DF164" i="4"/>
  <c r="DG157" i="4"/>
  <c r="DF163" i="4"/>
  <c r="DG156" i="4"/>
  <c r="CX156" i="4"/>
  <c r="CW163" i="4"/>
  <c r="DQ155" i="4"/>
  <c r="DH155" i="4"/>
  <c r="DG162" i="4"/>
  <c r="CR168" i="4"/>
  <c r="CR170" i="4" s="1"/>
  <c r="CJ165" i="4"/>
  <c r="CS165" i="4"/>
  <c r="CX157" i="4"/>
  <c r="CW164" i="4"/>
  <c r="CK159" i="4"/>
  <c r="CJ166" i="4"/>
  <c r="CX162" i="4"/>
  <c r="CY155" i="4"/>
  <c r="CT159" i="4"/>
  <c r="CS166" i="4"/>
  <c r="L81" i="10" l="1"/>
  <c r="L95" i="10"/>
  <c r="CS168" i="4"/>
  <c r="CS170" i="4" s="1"/>
  <c r="DR155" i="4"/>
  <c r="DQ162" i="4"/>
  <c r="DD159" i="4"/>
  <c r="CT166" i="4"/>
  <c r="CU159" i="4"/>
  <c r="CY157" i="4"/>
  <c r="CX164" i="4"/>
  <c r="CT165" i="4"/>
  <c r="CZ155" i="4"/>
  <c r="CZ162" i="4" s="1"/>
  <c r="CY162" i="4"/>
  <c r="DQ156" i="4"/>
  <c r="DH156" i="4"/>
  <c r="DG163" i="4"/>
  <c r="CJ168" i="4"/>
  <c r="CJ170" i="4" s="1"/>
  <c r="DQ157" i="4"/>
  <c r="DH157" i="4"/>
  <c r="DG164" i="4"/>
  <c r="CK166" i="4"/>
  <c r="CL159" i="4"/>
  <c r="CL166" i="4" s="1"/>
  <c r="CX163" i="4"/>
  <c r="CY156" i="4"/>
  <c r="CL165" i="4"/>
  <c r="CK165" i="4"/>
  <c r="DI155" i="4"/>
  <c r="DH162" i="4"/>
  <c r="L96" i="10" l="1"/>
  <c r="L82" i="10"/>
  <c r="CY164" i="4"/>
  <c r="CZ157" i="4"/>
  <c r="CZ164" i="4" s="1"/>
  <c r="CU166" i="4"/>
  <c r="CV159" i="4"/>
  <c r="DR156" i="4"/>
  <c r="DQ163" i="4"/>
  <c r="DI156" i="4"/>
  <c r="DH163" i="4"/>
  <c r="DI162" i="4"/>
  <c r="DJ155" i="4"/>
  <c r="DI157" i="4"/>
  <c r="DH164" i="4"/>
  <c r="DR157" i="4"/>
  <c r="DQ164" i="4"/>
  <c r="DE159" i="4"/>
  <c r="DD166" i="4"/>
  <c r="CK168" i="4"/>
  <c r="CK170" i="4" s="1"/>
  <c r="CU165" i="4"/>
  <c r="CL168" i="4"/>
  <c r="CL170" i="4" s="1"/>
  <c r="CT168" i="4"/>
  <c r="CT170" i="4" s="1"/>
  <c r="DS155" i="4"/>
  <c r="DR162" i="4"/>
  <c r="CY163" i="4"/>
  <c r="CZ156" i="4"/>
  <c r="CZ163" i="4" s="1"/>
  <c r="DD165" i="4"/>
  <c r="L84" i="10" l="1"/>
  <c r="L83" i="10"/>
  <c r="L97" i="10"/>
  <c r="CU168" i="4"/>
  <c r="CU170" i="4" s="1"/>
  <c r="DE165" i="4"/>
  <c r="DS156" i="4"/>
  <c r="DR163" i="4"/>
  <c r="DJ162" i="4"/>
  <c r="DK155" i="4"/>
  <c r="DR164" i="4"/>
  <c r="DS157" i="4"/>
  <c r="CW159" i="4"/>
  <c r="CV166" i="4"/>
  <c r="DI163" i="4"/>
  <c r="DJ156" i="4"/>
  <c r="DF159" i="4"/>
  <c r="DE166" i="4"/>
  <c r="DT155" i="4"/>
  <c r="DS162" i="4"/>
  <c r="DD168" i="4"/>
  <c r="DD170" i="4" s="1"/>
  <c r="CV165" i="4"/>
  <c r="DI164" i="4"/>
  <c r="DJ157" i="4"/>
  <c r="L113" i="10" l="1"/>
  <c r="L98" i="10"/>
  <c r="CV168" i="4"/>
  <c r="CV170" i="4" s="1"/>
  <c r="DE168" i="4"/>
  <c r="DE170" i="4" s="1"/>
  <c r="DK162" i="4"/>
  <c r="DL155" i="4"/>
  <c r="CW165" i="4"/>
  <c r="DJ164" i="4"/>
  <c r="DK157" i="4"/>
  <c r="DK156" i="4"/>
  <c r="DJ163" i="4"/>
  <c r="DS163" i="4"/>
  <c r="DT156" i="4"/>
  <c r="DF165" i="4"/>
  <c r="CX159" i="4"/>
  <c r="CW166" i="4"/>
  <c r="DT157" i="4"/>
  <c r="DS164" i="4"/>
  <c r="DG159" i="4"/>
  <c r="DF166" i="4"/>
  <c r="DT162" i="4"/>
  <c r="DU155" i="4"/>
  <c r="L99" i="10" l="1"/>
  <c r="L114" i="10"/>
  <c r="DF168" i="4"/>
  <c r="DF170" i="4" s="1"/>
  <c r="DV155" i="4"/>
  <c r="DU162" i="4"/>
  <c r="DK163" i="4"/>
  <c r="DL156" i="4"/>
  <c r="CX166" i="4"/>
  <c r="CY159" i="4"/>
  <c r="DK164" i="4"/>
  <c r="DL157" i="4"/>
  <c r="CX165" i="4"/>
  <c r="DG165" i="4"/>
  <c r="CW168" i="4"/>
  <c r="CW170" i="4" s="1"/>
  <c r="DQ159" i="4"/>
  <c r="DG166" i="4"/>
  <c r="DH159" i="4"/>
  <c r="DU156" i="4"/>
  <c r="DT163" i="4"/>
  <c r="DM155" i="4"/>
  <c r="DM162" i="4" s="1"/>
  <c r="DL162" i="4"/>
  <c r="DT164" i="4"/>
  <c r="DU157" i="4"/>
  <c r="L100" i="10" l="1"/>
  <c r="L115" i="10"/>
  <c r="DG168" i="4"/>
  <c r="DG170" i="4" s="1"/>
  <c r="DH165" i="4"/>
  <c r="DM157" i="4"/>
  <c r="DM164" i="4" s="1"/>
  <c r="DL164" i="4"/>
  <c r="DM156" i="4"/>
  <c r="DM163" i="4" s="1"/>
  <c r="DL163" i="4"/>
  <c r="DI159" i="4"/>
  <c r="DH166" i="4"/>
  <c r="CZ159" i="4"/>
  <c r="CZ166" i="4" s="1"/>
  <c r="CY166" i="4"/>
  <c r="DQ165" i="4"/>
  <c r="DU163" i="4"/>
  <c r="DV156" i="4"/>
  <c r="CY165" i="4"/>
  <c r="CZ165" i="4"/>
  <c r="CX168" i="4"/>
  <c r="CX170" i="4" s="1"/>
  <c r="DV157" i="4"/>
  <c r="DU164" i="4"/>
  <c r="DR159" i="4"/>
  <c r="DQ166" i="4"/>
  <c r="DV162" i="4"/>
  <c r="DW155" i="4"/>
  <c r="L116" i="10" l="1"/>
  <c r="L101" i="10"/>
  <c r="DH168" i="4"/>
  <c r="DH170" i="4" s="1"/>
  <c r="DV163" i="4"/>
  <c r="DW156" i="4"/>
  <c r="DQ168" i="4"/>
  <c r="DQ170" i="4" s="1"/>
  <c r="DS159" i="4"/>
  <c r="DR166" i="4"/>
  <c r="DR165" i="4"/>
  <c r="DI165" i="4"/>
  <c r="DV164" i="4"/>
  <c r="DW157" i="4"/>
  <c r="CZ168" i="4"/>
  <c r="CZ170" i="4" s="1"/>
  <c r="DW162" i="4"/>
  <c r="DX155" i="4"/>
  <c r="CY168" i="4"/>
  <c r="CY170" i="4" s="1"/>
  <c r="DI166" i="4"/>
  <c r="DJ159" i="4"/>
  <c r="L103" i="10" l="1"/>
  <c r="L132" i="10"/>
  <c r="L117" i="10"/>
  <c r="L102" i="10"/>
  <c r="DI168" i="4"/>
  <c r="DI170" i="4" s="1"/>
  <c r="DS165" i="4"/>
  <c r="DJ166" i="4"/>
  <c r="DK159" i="4"/>
  <c r="DT159" i="4"/>
  <c r="DS166" i="4"/>
  <c r="DJ165" i="4"/>
  <c r="DX156" i="4"/>
  <c r="DW163" i="4"/>
  <c r="DX162" i="4"/>
  <c r="DY155" i="4"/>
  <c r="DX157" i="4"/>
  <c r="DW164" i="4"/>
  <c r="DR168" i="4"/>
  <c r="DR170" i="4" s="1"/>
  <c r="L118" i="10" l="1"/>
  <c r="L133" i="10"/>
  <c r="DJ168" i="4"/>
  <c r="DJ170" i="4" s="1"/>
  <c r="DX164" i="4"/>
  <c r="DY157" i="4"/>
  <c r="DT166" i="4"/>
  <c r="DU159" i="4"/>
  <c r="DZ155" i="4"/>
  <c r="DZ162" i="4" s="1"/>
  <c r="DY162" i="4"/>
  <c r="DK165" i="4"/>
  <c r="DK166" i="4"/>
  <c r="DL159" i="4"/>
  <c r="DS168" i="4"/>
  <c r="DS170" i="4" s="1"/>
  <c r="DX163" i="4"/>
  <c r="DY156" i="4"/>
  <c r="DT165" i="4"/>
  <c r="L119" i="10" l="1"/>
  <c r="L134" i="10"/>
  <c r="DT168" i="4"/>
  <c r="DT170" i="4" s="1"/>
  <c r="DK168" i="4"/>
  <c r="DK170" i="4" s="1"/>
  <c r="DL165" i="4"/>
  <c r="DM165" i="4"/>
  <c r="DU165" i="4"/>
  <c r="DZ156" i="4"/>
  <c r="DZ163" i="4" s="1"/>
  <c r="DY163" i="4"/>
  <c r="DV159" i="4"/>
  <c r="DU166" i="4"/>
  <c r="DZ157" i="4"/>
  <c r="DZ164" i="4" s="1"/>
  <c r="DY164" i="4"/>
  <c r="DM159" i="4"/>
  <c r="DM166" i="4" s="1"/>
  <c r="DL166" i="4"/>
  <c r="L120" i="10" l="1"/>
  <c r="L135" i="10"/>
  <c r="DV166" i="4"/>
  <c r="DW159" i="4"/>
  <c r="DU168" i="4"/>
  <c r="DV165" i="4"/>
  <c r="DM168" i="4"/>
  <c r="DM170" i="4" s="1"/>
  <c r="DL168" i="4"/>
  <c r="DL170" i="4" s="1"/>
  <c r="L121" i="10" l="1"/>
  <c r="L122" i="10"/>
  <c r="L136" i="10"/>
  <c r="DV168" i="4"/>
  <c r="DV170" i="4" s="1"/>
  <c r="DW165" i="4"/>
  <c r="DW166" i="4"/>
  <c r="DX159" i="4"/>
  <c r="L137" i="10" l="1"/>
  <c r="DX166" i="4"/>
  <c r="DY159" i="4"/>
  <c r="DW168" i="4"/>
  <c r="DW170" i="4" s="1"/>
  <c r="DX165" i="4"/>
  <c r="L138" i="10" l="1"/>
  <c r="DX168" i="4"/>
  <c r="DX170" i="4" s="1"/>
  <c r="DY165" i="4"/>
  <c r="DZ165" i="4"/>
  <c r="DZ159" i="4"/>
  <c r="DZ166" i="4" s="1"/>
  <c r="DY166" i="4"/>
  <c r="L139" i="10" l="1"/>
  <c r="DZ168" i="4"/>
  <c r="DZ170" i="4" s="1"/>
  <c r="DY168" i="4"/>
  <c r="DY170" i="4" s="1"/>
  <c r="X14" i="3"/>
  <c r="S14" i="3" s="1"/>
  <c r="L140" i="10" l="1"/>
  <c r="L141" i="10"/>
  <c r="AM23" i="21" l="1"/>
  <c r="F12" i="20" s="1"/>
  <c r="O14" i="20" s="1"/>
  <c r="O23" i="21"/>
  <c r="N23" i="21"/>
  <c r="W23" i="21" s="1"/>
  <c r="BE23" i="21"/>
  <c r="AE23" i="21"/>
  <c r="BB23" i="21" l="1"/>
  <c r="AK75" i="21" s="1"/>
  <c r="K12" i="20" s="1"/>
  <c r="O23" i="20" s="1"/>
  <c r="R23" i="20" s="1"/>
  <c r="R27" i="20" s="1"/>
  <c r="L23" i="21"/>
  <c r="O17" i="20"/>
  <c r="R14" i="20"/>
  <c r="X23" i="21"/>
  <c r="Y23" i="21" s="1"/>
  <c r="AH23" i="21"/>
  <c r="AI23" i="21" s="1"/>
  <c r="T23" i="21"/>
  <c r="AD23" i="21"/>
  <c r="AO23" i="21"/>
  <c r="R23" i="21"/>
  <c r="R17" i="20" l="1"/>
  <c r="O18" i="20"/>
  <c r="R18" i="20" s="1"/>
  <c r="AF23" i="21"/>
  <c r="AB75" i="21" s="1"/>
  <c r="B12" i="20" s="1"/>
  <c r="O6" i="20" s="1"/>
  <c r="R6" i="20" s="1"/>
  <c r="AI75" i="21"/>
  <c r="AJ23" i="21"/>
  <c r="Z23" i="21"/>
  <c r="AK23" i="21" s="1"/>
  <c r="R19" i="20" l="1"/>
  <c r="I12" i="20"/>
  <c r="O7" i="20" s="1"/>
  <c r="R7" i="20" s="1"/>
  <c r="AJ75" i="21"/>
  <c r="J12" i="20" s="1"/>
  <c r="O8" i="20" s="1"/>
  <c r="R8" i="20" s="1"/>
  <c r="R9" i="20" l="1"/>
  <c r="R29" i="20" s="1"/>
  <c r="E32" i="20" s="1"/>
  <c r="D3" i="27" l="1"/>
  <c r="Q4" i="28"/>
  <c r="BG32" i="18"/>
  <c r="BG35" i="18" s="1"/>
  <c r="AA4" i="28" l="1"/>
  <c r="Z4" i="28"/>
  <c r="M5" i="29" l="1"/>
  <c r="AF4" i="28"/>
  <c r="K5" i="29"/>
  <c r="AE4" i="28"/>
  <c r="AR26" i="29" l="1"/>
  <c r="BF26" i="29" s="1"/>
  <c r="BP26" i="29" s="1"/>
  <c r="BT26" i="29" s="1"/>
  <c r="AR5" i="29"/>
  <c r="BF5" i="29" s="1"/>
  <c r="BP5" i="29" s="1"/>
  <c r="BV5" i="29" s="1"/>
  <c r="AT5" i="29"/>
  <c r="BH5" i="29" s="1"/>
  <c r="BQ5" i="29" s="1"/>
  <c r="BW5" i="29" s="1"/>
  <c r="AT26" i="29"/>
  <c r="BH26" i="29" s="1"/>
  <c r="BQ26" i="29" s="1"/>
  <c r="BU26" i="29" s="1"/>
  <c r="AG141" i="12"/>
  <c r="AG142" i="12" s="1"/>
  <c r="AH141" i="12"/>
  <c r="Y154" i="12"/>
  <c r="W188" i="12" s="1"/>
  <c r="AD149" i="12"/>
  <c r="AD145" i="12"/>
  <c r="AD143" i="12"/>
  <c r="AD151" i="12"/>
  <c r="AD141" i="12"/>
  <c r="AD154" i="12" s="1"/>
  <c r="AD147" i="12"/>
  <c r="AD142" i="12"/>
  <c r="AD144" i="12"/>
  <c r="AD146" i="12"/>
  <c r="AD148" i="12"/>
  <c r="AD150" i="12"/>
  <c r="AD152" i="12"/>
  <c r="U151" i="12"/>
  <c r="U143" i="12"/>
  <c r="U149" i="12"/>
  <c r="U141" i="12"/>
  <c r="U154" i="12" s="1"/>
  <c r="U147" i="12"/>
  <c r="U145" i="12"/>
  <c r="U150" i="12"/>
  <c r="U146" i="12"/>
  <c r="U144" i="12"/>
  <c r="U152" i="12"/>
  <c r="U148" i="12"/>
  <c r="U142" i="12"/>
  <c r="AH142" i="12" l="1"/>
  <c r="AG143" i="12"/>
  <c r="AG144" i="12" l="1"/>
  <c r="AH143" i="12"/>
  <c r="AH144" i="12" l="1"/>
  <c r="AG145" i="12"/>
  <c r="AG146" i="12" l="1"/>
  <c r="AH145" i="12"/>
  <c r="AH146" i="12" l="1"/>
  <c r="AG147" i="12"/>
  <c r="AG148" i="12" l="1"/>
  <c r="AH147" i="12"/>
  <c r="AH148" i="12" l="1"/>
  <c r="AG149" i="12"/>
  <c r="AG150" i="12" l="1"/>
  <c r="AH149" i="12"/>
  <c r="AH150" i="12" l="1"/>
  <c r="AG151" i="12"/>
  <c r="AG152" i="12" l="1"/>
  <c r="AH151" i="12"/>
  <c r="AH152" i="12" l="1"/>
  <c r="AH154" i="12" s="1"/>
  <c r="AG154" i="12"/>
  <c r="EU154" i="12"/>
  <c r="HV108" i="4"/>
  <c r="HV108" i="4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<sst xmlns="http://schemas.openxmlformats.org/spreadsheetml/2006/main" count="13483" uniqueCount="1630">
  <si>
    <t>Name</t>
  </si>
  <si>
    <t>Value</t>
  </si>
  <si>
    <t>Unit</t>
  </si>
  <si>
    <t>Source</t>
  </si>
  <si>
    <t>Year</t>
  </si>
  <si>
    <t>Material</t>
  </si>
  <si>
    <t>Service</t>
  </si>
  <si>
    <t>Tankering (up to 9m3)</t>
  </si>
  <si>
    <t>Tankering (up to 5 houses)</t>
  </si>
  <si>
    <t>Tankering (additionalcharge over 9m3)</t>
  </si>
  <si>
    <t>https://www.scottishwater.co.uk/help-and-resources/document-hub/your-home/charges</t>
  </si>
  <si>
    <t>Per trip</t>
  </si>
  <si>
    <t>per m3</t>
  </si>
  <si>
    <t>Value (£)</t>
  </si>
  <si>
    <t>Excavation</t>
  </si>
  <si>
    <t>Construction</t>
  </si>
  <si>
    <t>Plant Cut back</t>
  </si>
  <si>
    <t>Grid Electricity (average 1/9/19 - 1/9/20)</t>
  </si>
  <si>
    <t>https://www.ofgem.gov.uk/data-portal/all-charts/policy-area/electricity-wholesale-markets</t>
  </si>
  <si>
    <t>Ofgem</t>
  </si>
  <si>
    <t>Scottish Water</t>
  </si>
  <si>
    <t>per MWh</t>
  </si>
  <si>
    <t>Construction Costs</t>
  </si>
  <si>
    <t>Scenario</t>
  </si>
  <si>
    <t>Septic Tank</t>
  </si>
  <si>
    <t>Septic Tank Sizing</t>
  </si>
  <si>
    <t>=PEx180+2000</t>
  </si>
  <si>
    <t>Septic Tank (Onion, 2800L)</t>
  </si>
  <si>
    <t>https://www.tanks-direct.co.uk/clearwater-alpha-2800-litre-septic-tank/p5903?gclid=Cj0KCQiA1KiBBhCcARIsAPWqoSqes-jY5bGN199PoX-6oGIxI4VFfODGtrH2BOmhNh7BrH1_f0qJKoUaAjWgEALw_wcB</t>
  </si>
  <si>
    <t>Tanks Direct</t>
  </si>
  <si>
    <t xml:space="preserve">Detailed </t>
  </si>
  <si>
    <t>Septic Tank 'Quoting'</t>
  </si>
  <si>
    <t>Type</t>
  </si>
  <si>
    <t>Onion</t>
  </si>
  <si>
    <t>£ (ex VAT)</t>
  </si>
  <si>
    <t>Link</t>
  </si>
  <si>
    <t>https://www.tanks-direct.co.uk/klargester-alpha-2800-litre-septic-tank/p5902</t>
  </si>
  <si>
    <t>Shallow Dig</t>
  </si>
  <si>
    <t>https://www.tanks-direct.co.uk/clearwater-2800-litre-shallow-dig-septic-tank/p5890?gclid=Cj0KCQiA1KiBBhCcARIsAPWqoSpBJqg2b6A4Fshqu4_qOWa8iXrdyIhzjWaC0mc8yzZG16GpxLjj6MYaAsdEEALw_wcB</t>
  </si>
  <si>
    <t>https://www.tanks-direct.co.uk/klargester-gamma-2800-litre-septic-tank-single-stage/p2997</t>
  </si>
  <si>
    <t>https://www.tanks-direct.co.uk/klargester-sigma-2800-litre-shallow-dig-septic-tank/p5889</t>
  </si>
  <si>
    <t>Tanks for everything</t>
  </si>
  <si>
    <t>https://www.tanksforeverything.co.uk/clearwater-2800-litre-septic-tank-free-lid--frame-409-p</t>
  </si>
  <si>
    <t>https://www.tanksforeverything.co.uk/2800-litre-shallow-dig-septic-tank-1083-p</t>
  </si>
  <si>
    <t>https://www.tanksforeverything.co.uk/tricel-vento-6-shallow-dig-septic-tank-3000-litres-p</t>
  </si>
  <si>
    <t>https://www.tanksforeverything.co.uk/waste-water/septic-tanks/klargester-gamma-septic-tank-2800-litres-gst028</t>
  </si>
  <si>
    <t>2800-3000L</t>
  </si>
  <si>
    <t>https://www.tanksforeverything.co.uk/waste-water/septic-tanks/conder-millennium-3000-litre-shallow-dig-septic-tank-mill3r-6-person</t>
  </si>
  <si>
    <t>Wastewater Supplies</t>
  </si>
  <si>
    <t>https://www.wastewater-supplies.com/collections/septic-tanks/products/clearwater-septic-tank-2-800-litre</t>
  </si>
  <si>
    <t>UK septic tanks</t>
  </si>
  <si>
    <t>https://www.ukseptictanks.co.uk/septic-tank/onion-shape/septic-tank-2800-4-6-population</t>
  </si>
  <si>
    <t>https://www.ukseptictanks.co.uk/septic-tank/onion-shape/Septic-tank-2800</t>
  </si>
  <si>
    <t>Operation</t>
  </si>
  <si>
    <t>Year 1</t>
  </si>
  <si>
    <t>5 PE</t>
  </si>
  <si>
    <t>Desludging every 6 months</t>
  </si>
  <si>
    <t>2800 L Septic Tank (Onion)</t>
  </si>
  <si>
    <t>Sub Total</t>
  </si>
  <si>
    <t>Cost (£)</t>
  </si>
  <si>
    <t>Dry Conditions</t>
  </si>
  <si>
    <t>Sizing</t>
  </si>
  <si>
    <t>Excavation Requirements</t>
  </si>
  <si>
    <t>Depth</t>
  </si>
  <si>
    <t>mm</t>
  </si>
  <si>
    <t>+Concrete Bed</t>
  </si>
  <si>
    <t>Tank Width (Radius)</t>
  </si>
  <si>
    <t>Excess</t>
  </si>
  <si>
    <t>If Dry Conditions</t>
  </si>
  <si>
    <t>Information from Clearwater data attachment</t>
  </si>
  <si>
    <t>Fill gap from 2000mm-2500 upto 1550mm height</t>
  </si>
  <si>
    <t>m3</t>
  </si>
  <si>
    <t>Final height refilled with soil</t>
  </si>
  <si>
    <t>Backfill with pea shingle</t>
  </si>
  <si>
    <t>Backfill volume</t>
  </si>
  <si>
    <t xml:space="preserve">If wet conditions </t>
  </si>
  <si>
    <t>Backfill with concrete</t>
  </si>
  <si>
    <t>Bed Depth</t>
  </si>
  <si>
    <t>Gaby's Spreadsheet</t>
  </si>
  <si>
    <t>Gravel (20mm)</t>
  </si>
  <si>
    <t>Item</t>
  </si>
  <si>
    <t>Ref</t>
  </si>
  <si>
    <t>Ref (2021)</t>
  </si>
  <si>
    <t>Inflation</t>
  </si>
  <si>
    <t>Ballast</t>
  </si>
  <si>
    <t>Concrete (M15) (1:2:4)</t>
  </si>
  <si>
    <t>Water</t>
  </si>
  <si>
    <t>BandQ</t>
  </si>
  <si>
    <t>https://www.diy.com/departments/all-in-ballast-bulk-bag/35692_BQ.prd?ds_rl=1272379&amp;ds_rl=1272409&amp;ds_rl=1272379&amp;gclid=CjwKCAiAyc2BBhAaEiwA44-wW_IYt6TJA-BL3kGSqmv37H-6N1clareHZk-hxVyDO2iOJ1LkjyWnFxoCk2MQAvD_BwE&amp;gclsrc=aw.ds</t>
  </si>
  <si>
    <t>Sharp Sand</t>
  </si>
  <si>
    <t>Cement</t>
  </si>
  <si>
    <t>per 25 kg</t>
  </si>
  <si>
    <t>https://www.diy.com/departments/blue-circle-multipurpose-cement-25kg-bag/35715_BQ.prd?storeId=1322&amp;ds_rl=1272379&amp;ds_rl=1272409&amp;ds_rl=1272379&amp;gclid=CjwKCAiAyc2BBhAaEiwA44-wW065hYNIkBkXF7VPBK7iQgfQ3B_0F1O8BsNzwXVFkA5azo5jBopqqRoCShoQAvD_BwE&amp;gclsrc=aw.ds</t>
  </si>
  <si>
    <t>Excation (17.2 m3)</t>
  </si>
  <si>
    <t>Concrete (1m3)</t>
  </si>
  <si>
    <t>per tonne</t>
  </si>
  <si>
    <t>per 800kg</t>
  </si>
  <si>
    <t>600 kg per ton</t>
  </si>
  <si>
    <t>per ton</t>
  </si>
  <si>
    <t>per 1120 kg</t>
  </si>
  <si>
    <t>Concrete</t>
  </si>
  <si>
    <t>Backfill (pea shingle)</t>
  </si>
  <si>
    <t xml:space="preserve"> 4_10MM AGGREGATE WASHED GRAVEL</t>
  </si>
  <si>
    <t>Desludging</t>
  </si>
  <si>
    <t>Leachfield Area</t>
  </si>
  <si>
    <t>Vp</t>
  </si>
  <si>
    <t>P</t>
  </si>
  <si>
    <t>A</t>
  </si>
  <si>
    <t>Three pronged field</t>
  </si>
  <si>
    <t xml:space="preserve">Piping </t>
  </si>
  <si>
    <t>Piping</t>
  </si>
  <si>
    <t>Aggregate</t>
  </si>
  <si>
    <t>Geotextile</t>
  </si>
  <si>
    <t>Gravel Requirements</t>
  </si>
  <si>
    <t>Pipes laid on</t>
  </si>
  <si>
    <t>Above pipe</t>
  </si>
  <si>
    <t>Width</t>
  </si>
  <si>
    <t>Total Trench Depth</t>
  </si>
  <si>
    <t>160mm Perforated Land Drain</t>
  </si>
  <si>
    <t>per 50m</t>
  </si>
  <si>
    <t>https://www.drainageshop.co.uk/landrainage.html?kw=%2Bperforated%20%2Bpvc%20%2Bpipe&amp;ci=289641794806&amp;network=g&amp;pm=&amp;cid=331631403&amp;aid=19830406443&amp;tid=kwd-20739667723&amp;dev=c&amp;mt=b&amp;lim=&amp;lpm=1006870&amp;pos=&amp;dm=&amp;fid=&amp;mid=&amp;pid=&amp;country=&amp;source=google&amp;gclid=CjwKCAiAyc2BBhAaEiwA44-wW2qEmmhgdm0AxZyGHtRYs0niBaHVgadmJqJNBCNGIrxJMPmWZovRBRoCa_EQAvD_BwE</t>
  </si>
  <si>
    <t>Drainage Shop</t>
  </si>
  <si>
    <t>Total Excavation</t>
  </si>
  <si>
    <t>Sub total</t>
  </si>
  <si>
    <t>per m2</t>
  </si>
  <si>
    <t>Total</t>
  </si>
  <si>
    <t>Wet Conditions</t>
  </si>
  <si>
    <t>Costing</t>
  </si>
  <si>
    <t>Dry</t>
  </si>
  <si>
    <t>Wet</t>
  </si>
  <si>
    <t>Dry, 6mo</t>
  </si>
  <si>
    <t>Dry, 12mo</t>
  </si>
  <si>
    <t>Wet, 6mo</t>
  </si>
  <si>
    <t>Wet, 12mo</t>
  </si>
  <si>
    <t>£</t>
  </si>
  <si>
    <t>10 PE</t>
  </si>
  <si>
    <t>Ground Conditions</t>
  </si>
  <si>
    <t>Size (PE)</t>
  </si>
  <si>
    <t>Design</t>
  </si>
  <si>
    <t>Operational (25 years) (£)</t>
  </si>
  <si>
    <t>Total Costs (£)</t>
  </si>
  <si>
    <t>Desludge Interval (months)</t>
  </si>
  <si>
    <t>Excavation Requiremnets</t>
  </si>
  <si>
    <t>No Slab needed for Dry Conidtions just gravel backfill</t>
  </si>
  <si>
    <t>Tank Size</t>
  </si>
  <si>
    <t>Height</t>
  </si>
  <si>
    <t>Excesses</t>
  </si>
  <si>
    <t>Wet conditions fill with concrete</t>
  </si>
  <si>
    <t>Area</t>
  </si>
  <si>
    <t>Volume</t>
  </si>
  <si>
    <t>Length</t>
  </si>
  <si>
    <t xml:space="preserve">Concrete </t>
  </si>
  <si>
    <t>Excation</t>
  </si>
  <si>
    <t>Back fill</t>
  </si>
  <si>
    <t>Septic tank (SD)</t>
  </si>
  <si>
    <t>Septic Tank (Shallow Dig, 3000L)</t>
  </si>
  <si>
    <t>PE</t>
  </si>
  <si>
    <t>3700-3900L</t>
  </si>
  <si>
    <t>10 pe</t>
  </si>
  <si>
    <t>https://www.tanks-direct.co.uk/klargester-alpha-3800-litre-septic-tank/p5904</t>
  </si>
  <si>
    <t>https://www.tanks-direct.co.uk/clearwater-alpha-3800-litre-septic-tank/p5905</t>
  </si>
  <si>
    <t>https://www.tanks-direct.co.uk/harlequin-3800-litre-septic-tank/p5863</t>
  </si>
  <si>
    <t>https://www.tanks-direct.co.uk/klargester-sigma-3800-litre-shallow-dig-septic-tank/p5891</t>
  </si>
  <si>
    <t>https://www.tanks-direct.co.uk/clearwater-3800-litre-shallow-dig-septic-tank/p5892</t>
  </si>
  <si>
    <t>5500 - 5700</t>
  </si>
  <si>
    <t>20 PE</t>
  </si>
  <si>
    <t>https://www.tanks-direct.co.uk/clearwater-5700-litre-shallow-dig-septic-tank/p5896</t>
  </si>
  <si>
    <t>https://www.ukseptictanks.co.uk/septic-tank/onion-shape/septic-tank-3800-10-population</t>
  </si>
  <si>
    <t>https://www.ukseptictanks.co.uk/septic-tank/onion-shape/septic-tank-3800</t>
  </si>
  <si>
    <t>https://www.ukseptictanks.co.uk/septic-tank/Clearwatershalow3800</t>
  </si>
  <si>
    <t>https://www.ukseptictanks.co.uk/septic-tank/Conder-Millennium-Septic-Tank-4000</t>
  </si>
  <si>
    <t>https://www.ukseptictanks.co.uk/septic-tank/graf-carat-3750</t>
  </si>
  <si>
    <t>https://www.ukseptictanks.co.uk/septic-tank/klargester-low-profile-septic-tank-3800</t>
  </si>
  <si>
    <t>https://www.wastewater-supplies.com/collections/septic-tanks/products/clearwater-septic-tank-3-800-litre</t>
  </si>
  <si>
    <t>https://www.wastewater-supplies.com/collections/septic-tanks/products/marsh-euro-septic-spherical-septic-tank-3-800l</t>
  </si>
  <si>
    <t>https://www.wastewater-supplies.com/collections/septic-tanks/products/clearwater-shallow-septic-tank-3-800-litre</t>
  </si>
  <si>
    <t>Septic Tank (Shallow Dig, 3800L)</t>
  </si>
  <si>
    <t>Septic Tank (Onion, 3800 L)</t>
  </si>
  <si>
    <t>All Conditions</t>
  </si>
  <si>
    <t>Backfill</t>
  </si>
  <si>
    <t>Up to invert</t>
  </si>
  <si>
    <t>Tank</t>
  </si>
  <si>
    <t>Slab</t>
  </si>
  <si>
    <t>Total Concrete Requirement</t>
  </si>
  <si>
    <t>Shingle Requirement</t>
  </si>
  <si>
    <t>Total Height</t>
  </si>
  <si>
    <t>Concrete Height</t>
  </si>
  <si>
    <t>Total Width</t>
  </si>
  <si>
    <t>Tank Width</t>
  </si>
  <si>
    <t>3800 L Septic Tank (Onion)</t>
  </si>
  <si>
    <t>Man Hours</t>
  </si>
  <si>
    <t>m</t>
  </si>
  <si>
    <t>Half back fill is with soil for this tank</t>
  </si>
  <si>
    <t>https://www.wastewater-supplies.com/collections/septic-tanks/products/clearwater-shallow-septic-tank-5-700-litre</t>
  </si>
  <si>
    <t>https://www.tanks-direct.co.uk/klargester-sigma-5700-litre-shallow-dig-septic-tank/p5895</t>
  </si>
  <si>
    <t>UK Septic Tanks</t>
  </si>
  <si>
    <t>https://www.ukseptictanks.co.uk/septic-tank/clearwatershalow5700</t>
  </si>
  <si>
    <t>https://www.ukseptictanks.co.uk/septic-tank/Klargester-low-profile-septic-tank-5700</t>
  </si>
  <si>
    <t>Septic Tank (Shallow Dig, 5700)</t>
  </si>
  <si>
    <t>https://www.tanks-direct.co.uk/clearwater-7150-litre-shallow-dig-septic-tank/p5898</t>
  </si>
  <si>
    <t>https://www.tanks-direct.co.uk/klargester-sigma-7150-litre-shallow-dig-septic-tank/p5897</t>
  </si>
  <si>
    <t>https://www.tanks-direct.co.uk/klargester-sigma-9150-litre-shallow-dig-septic-tank/p5899</t>
  </si>
  <si>
    <t>https://www.tanks-direct.co.uk/clearwater-9150-litre-shallow-dig-septic-tank/p5900</t>
  </si>
  <si>
    <t>Leachfield</t>
  </si>
  <si>
    <t>Tank Cost (£)</t>
  </si>
  <si>
    <t>Unit Cost</t>
  </si>
  <si>
    <t>Unit Price</t>
  </si>
  <si>
    <t>Fence Height</t>
  </si>
  <si>
    <t>Min.</t>
  </si>
  <si>
    <t>https://www.water.org.uk/wp-content/uploads/2020/03/SSG-App-C-Des-Con-Guide-v-2-100320-C.pdf</t>
  </si>
  <si>
    <t>Fence Type</t>
  </si>
  <si>
    <t>Steel Palasade</t>
  </si>
  <si>
    <t>Fence Post Length</t>
  </si>
  <si>
    <t>Fence Post Dig in</t>
  </si>
  <si>
    <t>Excavation per post</t>
  </si>
  <si>
    <t>Concrete Requirements</t>
  </si>
  <si>
    <t>Quotes</t>
  </si>
  <si>
    <t>Fencing</t>
  </si>
  <si>
    <t>£ ex vat</t>
  </si>
  <si>
    <t>£ inc Vat</t>
  </si>
  <si>
    <t>Site</t>
  </si>
  <si>
    <t>First Fence</t>
  </si>
  <si>
    <t>https://www.firstfence.co.uk/1-8m-high-w-section-palisade-security-fencing</t>
  </si>
  <si>
    <t xml:space="preserve">Unit </t>
  </si>
  <si>
    <t>1 pst / 2.75m</t>
  </si>
  <si>
    <t>Safe Fence</t>
  </si>
  <si>
    <t>https://safefence.co.uk/1-8m-palisade-security-fencing.html</t>
  </si>
  <si>
    <t>All Steel Fecning</t>
  </si>
  <si>
    <t>https://allsteelfencing.co.uk/product/1-8m-high-w-section-palisade-security-fencing/</t>
  </si>
  <si>
    <t>1.8 W Pallasade</t>
  </si>
  <si>
    <t>Galvanised Coating</t>
  </si>
  <si>
    <t>Corner Posts</t>
  </si>
  <si>
    <t>https://allsteelfencing.co.uk/product/dig-in-palisade-fencing-endcorner-post/</t>
  </si>
  <si>
    <t>https://www.fencing-direct.co.uk/security-fencing/palisade/palisade-corner-end-posts/?Page_ID=3610&amp;refpid=89754&amp;id=827964</t>
  </si>
  <si>
    <t>Pallasade Gate</t>
  </si>
  <si>
    <t>https://www.firstfence.co.uk/1-8m-high-dig-in-post-for-palisade-fencing</t>
  </si>
  <si>
    <t>3m width</t>
  </si>
  <si>
    <t>https://www.firstfence.co.uk/1-8m-x-3-0m-double-leaf-palisade-security-gate</t>
  </si>
  <si>
    <t>Double leaf</t>
  </si>
  <si>
    <t>https://allsteelfencing.co.uk/product/1-8m-x-3-0m-double-leaf-palisade-gate/</t>
  </si>
  <si>
    <t>All steel fencing</t>
  </si>
  <si>
    <t xml:space="preserve">fencing direct </t>
  </si>
  <si>
    <t>Fecning Direct</t>
  </si>
  <si>
    <t>https://www.fencing-direct.co.uk/gates/palisade-gates/1800mm-high-double-palisade-gates/?Page_ID=3610&amp;refpid=93286&amp;id=808651</t>
  </si>
  <si>
    <t>LeachField</t>
  </si>
  <si>
    <t xml:space="preserve">Length </t>
  </si>
  <si>
    <t xml:space="preserve">  </t>
  </si>
  <si>
    <t>Sampling Chamber</t>
  </si>
  <si>
    <t>Distance from field to septic tank</t>
  </si>
  <si>
    <t>This needs checking</t>
  </si>
  <si>
    <t>No. fence posts</t>
  </si>
  <si>
    <t>Excess Fencing</t>
  </si>
  <si>
    <t>Min Excess each side 1m</t>
  </si>
  <si>
    <t>Double Check</t>
  </si>
  <si>
    <t>No. Fenc Posts</t>
  </si>
  <si>
    <t>Gate</t>
  </si>
  <si>
    <t>Pieces to fit gate</t>
  </si>
  <si>
    <t>Pale</t>
  </si>
  <si>
    <t>https://www.firstfence.co.uk/w-section-pale-to-suit-1-8m-high-palisade-fencing</t>
  </si>
  <si>
    <t>Rail</t>
  </si>
  <si>
    <t>https://www.firstfence.co.uk/palisade-fencing-bottom-rail-w-section-2-75m-long</t>
  </si>
  <si>
    <t>Fence Posts</t>
  </si>
  <si>
    <t>Gate (plus extras)</t>
  </si>
  <si>
    <t>No. of Units</t>
  </si>
  <si>
    <t>Total Gate Cost</t>
  </si>
  <si>
    <t>Total Field</t>
  </si>
  <si>
    <t>Pronges</t>
  </si>
  <si>
    <t>British Standard</t>
  </si>
  <si>
    <t>Scottish Water Septic Sizing</t>
  </si>
  <si>
    <t>hours @ 3 DWF</t>
  </si>
  <si>
    <t>3 DWF</t>
  </si>
  <si>
    <t>Standard Flow</t>
  </si>
  <si>
    <t>m3/pE/d</t>
  </si>
  <si>
    <t>m3/d</t>
  </si>
  <si>
    <t>30PE</t>
  </si>
  <si>
    <t>30 PE</t>
  </si>
  <si>
    <t>30 PE Tank Options</t>
  </si>
  <si>
    <t>&gt;7400 L</t>
  </si>
  <si>
    <t>Size (m3)</t>
  </si>
  <si>
    <t>https://www.wastewater-supplies.com/collections/shallow-septic-tanks/products/conder-shallow-septic-tank-8-000-litre</t>
  </si>
  <si>
    <t>Wastewater supplies</t>
  </si>
  <si>
    <t>https://www.wastewater-supplies.com/collections/shallow-septic-tanks/products/marsh-horizontal-septic-tank-6-000l</t>
  </si>
  <si>
    <t>https://www.wastewater-supplies.com/collections/shallow-septic-tanks/products/clearwater-shallow-septic-tank-9-150-litre</t>
  </si>
  <si>
    <t>https://www.wastewater-supplies.com/collections/shallow-septic-tanks/products/marsh-horizontal-septic-tank-12-000l</t>
  </si>
  <si>
    <t>https://www.wastewater-supplies.com/collections/shallow-septic-tanks/products/clearwater-shallow-septic-tank-15-000-litre</t>
  </si>
  <si>
    <t>https://www.ukseptictanks.co.uk/septic-tank/cylindrical-septic-tanks/conder-Millennium-Septic-Tank-8000</t>
  </si>
  <si>
    <t>https://www.tanksforeverything.co.uk/conder-millennium-8000-litre-shallow-dig-septic-tank-mill8r-40-person?language=en&amp;currency=GBP&amp;gclid=Cj0KCQjwyZmEBhCpARIsALIzmnICjOUagUBy8OVTaCyH7SCeVGI8EUoQLf7aPVnkWSpcfVjkvEbgFbkaAj9kEALw_wcB</t>
  </si>
  <si>
    <t>Drainstore.com</t>
  </si>
  <si>
    <t>https://www.drainstore.com/septic-sewage-storage/septic-tanks-and-cesspools/septic-tanks-up-to-4600-litres/premier-tech-aqua-septic-tank-8000-litre-low-profile-hdpe/</t>
  </si>
  <si>
    <t>Septic Tank Concrete (Shallow Dig,  8000L)</t>
  </si>
  <si>
    <t>Septic Tank Shingle (Shallow Dig,  8000L)</t>
  </si>
  <si>
    <t>Septic tank (ST)</t>
  </si>
  <si>
    <t>Hieght</t>
  </si>
  <si>
    <t xml:space="preserve">Excess </t>
  </si>
  <si>
    <t>50 PE</t>
  </si>
  <si>
    <t>50 PE tank options</t>
  </si>
  <si>
    <t>&gt;11000 L</t>
  </si>
  <si>
    <t>https://www.wastewater-supplies.com/collections/shallow-septic-tanks/products/clearwater-shallow-septic-tank-12-000-litre</t>
  </si>
  <si>
    <t>https://www.tanksforeverything.co.uk/waste-water/septic-tanks/12000-litre-shallow-dig-septic-tank-p?mfp=price%5B2398%2C4935%5D</t>
  </si>
  <si>
    <t>Drainstore</t>
  </si>
  <si>
    <t>https://www.drainstore.com/septic-sewage-storage/clearwater-kingspan-12000-litre-septic-tank/</t>
  </si>
  <si>
    <t>Septic Tank (Shallow Dig 12,000L)</t>
  </si>
  <si>
    <t>Conrete Slab</t>
  </si>
  <si>
    <t>75 PE</t>
  </si>
  <si>
    <t>75 PE tank options</t>
  </si>
  <si>
    <t>&gt;15000L</t>
  </si>
  <si>
    <t>£ (incVAT)</t>
  </si>
  <si>
    <t>https://www.tanksforeverything.co.uk/waste-water/septic-tanks/clearwater-sts150-shallow-dig-septic-tank-p?mfp=price%5B2398%2C4935%5D</t>
  </si>
  <si>
    <t>waste water supplies</t>
  </si>
  <si>
    <t>https://www.drainstore.com/septic-sewage-storage/clearwater-kingspan-15000-litre-septic-tank/</t>
  </si>
  <si>
    <t>Septic Tank (Shallow Dig 15,000L)</t>
  </si>
  <si>
    <t>100 PE</t>
  </si>
  <si>
    <t>100 PE tank options</t>
  </si>
  <si>
    <t>&gt;20000L</t>
  </si>
  <si>
    <t>https://www.drainstore.com/septic-sewage-storage/septic-tanks-and-cesspools/septic-tanks-up-to-25000-litres/premier-tech-aqua-septic-tank-20000-litre/</t>
  </si>
  <si>
    <t>https://www.tanksforeverything.co.uk/waste-water/septic-tanks/clearwater-22000-litre-septic-tank-p?mfp=price%5B3056%2C8119%5D</t>
  </si>
  <si>
    <t>https://www.drainstore.com/septic-sewage-storage/septic-tanks-and-cesspools/septic-tanks-up-to-25000-litres/klargester-clearwater-kingspan-22000-litre-septic-tank/</t>
  </si>
  <si>
    <t>For Dry conditions</t>
  </si>
  <si>
    <t>Septic Tank (Shallow Dig 22,000L)</t>
  </si>
  <si>
    <t>Septic Tank (Shallow Dig 20,000L)</t>
  </si>
  <si>
    <t>22000 l TANK</t>
  </si>
  <si>
    <t>Backfill height</t>
  </si>
  <si>
    <t>20000 l TANK</t>
  </si>
  <si>
    <t>Septic tank (Shallow Dig, 20000L reinforced)</t>
  </si>
  <si>
    <t>Frequency (per year)</t>
  </si>
  <si>
    <t>Operational Period (years)</t>
  </si>
  <si>
    <t>Cost</t>
  </si>
  <si>
    <t>OP</t>
  </si>
  <si>
    <t>Aeration Tanks</t>
  </si>
  <si>
    <t>Ammmonia (kg Nh3 /day)</t>
  </si>
  <si>
    <t>Organic Load (kg BOD / day)</t>
  </si>
  <si>
    <t>Flow</t>
  </si>
  <si>
    <t>Flowrate</t>
  </si>
  <si>
    <t>Qav</t>
  </si>
  <si>
    <t>DWF</t>
  </si>
  <si>
    <t>g/m3</t>
  </si>
  <si>
    <t>Dry Weather Flow (m3/d)</t>
  </si>
  <si>
    <t>Desludging Interval</t>
  </si>
  <si>
    <t>CSAF 30 N20</t>
  </si>
  <si>
    <t>CSAF 35 N20</t>
  </si>
  <si>
    <t>CSAF 40 N20</t>
  </si>
  <si>
    <t>CSAF 50 N20</t>
  </si>
  <si>
    <t>CSAF 60 N20</t>
  </si>
  <si>
    <t>CSAF 60 N10</t>
  </si>
  <si>
    <t>CSAF 60 N05</t>
  </si>
  <si>
    <t>CSAF 75 N20</t>
  </si>
  <si>
    <t>CSAF 75 N10</t>
  </si>
  <si>
    <t>CSAF 75 N05</t>
  </si>
  <si>
    <t>CSAF 100 N20</t>
  </si>
  <si>
    <t>CSAF 100 N10</t>
  </si>
  <si>
    <t>CSAF 100 N05</t>
  </si>
  <si>
    <t>CSAF 125 N20</t>
  </si>
  <si>
    <t>CSAF 125 N10</t>
  </si>
  <si>
    <t>CSAF 125 N05</t>
  </si>
  <si>
    <t>CSAF 150 N20</t>
  </si>
  <si>
    <t>CSAF 150 N10</t>
  </si>
  <si>
    <t>CSAF 150 N05</t>
  </si>
  <si>
    <t>British Water Standard</t>
  </si>
  <si>
    <t>BOD</t>
  </si>
  <si>
    <t>Ammonia</t>
  </si>
  <si>
    <t>for domestic dwellings</t>
  </si>
  <si>
    <t>Increased cost based on 3 bedroom households=5PE therefore 30Pe is greater than 5 houses</t>
  </si>
  <si>
    <t>Based on British water standard flows</t>
  </si>
  <si>
    <t>British Standard, closed system = no inflitration</t>
  </si>
  <si>
    <t>Flow (m3/d)</t>
  </si>
  <si>
    <t>Loading</t>
  </si>
  <si>
    <t>NH4 (g/d)</t>
  </si>
  <si>
    <t>BOD (kg/d)</t>
  </si>
  <si>
    <t>Tricel Novouk6</t>
  </si>
  <si>
    <t>-</t>
  </si>
  <si>
    <t>365 - 1095</t>
  </si>
  <si>
    <t>COD</t>
  </si>
  <si>
    <t>Treatmentefficiency (%)</t>
  </si>
  <si>
    <t xml:space="preserve">BOD5 </t>
  </si>
  <si>
    <t>SS</t>
  </si>
  <si>
    <t xml:space="preserve">NH4 </t>
  </si>
  <si>
    <t>Electrical Consumption (kWh/d)</t>
  </si>
  <si>
    <t>Tricel Novouk8</t>
  </si>
  <si>
    <t>Tricel Novouk10</t>
  </si>
  <si>
    <t>Tricel Novouk12</t>
  </si>
  <si>
    <t>Tricel Novouk18</t>
  </si>
  <si>
    <t>Tricel Novouk24</t>
  </si>
  <si>
    <t>Tricel Novouk30</t>
  </si>
  <si>
    <t>Tricel Novouk36</t>
  </si>
  <si>
    <t>Tricel Novouk42</t>
  </si>
  <si>
    <t>Tricel Novouk50</t>
  </si>
  <si>
    <t>180-730</t>
  </si>
  <si>
    <t>140 - 365</t>
  </si>
  <si>
    <t>Mass Removal Rates (g m-3 d-1)</t>
  </si>
  <si>
    <t>Volume (m3)</t>
  </si>
  <si>
    <t>CSAF 200 N20</t>
  </si>
  <si>
    <t>CSAF 200 N10</t>
  </si>
  <si>
    <t>CSAF 200 N05</t>
  </si>
  <si>
    <t>CSAF 250N20</t>
  </si>
  <si>
    <t>CSAF 300 N20</t>
  </si>
  <si>
    <t>Tank Sizing Formula</t>
  </si>
  <si>
    <t xml:space="preserve">Flow </t>
  </si>
  <si>
    <t>Tank Size (min)</t>
  </si>
  <si>
    <t>3 DWF m3/d</t>
  </si>
  <si>
    <t>TSS</t>
  </si>
  <si>
    <t>BOD5</t>
  </si>
  <si>
    <t>NH4-N</t>
  </si>
  <si>
    <t>Conc (mg/l)</t>
  </si>
  <si>
    <t>Target Constent</t>
  </si>
  <si>
    <t>g/d/PE</t>
  </si>
  <si>
    <t>This is from Scottish</t>
  </si>
  <si>
    <t>Scottish Water Standard</t>
  </si>
  <si>
    <t>Electrical Consumption (kWh/d/m3)</t>
  </si>
  <si>
    <t>PE load (m3/d)</t>
  </si>
  <si>
    <t>DWF (m3/d)</t>
  </si>
  <si>
    <t>SAFs</t>
  </si>
  <si>
    <t>https://www.drainstore.com/sewage-treatment-plants/tricel-sewage-treatment-plant/?gclid=EAIaIQobChMI8-ud0bn48AIVA57VCh1DcwuuEAAYASAAEgK6NPD_BwE</t>
  </si>
  <si>
    <t>Accessed</t>
  </si>
  <si>
    <t>Ukseptic Tanks</t>
  </si>
  <si>
    <t>https://www.ukseptictanks.co.uk/index.php?route=product/search&amp;search=Tricel&amp;description=true</t>
  </si>
  <si>
    <t>Tanksfor Everything</t>
  </si>
  <si>
    <t>https://www.tanksforeverything.co.uk/index.php?route=product/search&amp;search=Tricel</t>
  </si>
  <si>
    <t>https://www.ukseptictanks.co.uk/tricel-uk24?search=Tricel&amp;description=true</t>
  </si>
  <si>
    <t>https://www.ukseptictanks.co.uk/tricel-p42?search=Tricel&amp;description=true</t>
  </si>
  <si>
    <t>Blower Rating (w)</t>
  </si>
  <si>
    <t>Clenviro CLF 1</t>
  </si>
  <si>
    <t>Clenviro CLF 2</t>
  </si>
  <si>
    <t>Clenviro CLF 3</t>
  </si>
  <si>
    <t>Clenviro CLF 4</t>
  </si>
  <si>
    <t>Clenviro CLF 5</t>
  </si>
  <si>
    <t>Clenviro CLF 6</t>
  </si>
  <si>
    <t>Clenviro CLF 7</t>
  </si>
  <si>
    <t>Clenviro CLF 8</t>
  </si>
  <si>
    <t>Clenviro CLF 9</t>
  </si>
  <si>
    <t>Clenviro CLF 10</t>
  </si>
  <si>
    <t>Clenviro CLF 11</t>
  </si>
  <si>
    <t>Clenviro CLF 12</t>
  </si>
  <si>
    <t>Clenviro CLF 13</t>
  </si>
  <si>
    <t>Clenviro CLF 14</t>
  </si>
  <si>
    <t>Clenviro CLF 15</t>
  </si>
  <si>
    <t>Clenviro CLF 16</t>
  </si>
  <si>
    <t xml:space="preserve">Clenviro CLF 1A </t>
  </si>
  <si>
    <t>Mass Removal Rates (g d-1)</t>
  </si>
  <si>
    <t>https://www.drainstore.com/sewage-treatment-plants/cl-fabrications-sewage-treatment-plant/</t>
  </si>
  <si>
    <t>Clenviro 3</t>
  </si>
  <si>
    <t>https://www.wastewater-supplies.com/products/clenviro-matrix-clf-3?variant=12783857696883</t>
  </si>
  <si>
    <t>JTPumps</t>
  </si>
  <si>
    <t>https://www.jtpumps.co.uk/matrix-sewage-treatment-plant-18-people-1639-p.asp</t>
  </si>
  <si>
    <t>https://www.wastewater-supplies.com/products/clenviro-matrix-clf-5?variant=12784113025139</t>
  </si>
  <si>
    <t>Xoli</t>
  </si>
  <si>
    <t>https://www.xoli.co.uk/product/clenviro-matrix-sewage-treatment-plant/</t>
  </si>
  <si>
    <t>https://www.xoli.co.uk/product/tricel-novo/</t>
  </si>
  <si>
    <t>Average Effluent Concs (mg/l)</t>
  </si>
  <si>
    <t>Design Eff</t>
  </si>
  <si>
    <t>Max DW Flow</t>
  </si>
  <si>
    <t>NH4 limiting</t>
  </si>
  <si>
    <t>Clenviro CLF 17</t>
  </si>
  <si>
    <t>Corresondance</t>
  </si>
  <si>
    <t>https://www.wastewater-supplies.com/search?q=Clenviro</t>
  </si>
  <si>
    <t xml:space="preserve">Width </t>
  </si>
  <si>
    <t>Gravel</t>
  </si>
  <si>
    <t>Backfill Height</t>
  </si>
  <si>
    <t>Top layer</t>
  </si>
  <si>
    <t>Soil</t>
  </si>
  <si>
    <t>Pea Shingle</t>
  </si>
  <si>
    <t>Tank Volume</t>
  </si>
  <si>
    <t>Backfill Vol</t>
  </si>
  <si>
    <t>Excess Height</t>
  </si>
  <si>
    <t>Operational</t>
  </si>
  <si>
    <t>Unit Constrcution</t>
  </si>
  <si>
    <t>Yearly</t>
  </si>
  <si>
    <t>Grid Electricity</t>
  </si>
  <si>
    <t>Based on the average of the 12, monthly average day ahead baselod contracts</t>
  </si>
  <si>
    <t>Usage</t>
  </si>
  <si>
    <t>Blower Rating</t>
  </si>
  <si>
    <t>W</t>
  </si>
  <si>
    <t>Time</t>
  </si>
  <si>
    <t>h</t>
  </si>
  <si>
    <t>MWh</t>
  </si>
  <si>
    <t>Maintance and Inspection</t>
  </si>
  <si>
    <t>Once per year</t>
  </si>
  <si>
    <t>Peope</t>
  </si>
  <si>
    <t>Electrian hourly rate</t>
  </si>
  <si>
    <t>per hour</t>
  </si>
  <si>
    <t>https://www.mybuilder.com/pricing-guides/what-is-the-hourly-rate-of-an-electrician</t>
  </si>
  <si>
    <t>Needs improving</t>
  </si>
  <si>
    <t>Tank A</t>
  </si>
  <si>
    <t>Tank B</t>
  </si>
  <si>
    <t>Sub Tot</t>
  </si>
  <si>
    <t>D</t>
  </si>
  <si>
    <t>6000L</t>
  </si>
  <si>
    <t xml:space="preserve">Tanks for everything </t>
  </si>
  <si>
    <t>https://www.tanksforeverything.co.uk/waste-water/septic-tanks/conder-millennium-6000-litre-shallow-dig-septic-tank-mill6r-26-person</t>
  </si>
  <si>
    <t>Shallow Dig, Conc</t>
  </si>
  <si>
    <t>Shallow Dig, Gravel</t>
  </si>
  <si>
    <t>Ukseptictanks</t>
  </si>
  <si>
    <t>https://www.ukseptictanks.co.uk/conder-Millennium-Septic-Tank-6000</t>
  </si>
  <si>
    <t>First Accessed</t>
  </si>
  <si>
    <t>https://www.drainstore.com/septic-sewage-storage/septic-tanks-and-cesspools/septic-tanks-up-to-4600-litres/premier-tech-aqua-septic-tank-6000-litre-low-profile-hdpe/</t>
  </si>
  <si>
    <t>10PE</t>
  </si>
  <si>
    <t>12000L</t>
  </si>
  <si>
    <t>https://www.tanksforeverything.co.uk/waste-water/septic-tanks/12000-litre-shallow-dig-septic-tank-p</t>
  </si>
  <si>
    <t>Wastewater Supples</t>
  </si>
  <si>
    <t>24m3</t>
  </si>
  <si>
    <t>https://www.tanksforeverything.co.uk/waste-water/septic-tanks/clearwater-26000-litre-septic-tank-p</t>
  </si>
  <si>
    <t>https://www.drainstore.com/septic-sewage-storage/septic-tanks-and-cesspools/septic-tanks-up-to-25000-litres/klargester-clearwater-kingspan-26000-litre-septic-tank/?attribute_inlet-invert-depth-options=1.0m+deep&amp;gclid=EAIaIQobChMIra-UsKuF8QIVQBoGAB1aAQU2EAYYCCABEgLnAfD_BwE</t>
  </si>
  <si>
    <t>Ukseptic tanks</t>
  </si>
  <si>
    <t>https://www.ukseptictanks.co.uk/cesspit-27500</t>
  </si>
  <si>
    <t>60 m3</t>
  </si>
  <si>
    <t>36 m3</t>
  </si>
  <si>
    <t>Shallow Dig, Conc, 6m3</t>
  </si>
  <si>
    <t>Shallow Dig, Gravel, 6m3</t>
  </si>
  <si>
    <t>Shallow Dig, 12m3</t>
  </si>
  <si>
    <t>Shallow Dig, 24m3</t>
  </si>
  <si>
    <t>Soil Perpulaction</t>
  </si>
  <si>
    <t>Field Cost (£)</t>
  </si>
  <si>
    <t>Fence Cost (£)</t>
  </si>
  <si>
    <t>'Septic Tank - British - Det'</t>
  </si>
  <si>
    <t>H</t>
  </si>
  <si>
    <t>I</t>
  </si>
  <si>
    <t>J</t>
  </si>
  <si>
    <t>K</t>
  </si>
  <si>
    <t>N</t>
  </si>
  <si>
    <t>O</t>
  </si>
  <si>
    <t>Q</t>
  </si>
  <si>
    <t>R</t>
  </si>
  <si>
    <t>S</t>
  </si>
  <si>
    <t>Premier Tech Aqua</t>
  </si>
  <si>
    <t>Three Phase</t>
  </si>
  <si>
    <t>400 V</t>
  </si>
  <si>
    <t>50 Hz</t>
  </si>
  <si>
    <t>Actual Flow</t>
  </si>
  <si>
    <t>Min. Desludging Frequency</t>
  </si>
  <si>
    <t>days</t>
  </si>
  <si>
    <t>Desludge Interval (Days)</t>
  </si>
  <si>
    <t>Operational Costs (£)</t>
  </si>
  <si>
    <t>All</t>
  </si>
  <si>
    <t>kW</t>
  </si>
  <si>
    <t>Max Desludging Interval</t>
  </si>
  <si>
    <t>Tank Cost Curve</t>
  </si>
  <si>
    <t>Size</t>
  </si>
  <si>
    <t>Interal Dimensions</t>
  </si>
  <si>
    <t>Exteral Dimensions</t>
  </si>
  <si>
    <t>Direct Water Tanks</t>
  </si>
  <si>
    <t>https://www.directwatertanks.co.uk/grp-one-piece-tank-20000-litres-5160-x-2160-x-2130mm</t>
  </si>
  <si>
    <t>https://www.directwatertanks.co.uk/grp-one-piece-tank-24000-litres-6160-x-2160-x-2130mm</t>
  </si>
  <si>
    <t>https://www.directwatertanks.co.uk/water-storage-tanks/grp-water-storage-tanks?p=4</t>
  </si>
  <si>
    <t>Tank Material</t>
  </si>
  <si>
    <t>GRP</t>
  </si>
  <si>
    <t>H=2000</t>
  </si>
  <si>
    <t>H=1500</t>
  </si>
  <si>
    <t>https://www.tanks-direct.co.uk/7500-litre-grp-water-tank/p4662</t>
  </si>
  <si>
    <t>Kingfisher Direct</t>
  </si>
  <si>
    <t>https://www.kingfisherdirect.co.uk/grp-water-storage-tanks/grp-one-piece-tank-24000-litres-6160-x-2160-x-2130mm?sort=p.price&amp;order=DESC</t>
  </si>
  <si>
    <t>Dewey Waters</t>
  </si>
  <si>
    <t>Communication</t>
  </si>
  <si>
    <t>Purewater Storage</t>
  </si>
  <si>
    <t>https://www.purewaterstorage.co.uk/wras-approved-grp-one-piece-water-tank-12000-litres-un</t>
  </si>
  <si>
    <t>https://www.purewaterstorage.co.uk/wras-approved-grp-one-piece-water-tank-9000-litres-un</t>
  </si>
  <si>
    <t>https://www.purewaterstorage.co.uk/wras-approved-grp-one-piece-water-tank-7500-litres-un</t>
  </si>
  <si>
    <t>https://www.purewaterstorage.co.uk/wras-approved-grp-one-piece-water-tank-6000-litres-with-small-footprint-un</t>
  </si>
  <si>
    <t>https://www.completepumpsupplies.co.uk/9000-litre-grp-water-tank-un-insulated</t>
  </si>
  <si>
    <t>Complete Pump Supplies</t>
  </si>
  <si>
    <t>https://www.completepumpsupplies.co.uk/7500-litre-grp-water-tank-un-insulated</t>
  </si>
  <si>
    <t>https://www.completepumpsupplies.co.uk/6001-litre-grp-water-tank-un-insulated</t>
  </si>
  <si>
    <t>One Piece GRP Tanks</t>
  </si>
  <si>
    <t>Error</t>
  </si>
  <si>
    <t>Formula</t>
  </si>
  <si>
    <t>Confidence</t>
  </si>
  <si>
    <t>24h @ 3 DWF</t>
  </si>
  <si>
    <t>Tank Cost</t>
  </si>
  <si>
    <t>Electricity</t>
  </si>
  <si>
    <t xml:space="preserve">Data fitting from Matlad </t>
  </si>
  <si>
    <t>95% confidence</t>
  </si>
  <si>
    <t>Code</t>
  </si>
  <si>
    <t>clear</t>
  </si>
  <si>
    <r>
      <t>Filename=</t>
    </r>
    <r>
      <rPr>
        <sz val="10"/>
        <color rgb="FFAA04F9"/>
        <rFont val="Consolas"/>
        <family val="3"/>
      </rPr>
      <t>"GRP COSTING"</t>
    </r>
    <r>
      <rPr>
        <sz val="10"/>
        <color theme="1"/>
        <rFont val="Consolas"/>
        <family val="3"/>
      </rPr>
      <t>;</t>
    </r>
  </si>
  <si>
    <r>
      <t>sheet=</t>
    </r>
    <r>
      <rPr>
        <sz val="10"/>
        <color rgb="FFAA04F9"/>
        <rFont val="Consolas"/>
        <family val="3"/>
      </rPr>
      <t>'Mean'</t>
    </r>
    <r>
      <rPr>
        <sz val="10"/>
        <color theme="1"/>
        <rFont val="Consolas"/>
        <family val="3"/>
      </rPr>
      <t xml:space="preserve">; </t>
    </r>
  </si>
  <si>
    <t>Costing_Data;</t>
  </si>
  <si>
    <t>%initial Data</t>
  </si>
  <si>
    <t>beta0=[2533;0.1];</t>
  </si>
  <si>
    <r>
      <t xml:space="preserve">modelfun=@(b,Vol)(b(1)*(Vol.^b(2))); </t>
    </r>
    <r>
      <rPr>
        <sz val="10"/>
        <color rgb="FF028009"/>
        <rFont val="Consolas"/>
        <family val="3"/>
      </rPr>
      <t>%5/7ths Like model</t>
    </r>
  </si>
  <si>
    <r>
      <t>opts = statset(</t>
    </r>
    <r>
      <rPr>
        <sz val="10"/>
        <color rgb="FFAA04F9"/>
        <rFont val="Consolas"/>
        <family val="3"/>
      </rPr>
      <t>'nlinfit'</t>
    </r>
    <r>
      <rPr>
        <sz val="10"/>
        <color theme="1"/>
        <rFont val="Consolas"/>
        <family val="3"/>
      </rPr>
      <t xml:space="preserve">); </t>
    </r>
    <r>
      <rPr>
        <sz val="10"/>
        <color rgb="FF028009"/>
        <rFont val="Consolas"/>
        <family val="3"/>
      </rPr>
      <t>%Fitting model</t>
    </r>
  </si>
  <si>
    <r>
      <t xml:space="preserve">opts.RobustWgtFun = </t>
    </r>
    <r>
      <rPr>
        <sz val="10"/>
        <color rgb="FFAA04F9"/>
        <rFont val="Consolas"/>
        <family val="3"/>
      </rPr>
      <t>'bisquare'</t>
    </r>
    <r>
      <rPr>
        <sz val="10"/>
        <color theme="1"/>
        <rFont val="Consolas"/>
        <family val="3"/>
      </rPr>
      <t xml:space="preserve">; </t>
    </r>
    <r>
      <rPr>
        <sz val="10"/>
        <color rgb="FF028009"/>
        <rFont val="Consolas"/>
        <family val="3"/>
      </rPr>
      <t>% I dont know what this does</t>
    </r>
  </si>
  <si>
    <t>% Non linear Regression</t>
  </si>
  <si>
    <r>
      <t>[Cost_calc,R,J]=nlinfit(Vol,Cost,modelfun,beta0,</t>
    </r>
    <r>
      <rPr>
        <sz val="10"/>
        <color rgb="FFAA04F9"/>
        <rFont val="Consolas"/>
        <family val="3"/>
      </rPr>
      <t>"Options"</t>
    </r>
    <r>
      <rPr>
        <sz val="10"/>
        <color theme="1"/>
        <rFont val="Consolas"/>
        <family val="3"/>
      </rPr>
      <t>,opts);</t>
    </r>
  </si>
  <si>
    <r>
      <t>ci=nlparci(Cost_calc,R,</t>
    </r>
    <r>
      <rPr>
        <sz val="10"/>
        <color rgb="FFAA04F9"/>
        <rFont val="Consolas"/>
        <family val="3"/>
      </rPr>
      <t>"jacobian"</t>
    </r>
    <r>
      <rPr>
        <sz val="10"/>
        <color theme="1"/>
        <rFont val="Consolas"/>
        <family val="3"/>
      </rPr>
      <t>,J);</t>
    </r>
  </si>
  <si>
    <t>Power_order=[Cost_calc(2,1),ci(2,:)];</t>
  </si>
  <si>
    <t>Initial=[Cost_calc(1,1),ci(1,:)];</t>
  </si>
  <si>
    <t>%Saving Data</t>
  </si>
  <si>
    <t>Stuff=[Power_order,Initial];</t>
  </si>
  <si>
    <t>xlswrite(Filename,Stuff)</t>
  </si>
  <si>
    <t>Average</t>
  </si>
  <si>
    <t>Low</t>
  </si>
  <si>
    <t>High</t>
  </si>
  <si>
    <t>Excel</t>
  </si>
  <si>
    <t>This is wrong, don’t use</t>
  </si>
  <si>
    <t>Use this</t>
  </si>
  <si>
    <t>VF</t>
  </si>
  <si>
    <r>
      <t>TSS (g/m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/d)</t>
    </r>
  </si>
  <si>
    <r>
      <t>BOD (g/m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/d)</t>
    </r>
  </si>
  <si>
    <r>
      <t>NH4 (g/m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/d)</t>
    </r>
  </si>
  <si>
    <t>Peak HLR</t>
  </si>
  <si>
    <t>Influent Conc</t>
  </si>
  <si>
    <t>mg/L</t>
  </si>
  <si>
    <t>NH4</t>
  </si>
  <si>
    <t>Influent Load (g/PE/d)</t>
  </si>
  <si>
    <t>m3/d/PE</t>
  </si>
  <si>
    <t>Post ABR</t>
  </si>
  <si>
    <t>AHF</t>
  </si>
  <si>
    <t>Area (m2)</t>
  </si>
  <si>
    <t>System Sizing</t>
  </si>
  <si>
    <t>Freeboard</t>
  </si>
  <si>
    <t>1 Cell</t>
  </si>
  <si>
    <t>x sectional Loadings</t>
  </si>
  <si>
    <t>OLR</t>
  </si>
  <si>
    <t>69-155</t>
  </si>
  <si>
    <t>g/m2/d</t>
  </si>
  <si>
    <t>25-328</t>
  </si>
  <si>
    <t>Range</t>
  </si>
  <si>
    <t>x section</t>
  </si>
  <si>
    <t>2 cell</t>
  </si>
  <si>
    <t>Max Width recommendation 25m2 (Dotro 2017)</t>
  </si>
  <si>
    <t>Cells</t>
  </si>
  <si>
    <t>PE liner</t>
  </si>
  <si>
    <t>www.geosynthetic.co.uk</t>
  </si>
  <si>
    <t>Used website from Jenkins, accessed 27 Nov. Price per m2</t>
  </si>
  <si>
    <t>Blower</t>
  </si>
  <si>
    <t>Per Cell</t>
  </si>
  <si>
    <t>300mm</t>
  </si>
  <si>
    <t>Overall</t>
  </si>
  <si>
    <t>Total per cell</t>
  </si>
  <si>
    <t>Media</t>
  </si>
  <si>
    <t>Oxygen Requirement (kgO2/d)</t>
  </si>
  <si>
    <t>Ammonia (kg/d)</t>
  </si>
  <si>
    <t>Respiration (%)</t>
  </si>
  <si>
    <t>Constants</t>
  </si>
  <si>
    <t>alpha</t>
  </si>
  <si>
    <t>Safe option is to assume 0.9. (alpha lower in a all likelihood but get enhancement due to media) so balance of 0.9 seems OK</t>
  </si>
  <si>
    <t>beta</t>
  </si>
  <si>
    <t>sensible</t>
  </si>
  <si>
    <t>tau</t>
  </si>
  <si>
    <t>OTE</t>
  </si>
  <si>
    <t>SOC (kg/h)</t>
  </si>
  <si>
    <t>From Ellie's Work</t>
  </si>
  <si>
    <t>RA (m3/h)</t>
  </si>
  <si>
    <t>This work is just copied from Gaby's Spreadsheet, please do some actual engineering to confirm</t>
  </si>
  <si>
    <t>??</t>
  </si>
  <si>
    <t>Qair (m3/h)</t>
  </si>
  <si>
    <t>Energy Requirement</t>
  </si>
  <si>
    <t>n</t>
  </si>
  <si>
    <t>kJ/(kmol.K)</t>
  </si>
  <si>
    <t>T1</t>
  </si>
  <si>
    <t>P1</t>
  </si>
  <si>
    <t>bar</t>
  </si>
  <si>
    <t>P2</t>
  </si>
  <si>
    <t>e</t>
  </si>
  <si>
    <t>8.41e</t>
  </si>
  <si>
    <t>29.7ne</t>
  </si>
  <si>
    <t>wRT/8.41e</t>
  </si>
  <si>
    <r>
      <t>(P2/P1)</t>
    </r>
    <r>
      <rPr>
        <vertAlign val="superscript"/>
        <sz val="11"/>
        <color theme="1"/>
        <rFont val="Calibri"/>
        <family val="2"/>
        <scheme val="minor"/>
      </rPr>
      <t>0.283</t>
    </r>
    <r>
      <rPr>
        <sz val="11"/>
        <color theme="1"/>
        <rFont val="Calibri"/>
        <family val="2"/>
        <scheme val="minor"/>
      </rPr>
      <t>-1</t>
    </r>
  </si>
  <si>
    <t>Power</t>
  </si>
  <si>
    <t>safety factor</t>
  </si>
  <si>
    <t>Annual Energy (kW/d)</t>
  </si>
  <si>
    <t>Daily Energy (kW/d)</t>
  </si>
  <si>
    <t>wrt</t>
  </si>
  <si>
    <t>Mair (kg/s)</t>
  </si>
  <si>
    <t>rho air</t>
  </si>
  <si>
    <t>kg/m3</t>
  </si>
  <si>
    <t>2 Cell</t>
  </si>
  <si>
    <t>Area Requirements</t>
  </si>
  <si>
    <t>TSS (m2)</t>
  </si>
  <si>
    <t>BOD (m2)</t>
  </si>
  <si>
    <t>NH4 (gm2)</t>
  </si>
  <si>
    <t>Peak HLR (m2)</t>
  </si>
  <si>
    <t>3 Cells</t>
  </si>
  <si>
    <t>4 Cells</t>
  </si>
  <si>
    <t>5 Cells</t>
  </si>
  <si>
    <t>6 Cells</t>
  </si>
  <si>
    <t>7 Cells</t>
  </si>
  <si>
    <t>8 Cells</t>
  </si>
  <si>
    <t>Labour cost - operator (£/man hour)</t>
  </si>
  <si>
    <t xml:space="preserve">Butterworth and Jenkins </t>
  </si>
  <si>
    <t>Cell Dimensions</t>
  </si>
  <si>
    <t>Cell Volume</t>
  </si>
  <si>
    <t>Total Volume</t>
  </si>
  <si>
    <t>Accurate</t>
  </si>
  <si>
    <t>Rounded (UP) to 0.1m</t>
  </si>
  <si>
    <t>Wetland Media Layout AHF</t>
  </si>
  <si>
    <t>Distribution stone - 100 mm</t>
  </si>
  <si>
    <t>Main Media 4-10mm</t>
  </si>
  <si>
    <t>Follow to control elbow</t>
  </si>
  <si>
    <t>0.5m</t>
  </si>
  <si>
    <t>Guide line, this is based on Gaby 'textbook' value</t>
  </si>
  <si>
    <t>Gabions filled with 100mm crushed media</t>
  </si>
  <si>
    <t>Treatment Area</t>
  </si>
  <si>
    <t>Distribution System</t>
  </si>
  <si>
    <t>Zone Length</t>
  </si>
  <si>
    <t>Treatment Media Volume</t>
  </si>
  <si>
    <t>Treatment Volume</t>
  </si>
  <si>
    <t>Distribution Volume</t>
  </si>
  <si>
    <t>Treatment</t>
  </si>
  <si>
    <t>Treatment Length</t>
  </si>
  <si>
    <t>Treatment Width</t>
  </si>
  <si>
    <t>Treatment Vol</t>
  </si>
  <si>
    <t>Gabion Baskets</t>
  </si>
  <si>
    <t>Will be made to size on site</t>
  </si>
  <si>
    <t>Conditions</t>
  </si>
  <si>
    <t>Mid break support balance every metre of gabion</t>
  </si>
  <si>
    <t>Materials</t>
  </si>
  <si>
    <t>3mm Wire Sheet</t>
  </si>
  <si>
    <t>Coil Spring</t>
  </si>
  <si>
    <t>Sheet Requirements</t>
  </si>
  <si>
    <t>Helicoil Spring</t>
  </si>
  <si>
    <t>Length (m)</t>
  </si>
  <si>
    <t>Weight (kg)</t>
  </si>
  <si>
    <t>https://www.gabionbaskets.co.uk/gabion/gabion-design-and-prices/helicoli-spring/10156</t>
  </si>
  <si>
    <t xml:space="preserve">Gabion Baskets </t>
  </si>
  <si>
    <t>Gabion1</t>
  </si>
  <si>
    <t>https://www.gabion1.co.uk/gabion-component-prices/</t>
  </si>
  <si>
    <t>Face Panel (600mm x 500mm)</t>
  </si>
  <si>
    <t>Length Panel (1000mm x500mm)</t>
  </si>
  <si>
    <t>Weld Mesh</t>
  </si>
  <si>
    <t>https://www.weld-mesh.com/welded-mesh/welded-mesh-panel-GALFAN-3X3-10G-1.75ft-x-3.25ft/10371</t>
  </si>
  <si>
    <t>Length Panels</t>
  </si>
  <si>
    <t>Face Panels</t>
  </si>
  <si>
    <t>1m</t>
  </si>
  <si>
    <t>Required</t>
  </si>
  <si>
    <t xml:space="preserve">Face </t>
  </si>
  <si>
    <t>Full</t>
  </si>
  <si>
    <t>Joins</t>
  </si>
  <si>
    <t>1.2m Helical</t>
  </si>
  <si>
    <t>1m Helical</t>
  </si>
  <si>
    <t>Gabion Materials</t>
  </si>
  <si>
    <t>Gabions</t>
  </si>
  <si>
    <t>Aeration</t>
  </si>
  <si>
    <t>Pump</t>
  </si>
  <si>
    <t>Excavation and Media</t>
  </si>
  <si>
    <t>100mm Crush Aggreagate</t>
  </si>
  <si>
    <t>Helicoil Spring (1m)</t>
  </si>
  <si>
    <t>Helicoil Spring (1.2m)</t>
  </si>
  <si>
    <t>Subtotal</t>
  </si>
  <si>
    <t>CIVILS MATERIAL DRYSTONE 100MM CRUSHER RUN</t>
  </si>
  <si>
    <t>per Cell</t>
  </si>
  <si>
    <t>Design Info</t>
  </si>
  <si>
    <t>150 PE</t>
  </si>
  <si>
    <t>200 PE</t>
  </si>
  <si>
    <t>300 PE</t>
  </si>
  <si>
    <t>400 PE</t>
  </si>
  <si>
    <t>500 PE</t>
  </si>
  <si>
    <t>600 PE</t>
  </si>
  <si>
    <t>800 PE</t>
  </si>
  <si>
    <t>1000 PE</t>
  </si>
  <si>
    <t>Piping and Drainage</t>
  </si>
  <si>
    <t>Pressure Drop Calcs</t>
  </si>
  <si>
    <t>3inch Piping</t>
  </si>
  <si>
    <t>inch</t>
  </si>
  <si>
    <t>rho</t>
  </si>
  <si>
    <t>Q/(pi/4)d2</t>
  </si>
  <si>
    <t>pi/4</t>
  </si>
  <si>
    <t>d^2</t>
  </si>
  <si>
    <t>Q/hl</t>
  </si>
  <si>
    <t>Delta P</t>
  </si>
  <si>
    <t>m3/s/PE</t>
  </si>
  <si>
    <t>3 inch exit pipe is sufficent</t>
  </si>
  <si>
    <t>Piping Per Cell</t>
  </si>
  <si>
    <t>Pipe Length</t>
  </si>
  <si>
    <t>End Caps</t>
  </si>
  <si>
    <t>Tee Joint</t>
  </si>
  <si>
    <t>Elbow</t>
  </si>
  <si>
    <t>Joining Together</t>
  </si>
  <si>
    <t>Tank Connector</t>
  </si>
  <si>
    <t>Placed in rows of max 4</t>
  </si>
  <si>
    <t>3" Piping</t>
  </si>
  <si>
    <t>https://www.plasticpipeshop.co.uk/3-Plain-90-Degree-PVC-Tee_p_677.html</t>
  </si>
  <si>
    <t>https://www.plasticpipeshop.co.uk/3-Plain-90-Degree-PVC-Elbow_p_646.html</t>
  </si>
  <si>
    <t>https://www.plasticpipeshop.co.uk/3-Spigot-PVC-Tank-Connector_p_981.html</t>
  </si>
  <si>
    <t>per m</t>
  </si>
  <si>
    <t>https://www.plasticpipeshop.co.uk/3-Grey-PVC-Pipe-Class-C-5m-Length_p_568.html</t>
  </si>
  <si>
    <t>https://www.plasticpipeshop.co.uk/3-Plain-PVC-End-Cap_p_714.html</t>
  </si>
  <si>
    <t>Imperable liner</t>
  </si>
  <si>
    <t>Qair(l/m)</t>
  </si>
  <si>
    <t>Enviro</t>
  </si>
  <si>
    <t>Watts</t>
  </si>
  <si>
    <t>Flowrate (l/m)</t>
  </si>
  <si>
    <t>Enviro ET double</t>
  </si>
  <si>
    <t>Watts (kW)</t>
  </si>
  <si>
    <t>SCB</t>
  </si>
  <si>
    <t>SCB4-47</t>
  </si>
  <si>
    <t>Flowrate (m3/h)</t>
  </si>
  <si>
    <t>SCB4-66</t>
  </si>
  <si>
    <t>SCB4-87</t>
  </si>
  <si>
    <t>SCB2-145</t>
  </si>
  <si>
    <t>SCB2-210</t>
  </si>
  <si>
    <t>SCB2-230</t>
  </si>
  <si>
    <t>SCB2-265</t>
  </si>
  <si>
    <t>Quoting</t>
  </si>
  <si>
    <t>Enviro 30</t>
  </si>
  <si>
    <t>Enviro 60</t>
  </si>
  <si>
    <t>Price</t>
  </si>
  <si>
    <t xml:space="preserve">Link </t>
  </si>
  <si>
    <t>Koi Zone</t>
  </si>
  <si>
    <t>https://www.koi-zone.co.uk/Enviro-ET30-Airpump</t>
  </si>
  <si>
    <t>Enviro 100</t>
  </si>
  <si>
    <t>Enviro 150</t>
  </si>
  <si>
    <t>Enviro 250</t>
  </si>
  <si>
    <t>https://www.koi-zone.co.uk/Enviro-ET-60-Airpump</t>
  </si>
  <si>
    <t>Orionair</t>
  </si>
  <si>
    <t>https://www.orionairsales.co.uk/enviro-et60-et-air-pump-blower-60lmin-15-bar-55w-240v50hz-5701-p.asp</t>
  </si>
  <si>
    <t>https://www.orionairsales.co.uk/air-blowers-and-pumps-349-c.asp</t>
  </si>
  <si>
    <t>https://www.koi-zone.co.uk/Enviro-ET-100-Airpump</t>
  </si>
  <si>
    <t>https://www.koi-zone.co.uk/Enviro-ET-250-Airpump</t>
  </si>
  <si>
    <t>Hailea</t>
  </si>
  <si>
    <t>VB-390G</t>
  </si>
  <si>
    <t>VB-800G</t>
  </si>
  <si>
    <t>VBS-2200G</t>
  </si>
  <si>
    <t>VB-2200G</t>
  </si>
  <si>
    <t>ET400</t>
  </si>
  <si>
    <t>MPCservices</t>
  </si>
  <si>
    <t>https://www.mpcservices.co.uk/charles-austen-et400-compressor.html</t>
  </si>
  <si>
    <t>ET500</t>
  </si>
  <si>
    <t>https://www.mpcservices.co.uk/charles-austen-et500-compressor.html</t>
  </si>
  <si>
    <t>Secoh JDK-S-400</t>
  </si>
  <si>
    <t>https://www.mpcservices.co.uk/secoh-jdk-s-400-linear-diaphragm-air-pump.html</t>
  </si>
  <si>
    <t>Secoh JDK-S-500</t>
  </si>
  <si>
    <t>https://www.mpcservices.co.uk/secoh-jdk-s-500-linear-diaphragm-air-pump.html</t>
  </si>
  <si>
    <t>https://www.mpcservices.co.uk/charles-austen-et60-compressor.html</t>
  </si>
  <si>
    <t>https://www.mpcservices.co.uk/charles-austen-et100-compressor.html</t>
  </si>
  <si>
    <t>https://www.mpcservices.co.uk/charles-austen-et150-compressor.html</t>
  </si>
  <si>
    <t>https://www.mpcservices.co.uk/charles-austen-et250-compressor.html</t>
  </si>
  <si>
    <t>hg-hydroponics</t>
  </si>
  <si>
    <t>https://www.hg-hydroponics.co.uk/enviro-et30-air-pump---blower-8972-p.asp</t>
  </si>
  <si>
    <t>https://www.drainstore.com/plant-and-pump-spares/air-pumps/charles-austen/charles-austen-enviro-et-air-pumps/charles-austen-et-30-air-blower-compressor/</t>
  </si>
  <si>
    <t>Airpump</t>
  </si>
  <si>
    <t>pump</t>
  </si>
  <si>
    <t>HaileaVB-390G</t>
  </si>
  <si>
    <t>HaileaVB-800G</t>
  </si>
  <si>
    <t>HaileaVB-2200G</t>
  </si>
  <si>
    <t>13mm LDPE Pipe</t>
  </si>
  <si>
    <t>https://www.growell.co.uk/growing-systems/irrigation-pipes/13mm-19mm-piping.html</t>
  </si>
  <si>
    <t>Growell</t>
  </si>
  <si>
    <t>Air Piping</t>
  </si>
  <si>
    <t>Connection</t>
  </si>
  <si>
    <t>Spacing</t>
  </si>
  <si>
    <t>as per Butterworth</t>
  </si>
  <si>
    <t>Zone of Influnce of each tube is 300mm</t>
  </si>
  <si>
    <t>150mm each side</t>
  </si>
  <si>
    <t>Spacing Between line is 150mm</t>
  </si>
  <si>
    <t>Number of Air Lines</t>
  </si>
  <si>
    <t>Total Air Tubing per cell (m)</t>
  </si>
  <si>
    <t>Air tubing</t>
  </si>
  <si>
    <t>Refurbishment and Maintanence</t>
  </si>
  <si>
    <t>Typha</t>
  </si>
  <si>
    <t>Plants per Cell</t>
  </si>
  <si>
    <t>Overall Plants</t>
  </si>
  <si>
    <t xml:space="preserve">Typha </t>
  </si>
  <si>
    <t>Jenkins 2017</t>
  </si>
  <si>
    <t>per plant</t>
  </si>
  <si>
    <t>Mass (kg)</t>
  </si>
  <si>
    <t>Single Wetland System</t>
  </si>
  <si>
    <t>Cell Layout</t>
  </si>
  <si>
    <t>Single Systems</t>
  </si>
  <si>
    <t>Multi Cellular</t>
  </si>
  <si>
    <t>Media Layout</t>
  </si>
  <si>
    <t>0-15</t>
  </si>
  <si>
    <t>20-40</t>
  </si>
  <si>
    <t>15-20</t>
  </si>
  <si>
    <t>20-75</t>
  </si>
  <si>
    <t>Sand</t>
  </si>
  <si>
    <t>75-80</t>
  </si>
  <si>
    <t>10mm</t>
  </si>
  <si>
    <t>20-40mm</t>
  </si>
  <si>
    <t xml:space="preserve">Sand </t>
  </si>
  <si>
    <t xml:space="preserve">Sand is made from mixture at 2:1 of sand to 10mm </t>
  </si>
  <si>
    <t>Gextextile</t>
  </si>
  <si>
    <t>Single</t>
  </si>
  <si>
    <t>Cellular</t>
  </si>
  <si>
    <t>CIVILS MATERIAL 20MM SINGLE SIZE GRAVEL</t>
  </si>
  <si>
    <t>Distribution</t>
  </si>
  <si>
    <t>As per pilot Design</t>
  </si>
  <si>
    <t>Drainage</t>
  </si>
  <si>
    <t>with adjustment to account for issues, namely switch to distribution plates as per metland</t>
  </si>
  <si>
    <t>Prong every 1.25m</t>
  </si>
  <si>
    <t xml:space="preserve">Prong every </t>
  </si>
  <si>
    <t>distribution tile is 0.5x0.5m as per Jenkins 17</t>
  </si>
  <si>
    <t>No. of outlets</t>
  </si>
  <si>
    <t>Per every 1.25 on a prong</t>
  </si>
  <si>
    <t>Tee joint</t>
  </si>
  <si>
    <t>Distribution prongs</t>
  </si>
  <si>
    <t>Collection Prongs</t>
  </si>
  <si>
    <t>Tee Joints</t>
  </si>
  <si>
    <t>Elbows</t>
  </si>
  <si>
    <t>Outlet Points</t>
  </si>
  <si>
    <t>Inlet</t>
  </si>
  <si>
    <t>Outlet</t>
  </si>
  <si>
    <t>Concrete Slabs</t>
  </si>
  <si>
    <t>Concrete Slab 450x450mm</t>
  </si>
  <si>
    <t>per slab</t>
  </si>
  <si>
    <t>https://www.travisperkins.co.uk/commercial-paving-slabs/marshalls-bss-pressed-concrete-slab-natural-450mm-x-450mm-x-50mm/p/809365</t>
  </si>
  <si>
    <t>Mass</t>
  </si>
  <si>
    <t>kg</t>
  </si>
  <si>
    <t>Siphon Total</t>
  </si>
  <si>
    <t>Wet well</t>
  </si>
  <si>
    <t>1" piping</t>
  </si>
  <si>
    <t>3" piping</t>
  </si>
  <si>
    <t>unit</t>
  </si>
  <si>
    <t>Inch PVC Tee Equal for Pressure Pipe Systems (plasticpipeshop.co.uk)</t>
  </si>
  <si>
    <t>PVC Pressure Pipe 1 inch | 5m Length Class D (plasticpipeshop.co.uk)</t>
  </si>
  <si>
    <t>https://www.plasticpipeshop.co.uk/1-Plain-90-Degree-PVC-Elbow_p_642.html</t>
  </si>
  <si>
    <t>1"</t>
  </si>
  <si>
    <t>3"</t>
  </si>
  <si>
    <t>Optional Dosing Pump and Holding Tank</t>
  </si>
  <si>
    <t>No. of Cell</t>
  </si>
  <si>
    <t>Cell Volum</t>
  </si>
  <si>
    <t>Area per cell</t>
  </si>
  <si>
    <t>Overall per Cell</t>
  </si>
  <si>
    <t>1" per cell</t>
  </si>
  <si>
    <t>Conbcrete Slabs</t>
  </si>
  <si>
    <t>Gernal Maintance Requirements of the systems</t>
  </si>
  <si>
    <t>Site visits (pipe cleaning)</t>
  </si>
  <si>
    <t>Frequency</t>
  </si>
  <si>
    <t>Once per Month</t>
  </si>
  <si>
    <t>Reed harversting</t>
  </si>
  <si>
    <t>Operator</t>
  </si>
  <si>
    <t>Operator time</t>
  </si>
  <si>
    <t>Blower Maintaince</t>
  </si>
  <si>
    <t>Filter</t>
  </si>
  <si>
    <t>Non-return valve</t>
  </si>
  <si>
    <t>Pressure relief vavle</t>
  </si>
  <si>
    <t>Silencer</t>
  </si>
  <si>
    <t>Bearing</t>
  </si>
  <si>
    <t>Replacement Frequency, years</t>
  </si>
  <si>
    <t>Replacement time</t>
  </si>
  <si>
    <t>1 hour per unit</t>
  </si>
  <si>
    <t>Service Kit</t>
  </si>
  <si>
    <t>years</t>
  </si>
  <si>
    <t>https://www.drainstore.com/plant-and-pump-spares/air-pumps/charles-austen/charles-austen-serivce-kits-spares/charles-austen-et-60-air-blowercompressor-service-kit/</t>
  </si>
  <si>
    <t>No data on the operational costs, so from Gaby's spreadsheet</t>
  </si>
  <si>
    <t>Yearly Maintaince</t>
  </si>
  <si>
    <t>Parts</t>
  </si>
  <si>
    <t>Labour</t>
  </si>
  <si>
    <t>These parts costs are higher than the pump</t>
  </si>
  <si>
    <t>Systems report no maintance requirements, have a 12 month warranty</t>
  </si>
  <si>
    <t>Pump will be planned for replacement every 2 years</t>
  </si>
  <si>
    <t>Part</t>
  </si>
  <si>
    <t>Maintance</t>
  </si>
  <si>
    <t>Power demand (kW)</t>
  </si>
  <si>
    <t>Power Requirement (kWh)</t>
  </si>
  <si>
    <t>Cost (£/year)</t>
  </si>
  <si>
    <t>Refurbishment</t>
  </si>
  <si>
    <t>Every 10 years</t>
  </si>
  <si>
    <t xml:space="preserve">Surface scrapping 0.2m </t>
  </si>
  <si>
    <t>Replanting</t>
  </si>
  <si>
    <t>New sand</t>
  </si>
  <si>
    <t>Media for 0.2m depth</t>
  </si>
  <si>
    <t>Same Plant Costs</t>
  </si>
  <si>
    <t xml:space="preserve">62% of new build </t>
  </si>
  <si>
    <t>Freeman 2018</t>
  </si>
  <si>
    <t>Maintance Requirements</t>
  </si>
  <si>
    <t>hours / year</t>
  </si>
  <si>
    <t>Gaby</t>
  </si>
  <si>
    <t>Blower Maintance</t>
  </si>
  <si>
    <t>Diagprahm</t>
  </si>
  <si>
    <t>1/year</t>
  </si>
  <si>
    <t>1.5/year</t>
  </si>
  <si>
    <t>Filter change</t>
  </si>
  <si>
    <t>Clean</t>
  </si>
  <si>
    <t>Price Guide</t>
  </si>
  <si>
    <t>ET-60</t>
  </si>
  <si>
    <t>ET-80</t>
  </si>
  <si>
    <t>ET-100</t>
  </si>
  <si>
    <t>ET-120</t>
  </si>
  <si>
    <t>ET-150</t>
  </si>
  <si>
    <t>Blower Rating (W)</t>
  </si>
  <si>
    <t>Basis</t>
  </si>
  <si>
    <t>ET-200</t>
  </si>
  <si>
    <t>Cost Per Year</t>
  </si>
  <si>
    <t>Surface Scrape</t>
  </si>
  <si>
    <t>New Media</t>
  </si>
  <si>
    <t>4-10mm Aggregate</t>
  </si>
  <si>
    <t>Site visits</t>
  </si>
  <si>
    <t>Reed harvesting</t>
  </si>
  <si>
    <t>Refurbishment Frequency</t>
  </si>
  <si>
    <t>Annual Costs</t>
  </si>
  <si>
    <t>Every _ years</t>
  </si>
  <si>
    <t>ABR Siphon</t>
  </si>
  <si>
    <t>Operational Costs</t>
  </si>
  <si>
    <t>Capital Costs</t>
  </si>
  <si>
    <t>Refurbishment Interval</t>
  </si>
  <si>
    <t>25 years</t>
  </si>
  <si>
    <t>Wet Well</t>
  </si>
  <si>
    <t>Operational Period</t>
  </si>
  <si>
    <t>Lifetime Costs</t>
  </si>
  <si>
    <t>Total Cost</t>
  </si>
  <si>
    <t>Electrical Requirement</t>
  </si>
  <si>
    <t>Power (kWh)</t>
  </si>
  <si>
    <t>Refurb</t>
  </si>
  <si>
    <t>Blower and Elec</t>
  </si>
  <si>
    <t>No Pump</t>
  </si>
  <si>
    <t>Dimensions</t>
  </si>
  <si>
    <t>Panels</t>
  </si>
  <si>
    <t>Side</t>
  </si>
  <si>
    <t>Top</t>
  </si>
  <si>
    <t>Base</t>
  </si>
  <si>
    <t>Vol (m3)</t>
  </si>
  <si>
    <t>Inc VAT</t>
  </si>
  <si>
    <t>Ex VAT</t>
  </si>
  <si>
    <t>No. Panels</t>
  </si>
  <si>
    <t>Design Princinple</t>
  </si>
  <si>
    <t>Main body is made from excavated lined hole</t>
  </si>
  <si>
    <t>Baffles are put in place by fence posting, the depth of excavation is based on fence panelling</t>
  </si>
  <si>
    <t>The cover is made from synthethic rudder and the sizing is based on a semi circular hood as maximum length</t>
  </si>
  <si>
    <t>Two Sizing Options</t>
  </si>
  <si>
    <t>Depth maximum 2.5m</t>
  </si>
  <si>
    <t>LxW 3:1</t>
  </si>
  <si>
    <t xml:space="preserve">24h HRT @ 3DWF </t>
  </si>
  <si>
    <t>12h @ 3DWF</t>
  </si>
  <si>
    <t>48h HRT @ 3 DWF</t>
  </si>
  <si>
    <t>48h @ 3 DWF</t>
  </si>
  <si>
    <t>Tank Depth (m)</t>
  </si>
  <si>
    <t>Baffling Design</t>
  </si>
  <si>
    <t>Config 2</t>
  </si>
  <si>
    <t>Pilot Design</t>
  </si>
  <si>
    <t>Upflow Velocity</t>
  </si>
  <si>
    <t>Upcomer</t>
  </si>
  <si>
    <t>Downcomer</t>
  </si>
  <si>
    <t>Horizontal Baffles placed equidistant</t>
  </si>
  <si>
    <t>Peak</t>
  </si>
  <si>
    <t>Uplfow to downflow area</t>
  </si>
  <si>
    <t>Upcomer Post</t>
  </si>
  <si>
    <t>Working Volume</t>
  </si>
  <si>
    <t>Minimum dimension 0.5</t>
  </si>
  <si>
    <t>Min height 1.5m</t>
  </si>
  <si>
    <t>Upflow Area</t>
  </si>
  <si>
    <t>Downcomer Length</t>
  </si>
  <si>
    <t>Distance to H B 1</t>
  </si>
  <si>
    <t>UFB</t>
  </si>
  <si>
    <t>DFB</t>
  </si>
  <si>
    <t>HB1</t>
  </si>
  <si>
    <t>HB2</t>
  </si>
  <si>
    <t>Design Sizing</t>
  </si>
  <si>
    <t>Working Depth (m)</t>
  </si>
  <si>
    <t>Panel width</t>
  </si>
  <si>
    <t>Panel depth</t>
  </si>
  <si>
    <t>Panel height</t>
  </si>
  <si>
    <t>Max Width (25m)</t>
  </si>
  <si>
    <t>Basis?!</t>
  </si>
  <si>
    <t>Horizontal</t>
  </si>
  <si>
    <t>Opening</t>
  </si>
  <si>
    <t>No. Panels L</t>
  </si>
  <si>
    <t>No. Panels S</t>
  </si>
  <si>
    <t>L</t>
  </si>
  <si>
    <t>Fence Post</t>
  </si>
  <si>
    <t>Panel L</t>
  </si>
  <si>
    <t>Panel S</t>
  </si>
  <si>
    <t>Fence Post Height</t>
  </si>
  <si>
    <t>H=2</t>
  </si>
  <si>
    <t>H=1.5</t>
  </si>
  <si>
    <t>2.4m</t>
  </si>
  <si>
    <t>7'9"</t>
  </si>
  <si>
    <t>Mick George</t>
  </si>
  <si>
    <t>https://www.mickgeorge.co.uk/product/timber/fencing/fence-posts/slotted-intermediate-concrete-post</t>
  </si>
  <si>
    <t>Welch Fencing</t>
  </si>
  <si>
    <t>https://www.garden-fence-panels.co.uk/product/fence-concrete-posts-intermediate/</t>
  </si>
  <si>
    <t>Fencing Wholesale</t>
  </si>
  <si>
    <t>https://www.fencingwholesale.co.uk/8ft-concrete-intermediate-fence-post-2-4m</t>
  </si>
  <si>
    <t>2.9m</t>
  </si>
  <si>
    <t>9'5"</t>
  </si>
  <si>
    <t>https://www.avsfencing.co.uk/concrete-slotted-intermediate-fence-post-3000-x-94-x-109mm/</t>
  </si>
  <si>
    <t>AVS</t>
  </si>
  <si>
    <t>Lawsons</t>
  </si>
  <si>
    <t>https://www.lawsons.co.uk/product/category/30/3040mm-%2810ft%29-concrete-slotted-intermediate-fence-post/f00002064</t>
  </si>
  <si>
    <t>10'</t>
  </si>
  <si>
    <t>Fence Post 2.4m</t>
  </si>
  <si>
    <t>Fence Post 3.1m</t>
  </si>
  <si>
    <t>https://www.garden-fence-panels.co.uk/product/concrete-base-panel-plain/</t>
  </si>
  <si>
    <t>https://www.mickgeorge.co.uk/product/timber/fencing/gravel-board/concrete-gravel-board-smooth?attribute_pa_size=50-x-150-x-1830mm&amp;gclid=EAIaIQobChMIlY2a-cvJ8wIVAtN3Ch2KjwlZEAYYAiABEgKiVvD_BwE</t>
  </si>
  <si>
    <t>Travis Perkins</t>
  </si>
  <si>
    <t>https://www.travisperkins.co.uk/gravel-boards/supreme-concrete-recessed-gravel-board-50mm-x-150mm-x-1830mm-gbr150/p/700252?gclid=EAIaIQobChMIlY2a-cvJ8wIVAtN3Ch2KjwlZEAYYAyABEgJmN_D_BwE&amp;gclsrc=aw.ds</t>
  </si>
  <si>
    <t>https://www.travisperkins.co.uk/gravel-boards/supreme-concrete-recessed-gravel-board-50mm-x-305mm-x-1830mm-gbr305-12/p/805329</t>
  </si>
  <si>
    <t>Fence Pnale 300mm</t>
  </si>
  <si>
    <t>Fence Pnale 150mm</t>
  </si>
  <si>
    <t>per unit</t>
  </si>
  <si>
    <t>Soft Cover</t>
  </si>
  <si>
    <t>Material m2</t>
  </si>
  <si>
    <t>Fence Panel 300mm</t>
  </si>
  <si>
    <t>Fence Panel 150mm</t>
  </si>
  <si>
    <t>Imperemable Liner</t>
  </si>
  <si>
    <t>Gas Cover</t>
  </si>
  <si>
    <t>Bell Siphon</t>
  </si>
  <si>
    <t>Single ABR System</t>
  </si>
  <si>
    <t>Excavation ABR</t>
  </si>
  <si>
    <t>Excavation and Lining</t>
  </si>
  <si>
    <t>Baffling</t>
  </si>
  <si>
    <t>Gas Cover and Collection</t>
  </si>
  <si>
    <t>Cesspools</t>
  </si>
  <si>
    <t>TFE</t>
  </si>
  <si>
    <t>https://www.tanksforeverything.co.uk/waste-water/cesspools</t>
  </si>
  <si>
    <t>Manufacturer</t>
  </si>
  <si>
    <t>Premier Tech</t>
  </si>
  <si>
    <t>Clearwater</t>
  </si>
  <si>
    <t>Correspondance</t>
  </si>
  <si>
    <t>SCB2-318</t>
  </si>
  <si>
    <t>SCB2-80</t>
  </si>
  <si>
    <t>VF price increase compared to AHF</t>
  </si>
  <si>
    <t>M3 treated</t>
  </si>
  <si>
    <t>Desludigng</t>
  </si>
  <si>
    <t>ABR</t>
  </si>
  <si>
    <t>ABR - Vf</t>
  </si>
  <si>
    <t>ABR -AHF</t>
  </si>
  <si>
    <t>Overall Costs</t>
  </si>
  <si>
    <t>not including fencing</t>
  </si>
  <si>
    <t>Taking average desludging</t>
  </si>
  <si>
    <t>SAF</t>
  </si>
  <si>
    <t>ST - H</t>
  </si>
  <si>
    <t xml:space="preserve">ST - L </t>
  </si>
  <si>
    <t>ST L</t>
  </si>
  <si>
    <t>ST H</t>
  </si>
  <si>
    <t>Op</t>
  </si>
  <si>
    <t>ABR - VF</t>
  </si>
  <si>
    <t>ST</t>
  </si>
  <si>
    <t>ABR OP</t>
  </si>
  <si>
    <t>ABR CAPEX</t>
  </si>
  <si>
    <t>VF CAPEX</t>
  </si>
  <si>
    <t>VF OPEX</t>
  </si>
  <si>
    <t>AHF CAPEX</t>
  </si>
  <si>
    <t>AHF OPEX</t>
  </si>
  <si>
    <t>SAF CAPEX</t>
  </si>
  <si>
    <t>SAF OPEX</t>
  </si>
  <si>
    <t>ABR - AHF</t>
  </si>
  <si>
    <t>Area of ABR VF</t>
  </si>
  <si>
    <t>Area of ABR- AHF</t>
  </si>
  <si>
    <t>ABR-VF</t>
  </si>
  <si>
    <t>ABR-AHF</t>
  </si>
  <si>
    <t>up to 8 weeks</t>
  </si>
  <si>
    <t>10 to 18</t>
  </si>
  <si>
    <t>weeks</t>
  </si>
  <si>
    <t>per year</t>
  </si>
  <si>
    <t>Percentage</t>
  </si>
  <si>
    <t>Price (inc Vat)</t>
  </si>
  <si>
    <t>Conder</t>
  </si>
  <si>
    <t>Multi tank solution</t>
  </si>
  <si>
    <t xml:space="preserve"> </t>
  </si>
  <si>
    <t>Standard</t>
  </si>
  <si>
    <t>Real World</t>
  </si>
  <si>
    <t>Projection</t>
  </si>
  <si>
    <t>Low Projection</t>
  </si>
  <si>
    <t>High Projection</t>
  </si>
  <si>
    <t>Shallow</t>
  </si>
  <si>
    <t>HDPE 3m3</t>
  </si>
  <si>
    <t>https://www.drainstore.com/septic-sewage-storage/septic-tanks-and-cesspools/septic-tanks-up-to-4600-litres/premier-tech-aqua-septic-tank-3000-litre-low-profile-hdpe/</t>
  </si>
  <si>
    <t>Shallow Dig, Conc, 3m3</t>
  </si>
  <si>
    <t>Shallow Dig, Grav, 3m3</t>
  </si>
  <si>
    <t>Shingle</t>
  </si>
  <si>
    <t>Shallow Dig, 6.5m3</t>
  </si>
  <si>
    <t>https://www.drainstore.com/septic-sewage-storage/septic-tanks-and-cesspools/septic-tanks-up-to-4600-litres/graf-6500-litre-carat-septic-tank/</t>
  </si>
  <si>
    <t>Shallow Dig, 9.15 m3</t>
  </si>
  <si>
    <t>https://www.drainstore.com/septic-sewage-storage/septic-tanks-and-cesspools/septic-tanks-up-to-4600-litres/klargester-clearwater-kingspan-9150-litre-shallow-dig-septic-tank/</t>
  </si>
  <si>
    <t>Tank Size Limit</t>
  </si>
  <si>
    <t>British Water ST sizing</t>
  </si>
  <si>
    <t>Multi tank</t>
  </si>
  <si>
    <t>https://www.tanksforeverything.co.uk/waste-water/septic-tanks?sort=p.price&amp;order=DESC</t>
  </si>
  <si>
    <t>Tank Type</t>
  </si>
  <si>
    <t>Cesspool</t>
  </si>
  <si>
    <t>Above Ground Installations</t>
  </si>
  <si>
    <t>Below Ground Installations</t>
  </si>
  <si>
    <t>Gaby Design Principles</t>
  </si>
  <si>
    <t>HRT (hours)</t>
  </si>
  <si>
    <t>Primary Tank Size</t>
  </si>
  <si>
    <t>Hummus Tank</t>
  </si>
  <si>
    <t>Holding Tank</t>
  </si>
  <si>
    <t>SRT (days)</t>
  </si>
  <si>
    <t>Loading Design</t>
  </si>
  <si>
    <t>OLR (COD)</t>
  </si>
  <si>
    <t>kg COD m-3 d-1</t>
  </si>
  <si>
    <t>https://www.wateractionplan.com/documents/177327/558166/Submerged+aerated+filters.pdf/5ad7cbaf-aaa9-0eee-8390-f82004921909</t>
  </si>
  <si>
    <t>Metcalfe and Eddy 5th edition Vol 1</t>
  </si>
  <si>
    <t>System Design, Upflow Sunken Media</t>
  </si>
  <si>
    <t xml:space="preserve">Bed depth </t>
  </si>
  <si>
    <t>3m</t>
  </si>
  <si>
    <t>4 - 6 m/h</t>
  </si>
  <si>
    <t>Media Size</t>
  </si>
  <si>
    <t>Specific surface area</t>
  </si>
  <si>
    <t>=6000/particle Diameter</t>
  </si>
  <si>
    <t>1.8 - 2.5</t>
  </si>
  <si>
    <t>kg BOD m-3 d-1</t>
  </si>
  <si>
    <t>&gt;85</t>
  </si>
  <si>
    <t>Removal Efficiency (%)</t>
  </si>
  <si>
    <t>Design Alternative</t>
  </si>
  <si>
    <t>Two SAF tanks</t>
  </si>
  <si>
    <t>First Step for BOD</t>
  </si>
  <si>
    <t>BOD Remvoal</t>
  </si>
  <si>
    <t>3.5 - 5.5</t>
  </si>
  <si>
    <t>Nitrification Step</t>
  </si>
  <si>
    <t>1 - 1.5</t>
  </si>
  <si>
    <t>kg NH4-N / m3 d</t>
  </si>
  <si>
    <t>&gt;90</t>
  </si>
  <si>
    <t>o2 requirements</t>
  </si>
  <si>
    <t xml:space="preserve">DO </t>
  </si>
  <si>
    <t>3 - 4 mg/l</t>
  </si>
  <si>
    <t xml:space="preserve">O2 transfer efficnecy </t>
  </si>
  <si>
    <t>%/m</t>
  </si>
  <si>
    <t>Oxygem Requirement</t>
  </si>
  <si>
    <t>g O2 / g BOD applied</t>
  </si>
  <si>
    <t>=0.82 (sBODi / TBODi) + 1.6 (BF VSS) Xi / TBOD i</t>
  </si>
  <si>
    <t>Where</t>
  </si>
  <si>
    <t xml:space="preserve">sBODi </t>
  </si>
  <si>
    <t>TBODi</t>
  </si>
  <si>
    <t>BFVSS</t>
  </si>
  <si>
    <t>Xi</t>
  </si>
  <si>
    <t>Influent soluble BOD</t>
  </si>
  <si>
    <t>Total influent BOD</t>
  </si>
  <si>
    <t>faction of influent vss degraded</t>
  </si>
  <si>
    <t>influent vss conc</t>
  </si>
  <si>
    <t>Sludge Production</t>
  </si>
  <si>
    <t xml:space="preserve">VSS production =Q(0.6 sBODi+(1-BFvss)Xi)) </t>
  </si>
  <si>
    <t xml:space="preserve">VSS / TSs ration </t>
  </si>
  <si>
    <t>0.8 - 0.85</t>
  </si>
  <si>
    <t>following primary</t>
  </si>
  <si>
    <t>Aeration Equipment</t>
  </si>
  <si>
    <t>Coarse bubbles</t>
  </si>
  <si>
    <t>Sparge air pipes 250 to 300 mm apart</t>
  </si>
  <si>
    <t>But based on the temp</t>
  </si>
  <si>
    <t>Treatment Tank</t>
  </si>
  <si>
    <t>Design Constants</t>
  </si>
  <si>
    <t>PT</t>
  </si>
  <si>
    <t>HT</t>
  </si>
  <si>
    <t>hr</t>
  </si>
  <si>
    <t>OLR (BOD)</t>
  </si>
  <si>
    <t xml:space="preserve">Upflow velocity </t>
  </si>
  <si>
    <t>m/h</t>
  </si>
  <si>
    <t>Tank Height</t>
  </si>
  <si>
    <t>NH4 (kg/d)</t>
  </si>
  <si>
    <t>TSS (kg/d)</t>
  </si>
  <si>
    <t>Flow Rate (m3/d)</t>
  </si>
  <si>
    <t>Primary Tank Performance</t>
  </si>
  <si>
    <t>SAF Performance</t>
  </si>
  <si>
    <t>Hummus Tank Performance</t>
  </si>
  <si>
    <t>Flow Rate (m3/h)</t>
  </si>
  <si>
    <t>Max</t>
  </si>
  <si>
    <t>Minimum</t>
  </si>
  <si>
    <t>Primary Tank Size (m3)</t>
  </si>
  <si>
    <t>Hummus Tank Size (m3)</t>
  </si>
  <si>
    <t>TSS Removal</t>
  </si>
  <si>
    <t>BOD removal</t>
  </si>
  <si>
    <t>Nh4 removal</t>
  </si>
  <si>
    <t>%</t>
  </si>
  <si>
    <t>Based on BS standard</t>
  </si>
  <si>
    <t>COD (kg/d)</t>
  </si>
  <si>
    <t>Sediment tank Performance</t>
  </si>
  <si>
    <t>Metcalfe and Eddy Vol 1 5th p391</t>
  </si>
  <si>
    <t>R = HRT / (a + b HRT )</t>
  </si>
  <si>
    <t>Please note here the removal will be based on the average HRT rather than the peak HRT</t>
  </si>
  <si>
    <t>a</t>
  </si>
  <si>
    <t>b</t>
  </si>
  <si>
    <t>HRT is in hours for the formula</t>
  </si>
  <si>
    <t>Average HRT</t>
  </si>
  <si>
    <t>Flow kg/d</t>
  </si>
  <si>
    <t>Effluent</t>
  </si>
  <si>
    <t>Eff Conc</t>
  </si>
  <si>
    <t>What values can I get for this</t>
  </si>
  <si>
    <t>Or do I use a different production vale</t>
  </si>
  <si>
    <t>Yes</t>
  </si>
  <si>
    <t>kg SS / kg BOD</t>
  </si>
  <si>
    <t>This is added to the effluent</t>
  </si>
  <si>
    <t>Final Effluent</t>
  </si>
  <si>
    <t>Oxygen</t>
  </si>
  <si>
    <t>Metcalfe and Eddy</t>
  </si>
  <si>
    <t>=0.8Q (BODe - BODi) Cpq * 1.5</t>
  </si>
  <si>
    <t>Cpq = Qmax / Qav</t>
  </si>
  <si>
    <t>Aeration Requirements (kg O2 /d)</t>
  </si>
  <si>
    <t>BODi</t>
  </si>
  <si>
    <t>dBOD</t>
  </si>
  <si>
    <t>Cpq</t>
  </si>
  <si>
    <t>kg O2 d-1</t>
  </si>
  <si>
    <t>Treatment Height</t>
  </si>
  <si>
    <t>Organic Load</t>
  </si>
  <si>
    <t>gCOD/m2/d</t>
  </si>
  <si>
    <t>No. of SCB2-318 blowers</t>
  </si>
  <si>
    <t>Power Requirement (kW)</t>
  </si>
  <si>
    <t>Holding Tank Sizing</t>
  </si>
  <si>
    <t>Sludsge Density</t>
  </si>
  <si>
    <t>PT TSS kg/d</t>
  </si>
  <si>
    <t>HT TSS kg/d</t>
  </si>
  <si>
    <t>PT Sludge (m3/d)</t>
  </si>
  <si>
    <t>HT Sludge (m3/d)</t>
  </si>
  <si>
    <t>Total Sludge Generation (m3/d)</t>
  </si>
  <si>
    <t>Storage Quantity (m3)</t>
  </si>
  <si>
    <t>Safety 10%</t>
  </si>
  <si>
    <t>General Design</t>
  </si>
  <si>
    <t>Three overground tanks</t>
  </si>
  <si>
    <t>To save pumping the sludge storage is buried</t>
  </si>
  <si>
    <t>These Will be based on Cesspools</t>
  </si>
  <si>
    <t>So this requires two accutated vavles and a control panel</t>
  </si>
  <si>
    <t>Other safety equipment</t>
  </si>
  <si>
    <t>System Design</t>
  </si>
  <si>
    <t>Sectional GRP tanks</t>
  </si>
  <si>
    <t>Media m3</t>
  </si>
  <si>
    <t>Cesspool Min</t>
  </si>
  <si>
    <t>Pumps</t>
  </si>
  <si>
    <t>Power (kW)</t>
  </si>
  <si>
    <t>Headspace</t>
  </si>
  <si>
    <t>Cesspool Costing</t>
  </si>
  <si>
    <t>Vol</t>
  </si>
  <si>
    <t>https://www.drainstore.com/septic-sewage-storage/cesspool-tanks/cesspool-silage-tanks-up-to-10000-litres/?orderby=price&amp;paged=1</t>
  </si>
  <si>
    <t>https://www.drainstore.com/septic-sewage-storage/cesspool-tanks/cesspool-silage-tanks-up-to-10000-litres/?orderby=price&amp;paged=2</t>
  </si>
  <si>
    <t>https://www.drainstore.com/septic-sewage-storage/cesspool-tanks/cesspool-silage-tanks-up-to-10000-litres/?orderby=price&amp;paged=3</t>
  </si>
  <si>
    <t>https://www.drainstore.com/septic-sewage-storage/cesspool-tanks/cesspool-silage-tanks-up-to-10000-litres/?orderby=price&amp;paged=4</t>
  </si>
  <si>
    <t>https://www.drainstore.com/septic-sewage-storage/cesspool-tanks/cesspool-silage-tanks-up-to-10000-litres/?orderby=price&amp;paged=5</t>
  </si>
  <si>
    <t>https://www.drainstore.com/septic-sewage-storage/cesspool-tanks/cesspool-silage-tanks-up-to-10000-litres/?orderby=price&amp;paged=6</t>
  </si>
  <si>
    <t>https://www.drainstore.com/septic-sewage-storage/cesspool-tanks/cesspool-silage-tanks-up-to-10000-litres/?orderby=price&amp;paged=7</t>
  </si>
  <si>
    <t>https://www.drainstore.com/septic-sewage-storage/cesspool-tanks/cesspool-silage-tanks-up-to-10000-litres/?orderby=price&amp;paged=8</t>
  </si>
  <si>
    <t>https://www.drainstore.com/septic-sewage-storage/cesspool-tanks/cesspool-silage-tanks-up-to-10000-litres/?orderby=price&amp;paged=9</t>
  </si>
  <si>
    <t>https://www.drainstore.com/septic-sewage-storage/cesspool-tanks/cesspool-silage-tanks-up-to-10000-litres/?orderby=price&amp;paged=10</t>
  </si>
  <si>
    <t>https://www.drainstore.com/septic-sewage-storage/cesspool-tanks/cesspool-silage-tanks-up-to-10000-litres/?orderby=price&amp;paged=11</t>
  </si>
  <si>
    <t>https://www.drainstore.com/septic-sewage-storage/cesspool-tanks/cesspool-silage-tanks-up-to-10000-litres/?orderby=price&amp;paged=12</t>
  </si>
  <si>
    <t>https://www.drainstore.com/septic-sewage-storage/cesspool-tanks/cesspool-silage-tanks-up-to-10000-litres/?orderby=price&amp;paged=13</t>
  </si>
  <si>
    <t>https://www.drainstore.com/septic-sewage-storage/cesspool-tanks/cesspool-silage-tanks-up-to-10000-litres/?orderby=price&amp;paged=14</t>
  </si>
  <si>
    <t>https://www.drainstore.com/septic-sewage-storage/cesspool-tanks/cesspool-silage-tanks-up-to-10000-litres/?orderby=price&amp;paged=15</t>
  </si>
  <si>
    <t>https://www.drainstore.com/septic-sewage-storage/cesspool-tanks/cesspool-silage-tanks-up-to-10000-litres/?orderby=price&amp;paged=16</t>
  </si>
  <si>
    <t>https://www.drainstore.com/septic-sewage-storage/cesspool-tanks/cesspool-silage-tanks-up-to-10000-litres/?orderby=price&amp;paged=17</t>
  </si>
  <si>
    <t>https://www.tanksforeverything.co.uk/waste-water/cesspools/clearwater-2800-litre-cesspool</t>
  </si>
  <si>
    <t>https://www.tanksforeverything.co.uk/waste-water/cesspools/atlantis-1800-litre-underground-cesspool-ces.1800</t>
  </si>
  <si>
    <t>Including high level alarm</t>
  </si>
  <si>
    <t>https://www.tanksforeverything.co.uk/waste-water/cesspools/clearwater-4600-litre-cesspool-with-lid-and-frame</t>
  </si>
  <si>
    <t>Power (MWh yr-1)</t>
  </si>
  <si>
    <t>ABR-AHF gravity fed</t>
  </si>
  <si>
    <t>ABR-AHF pumped fed</t>
  </si>
  <si>
    <t>ABR-VF pumped fed</t>
  </si>
  <si>
    <t>Qav (m3/d)</t>
  </si>
  <si>
    <t>Storage Time</t>
  </si>
  <si>
    <t>General Guide</t>
  </si>
  <si>
    <t>1 pump set to Qav</t>
  </si>
  <si>
    <t>1 pump to boost outflow to 3 DWF</t>
  </si>
  <si>
    <t>Main Pump Flow</t>
  </si>
  <si>
    <t>Wet Well Volume (m3)</t>
  </si>
  <si>
    <t>Booster Pump</t>
  </si>
  <si>
    <t>Bypass Pump</t>
  </si>
  <si>
    <t>1 Bypass pump able to discharge an additional 3 DWF</t>
  </si>
  <si>
    <t>Sewage Pumps</t>
  </si>
  <si>
    <t>L/min</t>
  </si>
  <si>
    <t>all at 230 v</t>
  </si>
  <si>
    <t>Acessed</t>
  </si>
  <si>
    <t>Max Flow rate (l/min)</t>
  </si>
  <si>
    <t>Clarke HSEC</t>
  </si>
  <si>
    <t>https://www.pumpsalesdirect.co.uk/clarke-hsec-650a-230v.html</t>
  </si>
  <si>
    <t>Clarke SWP900A</t>
  </si>
  <si>
    <t>https://www.pumpsalesdirect.co.uk/clarke-swp900a-heavy-duty-submersible-sewage-pump-with-float-switch-230v.html</t>
  </si>
  <si>
    <t>DAB Feka</t>
  </si>
  <si>
    <t>https://www.pumpsalesdirect.co.uk/dab-feka-vs-550-ma.html</t>
  </si>
  <si>
    <t>JS 650 SV</t>
  </si>
  <si>
    <t>https://www.pumpsalesdirect.co.uk/js-650sv-auto-230v.html</t>
  </si>
  <si>
    <t>Pedrollo VXM</t>
  </si>
  <si>
    <t>https://www.pumpsalesdirect.co.uk/pedrollo-vxm-8-50.html</t>
  </si>
  <si>
    <t>Hippo 50</t>
  </si>
  <si>
    <t>https://www.jtpumps.co.uk/hippo-50-heavy-duty-sewage-submersible-pump-6m-lift-605-p.asp</t>
  </si>
  <si>
    <t>Clarke HSEC 650A</t>
  </si>
  <si>
    <t>https://www.machinemart.co.uk/p/clarke-2inch-industrial-submersible-water-pump/</t>
  </si>
  <si>
    <t>https://www.machinemart.co.uk/p/clarke-swp900a-1-5-stainless-steel-submersibl/</t>
  </si>
  <si>
    <t>Other fitting requirements</t>
  </si>
  <si>
    <t>Control valve</t>
  </si>
  <si>
    <t>High level alarm</t>
  </si>
  <si>
    <t>for each pump and the feed</t>
  </si>
  <si>
    <t>APP SV 150A</t>
  </si>
  <si>
    <t>https://floodandwaterpumps.co.uk/app-sv-submersible-stainless-steel-pump-4354-p.asp</t>
  </si>
  <si>
    <t>APP SV 250A</t>
  </si>
  <si>
    <t>Non return valve</t>
  </si>
  <si>
    <t>https://www.screwfix.com/p/mcalpine-s28m-nrv-non-return-valve-white-32mm/890hr</t>
  </si>
  <si>
    <t>32mm</t>
  </si>
  <si>
    <t>Control Valve</t>
  </si>
  <si>
    <t>https://uk.rs-online.com/web/p/gate-valves/2610334</t>
  </si>
  <si>
    <t>High level alarm and Control</t>
  </si>
  <si>
    <t>https://uk.rs-online.com/web/p/float-switches/1919505/?cm_mmc=UK-PLA-DS3A-_-google-_-CSS_UK_EN_Automation_%26_Control_Gear_Whoop-_-Float+Switches_Whoop+(2)-_-1919505&amp;matchtype=&amp;aud-831714891576:pla-352531143074&amp;gclid=CjwKCAiAm7OMBhAQEiwArvGi3LHhAAQIcFQ1rKhVKmm3k250IW-pKfOQSqpZISiXHUfm11UtUYrxpxoCzDkQAvD_BwE&amp;gclsrc=aw.ds</t>
  </si>
  <si>
    <t>Dosing</t>
  </si>
  <si>
    <t>Doses</t>
  </si>
  <si>
    <t>secs</t>
  </si>
  <si>
    <t>Total Flow (m3/d)</t>
  </si>
  <si>
    <t>Flow to cell (m3/d)</t>
  </si>
  <si>
    <t>Dose Flowrate (l/min)</t>
  </si>
  <si>
    <t>JS 1500 SV</t>
  </si>
  <si>
    <t>https://www.pumpsalesdirect.co.uk/js-1500-sv-submersible-sewage-vortex-pump-230v.html</t>
  </si>
  <si>
    <t>TT Pumps DGO 200/280</t>
  </si>
  <si>
    <t>https://www.pumpsalesdirect.co.uk/tt-pumps-dgo-200-2-80-submersible-sewage-pump-manual-230v.html</t>
  </si>
  <si>
    <t>No. Per Cell</t>
  </si>
  <si>
    <t>Overall Pump Cost</t>
  </si>
  <si>
    <t>Redundancy Design</t>
  </si>
  <si>
    <t>Double the pumps required for failure and high loads</t>
  </si>
  <si>
    <t>Design and Redundancy</t>
  </si>
  <si>
    <t>No.</t>
  </si>
  <si>
    <t>Overall Price</t>
  </si>
  <si>
    <t>Overall Power (kW)</t>
  </si>
  <si>
    <t>Yearly Usage (kWh)</t>
  </si>
  <si>
    <t>secs per day</t>
  </si>
  <si>
    <t>Yearly hours of pumping</t>
  </si>
  <si>
    <t>Pump Selection</t>
  </si>
  <si>
    <t>Main</t>
  </si>
  <si>
    <t>Booster</t>
  </si>
  <si>
    <t>Bypass</t>
  </si>
  <si>
    <t>Assumed only usage of main pump with nl down time</t>
  </si>
  <si>
    <t>Power Demand (kW)</t>
  </si>
  <si>
    <t>hours in a year</t>
  </si>
  <si>
    <t>MWh yr-1</t>
  </si>
  <si>
    <t>M BOD</t>
  </si>
  <si>
    <t>M NH4</t>
  </si>
  <si>
    <t>O2 demand</t>
  </si>
  <si>
    <t>SOC</t>
  </si>
  <si>
    <t>SOC (h-1)</t>
  </si>
  <si>
    <t>Hours</t>
  </si>
  <si>
    <t>SBODi</t>
  </si>
  <si>
    <t>BF VSS</t>
  </si>
  <si>
    <t>Large Size Tanks</t>
  </si>
  <si>
    <t>Sizes;</t>
  </si>
  <si>
    <t>Air Required (m3 h-1)</t>
  </si>
  <si>
    <t>Blower Power Rating (kW)</t>
  </si>
  <si>
    <t>Shallow Dig, 34 m3</t>
  </si>
  <si>
    <t>Tanks for Everythin</t>
  </si>
  <si>
    <t xml:space="preserve">https://www.tanksforeverything.co.uk/waste-water/septic-tanks/clearwater-34000-litre-septic-tank-p?sort=p.price&amp;order=DESC  </t>
  </si>
  <si>
    <t>Shallow Dig, 46m3</t>
  </si>
  <si>
    <t>Correspondence</t>
  </si>
  <si>
    <t>Shallow Dig, 38 m3</t>
  </si>
  <si>
    <t>Shallow Dig, 59m3</t>
  </si>
  <si>
    <t>Shallow Dig, 4m3</t>
  </si>
  <si>
    <t>Premier Tech Aqua - 4,000 litre HDPE low profile Septic Tank - Drainstore</t>
  </si>
  <si>
    <t>Septic Tank 4m3</t>
  </si>
  <si>
    <t>Operational (1 year) (£)</t>
  </si>
  <si>
    <t>Pinlth</t>
  </si>
  <si>
    <t>Conrete</t>
  </si>
  <si>
    <t>GRP tank</t>
  </si>
  <si>
    <t>l</t>
  </si>
  <si>
    <t>https://www.tanksforeverything.co.uk/waste-water/cesspools/atlantis-2600-litre-underground-cesspool-ces.2600?sort=p.price&amp;order=ASC</t>
  </si>
  <si>
    <t>https://www.tanksforeverything.co.uk/waste-water/cesspools/atlantis-1800-litre-underground-cesspool-ces.1800?sort=p.price&amp;order=ASC</t>
  </si>
  <si>
    <t>1800 L Cesspool</t>
  </si>
  <si>
    <t>2600 L Cesspool</t>
  </si>
  <si>
    <t>Tanksforeverythinh</t>
  </si>
  <si>
    <t>Weight</t>
  </si>
  <si>
    <t>Excess width</t>
  </si>
  <si>
    <t>Excess depth</t>
  </si>
  <si>
    <t>Pall Rings</t>
  </si>
  <si>
    <t>https://www.alibaba.com/pla/plastic-pall-ring-PP-PE-RPP_60713885729.html?mark=google_shopping&amp;biz=pla&amp;pcy=GB&amp;searchText=Plastic+Pall+Ring+++Pp+Pe+Rpp+Cpvc+Pall+Ring&amp;product_id=60713885729&amp;src=sem_ggl&amp;from=sem_ggl&amp;cmpgn=12058145687&amp;adgrp=115623119665&amp;fditm=&amp;tgt=pla-1125668278518&amp;locintrst=&amp;locphyscl=1006951&amp;mtchtyp=&amp;ntwrk=u&amp;device=c&amp;dvcmdl=&amp;creative=491036487823&amp;plcmnt=&amp;plcmntcat=&amp;p1=&amp;p2=&amp;aceid=&amp;position=&amp;localKeyword=&amp;pla_prdid=60713885729&amp;pla_country=GB&amp;pla_lang=en&amp;gclid=EAIaIQobChMItrS7hcTR9AIVRe7tCh3HRwNjEAYYAiABEgJN1PD_BwE</t>
  </si>
  <si>
    <t>Alibaba</t>
  </si>
  <si>
    <t>Control Panel</t>
  </si>
  <si>
    <t>Acuated Valves</t>
  </si>
  <si>
    <t>Sludge Reader</t>
  </si>
  <si>
    <t>High Level Alarm</t>
  </si>
  <si>
    <t xml:space="preserve">https://www.tanksforeverything.co.uk/waste-water/cesspools/clearwater-2800-litre-cesspool </t>
  </si>
  <si>
    <t>THESE ARE BAD!</t>
  </si>
  <si>
    <t>Actuated Valve</t>
  </si>
  <si>
    <t>Valve Actuator</t>
  </si>
  <si>
    <t>RS PRO</t>
  </si>
  <si>
    <t>https://uk.rs-online.com/web/p/valve-actuators/8125217</t>
  </si>
  <si>
    <t>2" Brass Valve</t>
  </si>
  <si>
    <t>https://uk.rs-online.com/web/p/gate-valves/5103867</t>
  </si>
  <si>
    <t>https://www.tanks-direct.co.uk/high-level-alarm-for-sewage-pumping-station-cw-float/p3142</t>
  </si>
  <si>
    <t>Tanks direct</t>
  </si>
  <si>
    <t>Sludge Level Detection</t>
  </si>
  <si>
    <t>https://uk.rs-online.com/web/p/level-sensors/8044140/?cm_mmc=UK-PLA-DS3A-_-google-_-CSS_UK_EN_Automation_%26_Control_Gear_Whoop-_-Level+Sensors_Whoop+(2)-_-8044140&amp;matchtype=&amp;pla-301058315219&amp;gclid=EAIaIQobChMItZv9xM_R9AIVC5ftCh1w0g_CEAQYCCABEgKP_vD_BwE&amp;gclsrc=aw.ds</t>
  </si>
  <si>
    <t>https://uk.rs-online.com/web/p/plcs-programmable-logic-controllers/2097104/</t>
  </si>
  <si>
    <t>No.Prongs</t>
  </si>
  <si>
    <t>Tank Auxiliries (eg Ladders)</t>
  </si>
  <si>
    <t>Within error ignore</t>
  </si>
  <si>
    <t xml:space="preserve">https://www.tanksforeverything.co.uk/waste-water/cesspools/clearwater-3800-litre-cesspool-with-lid-and-frame </t>
  </si>
  <si>
    <t xml:space="preserve">https://www.tanksforeverything.co.uk/waste-water/cesspools/atlantis-5200-litre-underground-cesspool-ces.5200 </t>
  </si>
  <si>
    <t xml:space="preserve">https://www.drainstore.com/septic-sewage-storage/cesspool-tanks/cesspool-silage-tanks-up-to-10000-litres/klargester-clearwater-kingspan-5700-litre-shallow-dig-cesspool-copy/ </t>
  </si>
  <si>
    <t>Capital Cost</t>
  </si>
  <si>
    <t>ABR-Ex</t>
  </si>
  <si>
    <t>STS</t>
  </si>
  <si>
    <t>CAPEX</t>
  </si>
  <si>
    <t>1 year OPEX</t>
  </si>
  <si>
    <t xml:space="preserve">Soil Summary </t>
  </si>
  <si>
    <t>Glendell 2021</t>
  </si>
  <si>
    <t>Sandy Loam</t>
  </si>
  <si>
    <t>Loam</t>
  </si>
  <si>
    <t>Clay Loam</t>
  </si>
  <si>
    <t>Silty Clay</t>
  </si>
  <si>
    <t>Heavy Clay, Clay</t>
  </si>
  <si>
    <t>&gt;5</t>
  </si>
  <si>
    <t>Risk Rating</t>
  </si>
  <si>
    <t>Permeability rate cm hr-1</t>
  </si>
  <si>
    <t>&gt;100</t>
  </si>
  <si>
    <t>&gt;0.3</t>
  </si>
  <si>
    <t>Hydraulic Conductivity (m/h)</t>
  </si>
  <si>
    <t>This is from</t>
  </si>
  <si>
    <t>Mulqueen and Rodgers</t>
  </si>
  <si>
    <t>Kfs (m/d)</t>
  </si>
  <si>
    <t>Out of bounds</t>
  </si>
  <si>
    <t>Approximated</t>
  </si>
  <si>
    <t>very rough</t>
  </si>
  <si>
    <t>15 - 30</t>
  </si>
  <si>
    <t>Sandy Soil</t>
  </si>
  <si>
    <t>Loamy</t>
  </si>
  <si>
    <t>Clay like</t>
  </si>
  <si>
    <t>40 - 70</t>
  </si>
  <si>
    <t>80 -100</t>
  </si>
  <si>
    <t>STS - Sandy</t>
  </si>
  <si>
    <t>STS - Clay like</t>
  </si>
  <si>
    <t>STS - Loamy</t>
  </si>
  <si>
    <t>Discount Rate</t>
  </si>
  <si>
    <t>OPEX</t>
  </si>
  <si>
    <t>Cost per trip</t>
  </si>
  <si>
    <t>Yearly Cost</t>
  </si>
  <si>
    <t>Yearly Cost if every 7 years</t>
  </si>
  <si>
    <t>Every 6 months</t>
  </si>
  <si>
    <t>10 year OPEX</t>
  </si>
  <si>
    <t>10 year Costs</t>
  </si>
  <si>
    <t>25 year OPEX</t>
  </si>
  <si>
    <t>25 year Costs</t>
  </si>
  <si>
    <t>25 year Costs per PE per year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</si>
  <si>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</si>
  <si>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</si>
  <si>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</si>
  <si>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</si>
  <si>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</si>
  <si>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</si>
  <si>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</si>
  <si>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</si>
  <si>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</si>
  <si>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</si>
  <si>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</si>
  <si>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</si>
  <si>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</si>
  <si>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</si>
  <si>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</si>
  <si>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</si>
  <si>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</si>
  <si>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</si>
  <si>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</si>
  <si>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</si>
  <si>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</si>
  <si>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</si>
  <si>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</si>
  <si>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</si>
  <si>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</si>
  <si>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</si>
  <si>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</si>
  <si>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</si>
  <si>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</si>
  <si>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</si>
  <si>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</si>
  <si>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</si>
  <si>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</si>
  <si>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Road Costs!</t>
  </si>
  <si>
    <t>Needs Improving</t>
  </si>
  <si>
    <t>Bitmac</t>
  </si>
  <si>
    <t>per square m</t>
  </si>
  <si>
    <t>https://www.checkatrade.com/blog/cost-guides/road-construction-cost/</t>
  </si>
  <si>
    <t>Road width</t>
  </si>
  <si>
    <t>Road Cost</t>
  </si>
  <si>
    <t>per km</t>
  </si>
  <si>
    <t>Gravel Track</t>
  </si>
  <si>
    <t>Surface Water Pipework</t>
  </si>
  <si>
    <t>https://www.myjobquote.co.uk/costs/gravel-driveway-costs</t>
  </si>
  <si>
    <t>Dry Vp</t>
  </si>
  <si>
    <t>Wet VP</t>
  </si>
  <si>
    <t>Ex Vat</t>
  </si>
  <si>
    <t>https://www.tanks-direct.co.uk/water-tanks/grp-tanks/sectional-grp-tanks/c925</t>
  </si>
  <si>
    <t>Other Considerations</t>
  </si>
  <si>
    <t>A bund capable of holding entire volume</t>
  </si>
  <si>
    <t>Emergency pump</t>
  </si>
  <si>
    <t>Channel Drainage</t>
  </si>
  <si>
    <t>Selection</t>
  </si>
  <si>
    <t>https://www.drainagesuperstore.co.uk/product/aco-multidrain-m100d-135mm-x-150mm-x-1000mm.html</t>
  </si>
  <si>
    <t>£ per m</t>
  </si>
  <si>
    <t>Drainage Requirements</t>
  </si>
  <si>
    <t>total</t>
  </si>
  <si>
    <t>Drainage m</t>
  </si>
  <si>
    <t>Excavation (m3)</t>
  </si>
  <si>
    <t>Concrete underlay</t>
  </si>
  <si>
    <t>Bund</t>
  </si>
  <si>
    <t>Min Bund Vol</t>
  </si>
  <si>
    <t>https://www.tanksforeverything.co.uk/waste-water/cesspools/premier-tech-70000-litre-cesspool-cp70-p?sort=p.price&amp;order=DESC</t>
  </si>
  <si>
    <t>https://www.tanksforeverything.co.uk/waste-water/cesspools/clearwater-59000-litre-cesspool-p?sort=p.price&amp;order=DESC</t>
  </si>
  <si>
    <t>https://www.tanksforeverything.co.uk/waste-water/cesspools/premier-tech-50000-litre-cesspool-cp50-p?sort=p.price&amp;order=DESC</t>
  </si>
  <si>
    <t>https://www.tanksforeverything.co.uk/waste-water/cesspools/clearwater-46000-litre-cesspool-p?sort=p.price&amp;order=DESC</t>
  </si>
  <si>
    <t>https://www.tanksforeverything.co.uk/waste-water/cesspools/clearwater-38000-litre-cesspool-p?sort=p.price&amp;order=DESC</t>
  </si>
  <si>
    <t>https://www.tanksforeverything.co.uk/waste-water/cesspools/clearwater-26000-litre-cesspool-456-p?sort=p.price&amp;order=DESC</t>
  </si>
  <si>
    <t>https://www.tanksforeverything.co.uk/waste-water/cesspools/premier-tech-18000-litre-cesspool-cp18-p?sort=p.price&amp;order=DESC</t>
  </si>
  <si>
    <t>Excess each side</t>
  </si>
  <si>
    <t>Drain</t>
  </si>
  <si>
    <t>Drain Pipe</t>
  </si>
  <si>
    <t>Cost of Tank</t>
  </si>
  <si>
    <t>No of Tanks</t>
  </si>
  <si>
    <t>Costs</t>
  </si>
  <si>
    <t>*</t>
  </si>
  <si>
    <t>* SAF 500 PE</t>
  </si>
  <si>
    <t>Auxilaries</t>
  </si>
  <si>
    <t>= 940.07x0.6353</t>
  </si>
  <si>
    <t>Tanks</t>
  </si>
  <si>
    <t>Total Tank Cost</t>
  </si>
  <si>
    <t>L:W Ratio</t>
  </si>
  <si>
    <t>Legnth</t>
  </si>
  <si>
    <t>OVERALL</t>
  </si>
  <si>
    <t>Dif</t>
  </si>
  <si>
    <t>ABR sizes</t>
  </si>
  <si>
    <t>Exc</t>
  </si>
  <si>
    <t>Conc</t>
  </si>
  <si>
    <t>Tank + Pump</t>
  </si>
  <si>
    <t>Months</t>
  </si>
  <si>
    <t>Per Year</t>
  </si>
  <si>
    <t>Min</t>
  </si>
  <si>
    <t>Sludge</t>
  </si>
  <si>
    <t>Tankering up to 9m3</t>
  </si>
  <si>
    <t>Operation Cost</t>
  </si>
  <si>
    <t>Accounting for increased sludge levels</t>
  </si>
  <si>
    <t>3 times the fill</t>
  </si>
  <si>
    <t>Power kW</t>
  </si>
  <si>
    <t>Power Demand kWh</t>
  </si>
  <si>
    <t>Tank Mass Curve</t>
  </si>
  <si>
    <t>Based On Premier Tech GRP Tanks</t>
  </si>
  <si>
    <t>Premier Tech 3000 litre cesspool | CP3| Tanks For Everything</t>
  </si>
  <si>
    <t>The Brochure</t>
  </si>
  <si>
    <t>48.797x^0.9108</t>
  </si>
  <si>
    <t>Where is this from?</t>
  </si>
  <si>
    <t>Double check this</t>
  </si>
  <si>
    <t>Extrapolation of prefab blower requirements</t>
  </si>
  <si>
    <t>w</t>
  </si>
  <si>
    <t>Requirement</t>
  </si>
  <si>
    <t>m3 d-1</t>
  </si>
  <si>
    <t>NPV</t>
  </si>
  <si>
    <t>t</t>
  </si>
  <si>
    <t>Discout Rate</t>
  </si>
  <si>
    <t>Operational Cost</t>
  </si>
  <si>
    <t>Desludging every 12 months</t>
  </si>
  <si>
    <t>Desludging every 3 months</t>
  </si>
  <si>
    <t xml:space="preserve">Desludging </t>
  </si>
  <si>
    <t>Overall Cost</t>
  </si>
  <si>
    <t>Capital</t>
  </si>
  <si>
    <t>vp</t>
  </si>
  <si>
    <t>Mid</t>
  </si>
  <si>
    <t xml:space="preserve">Low </t>
  </si>
  <si>
    <t>5-600</t>
  </si>
  <si>
    <t>800 - 100</t>
  </si>
  <si>
    <t>CSA</t>
  </si>
  <si>
    <t>Overall Costing</t>
  </si>
  <si>
    <t>Lifetime</t>
  </si>
  <si>
    <t>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</si>
</sst>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&quot;£&quot;#,##0.00"/>
    <numFmt numFmtId="166" formatCode="0.0000"/>
    <numFmt numFmtId="167" formatCode="d/m/yy;@"/>
    <numFmt numFmtId="168" formatCode="0.000"/>
    <numFmt numFmtId="169" formatCode="&quot;£&quot;#,##0"/>
  </numFmts>
  <fonts count="2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onsolas"/>
      <family val="3"/>
    </font>
    <font>
      <sz val="10"/>
      <color rgb="FFAA04F9"/>
      <name val="Consolas"/>
      <family val="3"/>
    </font>
    <font>
      <sz val="10"/>
      <color rgb="FF028009"/>
      <name val="Consolas"/>
      <family val="3"/>
    </font>
    <font>
      <vertAlign val="superscript"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onsolas"/>
      <family val="3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DEA40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18" fillId="0" borderId="0"/>
  </cellStyleXfs>
  <cellXfs count="181">
    <xf numFmtId="0" fontId="0" fillId="0" borderId="0" xfId="0"/>
    <xf numFmtId="2" fontId="0" fillId="0" borderId="0" xfId="0" applyNumberFormat="1"/>
    <xf numFmtId="0" fontId="0" fillId="0" borderId="0" xfId="0" quotePrefix="1"/>
    <xf numFmtId="0" fontId="0" fillId="0" borderId="1" xfId="0" applyBorder="1"/>
    <xf numFmtId="0" fontId="1" fillId="0" borderId="0" xfId="1"/>
    <xf numFmtId="1" fontId="0" fillId="0" borderId="0" xfId="0" applyNumberFormat="1"/>
    <xf numFmtId="0" fontId="2" fillId="0" borderId="0" xfId="0" applyFont="1"/>
    <xf numFmtId="164" fontId="0" fillId="0" borderId="0" xfId="0" applyNumberFormat="1"/>
    <xf numFmtId="0" fontId="3" fillId="0" borderId="2" xfId="0" applyFont="1" applyBorder="1" applyAlignment="1">
      <alignment vertical="center" wrapText="1"/>
    </xf>
    <xf numFmtId="165" fontId="0" fillId="0" borderId="0" xfId="0" applyNumberFormat="1"/>
    <xf numFmtId="0" fontId="4" fillId="0" borderId="0" xfId="0" applyFont="1"/>
    <xf numFmtId="0" fontId="4" fillId="0" borderId="4" xfId="0" applyFont="1" applyBorder="1"/>
    <xf numFmtId="1" fontId="4" fillId="0" borderId="3" xfId="0" applyNumberFormat="1" applyFont="1" applyBorder="1"/>
    <xf numFmtId="0" fontId="4" fillId="0" borderId="3" xfId="0" applyFont="1" applyBorder="1"/>
    <xf numFmtId="0" fontId="5" fillId="0" borderId="0" xfId="0" applyFont="1"/>
    <xf numFmtId="1" fontId="4" fillId="0" borderId="0" xfId="0" applyNumberFormat="1" applyFont="1"/>
    <xf numFmtId="0" fontId="8" fillId="0" borderId="1" xfId="0" applyFont="1" applyBorder="1"/>
    <xf numFmtId="0" fontId="7" fillId="0" borderId="1" xfId="0" applyFont="1" applyBorder="1"/>
    <xf numFmtId="0" fontId="0" fillId="0" borderId="8" xfId="0" applyBorder="1"/>
    <xf numFmtId="0" fontId="7" fillId="0" borderId="9" xfId="0" applyFont="1" applyBorder="1"/>
    <xf numFmtId="0" fontId="0" fillId="0" borderId="9" xfId="0" applyBorder="1"/>
    <xf numFmtId="166" fontId="0" fillId="0" borderId="0" xfId="0" applyNumberFormat="1"/>
    <xf numFmtId="2" fontId="4" fillId="0" borderId="0" xfId="0" applyNumberFormat="1" applyFont="1"/>
    <xf numFmtId="166" fontId="4" fillId="0" borderId="0" xfId="0" applyNumberFormat="1" applyFont="1"/>
    <xf numFmtId="0" fontId="0" fillId="0" borderId="3" xfId="0" applyBorder="1"/>
    <xf numFmtId="0" fontId="9" fillId="0" borderId="0" xfId="0" applyFon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4" fillId="0" borderId="13" xfId="0" applyFont="1" applyBorder="1"/>
    <xf numFmtId="0" fontId="4" fillId="0" borderId="14" xfId="0" quotePrefix="1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14" fontId="0" fillId="0" borderId="0" xfId="0" applyNumberFormat="1"/>
    <xf numFmtId="14" fontId="9" fillId="0" borderId="0" xfId="0" applyNumberFormat="1" applyFont="1"/>
    <xf numFmtId="0" fontId="11" fillId="0" borderId="0" xfId="1" applyFont="1"/>
    <xf numFmtId="1" fontId="0" fillId="0" borderId="1" xfId="0" applyNumberFormat="1" applyBorder="1"/>
    <xf numFmtId="0" fontId="0" fillId="0" borderId="17" xfId="0" applyBorder="1"/>
    <xf numFmtId="0" fontId="0" fillId="0" borderId="18" xfId="0" applyBorder="1"/>
    <xf numFmtId="0" fontId="7" fillId="0" borderId="17" xfId="0" applyFont="1" applyBorder="1"/>
    <xf numFmtId="1" fontId="0" fillId="0" borderId="3" xfId="0" applyNumberFormat="1" applyBorder="1"/>
    <xf numFmtId="0" fontId="0" fillId="0" borderId="4" xfId="0" applyBorder="1"/>
    <xf numFmtId="167" fontId="0" fillId="0" borderId="0" xfId="0" applyNumberFormat="1"/>
    <xf numFmtId="0" fontId="0" fillId="0" borderId="19" xfId="0" applyBorder="1"/>
    <xf numFmtId="0" fontId="4" fillId="0" borderId="19" xfId="0" applyFont="1" applyBorder="1"/>
    <xf numFmtId="0" fontId="0" fillId="0" borderId="20" xfId="0" applyBorder="1"/>
    <xf numFmtId="1" fontId="0" fillId="0" borderId="4" xfId="0" applyNumberFormat="1" applyBorder="1"/>
    <xf numFmtId="1" fontId="4" fillId="0" borderId="4" xfId="0" applyNumberFormat="1" applyFont="1" applyBorder="1"/>
    <xf numFmtId="0" fontId="4" fillId="0" borderId="20" xfId="0" applyFont="1" applyBorder="1"/>
    <xf numFmtId="0" fontId="0" fillId="0" borderId="21" xfId="0" applyBorder="1"/>
    <xf numFmtId="0" fontId="0" fillId="0" borderId="24" xfId="0" applyBorder="1"/>
    <xf numFmtId="0" fontId="4" fillId="0" borderId="21" xfId="0" applyFont="1" applyBorder="1"/>
    <xf numFmtId="1" fontId="0" fillId="0" borderId="21" xfId="0" applyNumberFormat="1" applyBorder="1"/>
    <xf numFmtId="1" fontId="4" fillId="0" borderId="21" xfId="0" applyNumberFormat="1" applyFont="1" applyBorder="1"/>
    <xf numFmtId="0" fontId="12" fillId="0" borderId="0" xfId="0" applyFont="1"/>
    <xf numFmtId="0" fontId="0" fillId="0" borderId="0" xfId="0" applyAlignment="1">
      <alignment horizontal="right"/>
    </xf>
    <xf numFmtId="9" fontId="0" fillId="0" borderId="0" xfId="0" applyNumberFormat="1"/>
    <xf numFmtId="0" fontId="0" fillId="0" borderId="0" xfId="0" applyAlignment="1">
      <alignment horizontal="left" vertical="center" indent="3"/>
    </xf>
    <xf numFmtId="0" fontId="13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vertical="center" indent="3"/>
    </xf>
    <xf numFmtId="0" fontId="0" fillId="0" borderId="27" xfId="0" applyBorder="1" applyAlignment="1">
      <alignment vertical="center" wrapText="1"/>
    </xf>
    <xf numFmtId="0" fontId="0" fillId="0" borderId="16" xfId="0" applyBorder="1"/>
    <xf numFmtId="0" fontId="0" fillId="0" borderId="2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7" xfId="0" applyBorder="1"/>
    <xf numFmtId="164" fontId="2" fillId="0" borderId="0" xfId="0" applyNumberFormat="1" applyFont="1"/>
    <xf numFmtId="0" fontId="17" fillId="0" borderId="0" xfId="0" applyFont="1"/>
    <xf numFmtId="0" fontId="18" fillId="0" borderId="0" xfId="2"/>
    <xf numFmtId="0" fontId="19" fillId="0" borderId="0" xfId="2" applyFont="1"/>
    <xf numFmtId="0" fontId="0" fillId="2" borderId="0" xfId="0" applyFill="1"/>
    <xf numFmtId="0" fontId="20" fillId="2" borderId="0" xfId="0" applyFont="1" applyFill="1"/>
    <xf numFmtId="168" fontId="18" fillId="0" borderId="0" xfId="2" applyNumberFormat="1"/>
    <xf numFmtId="164" fontId="18" fillId="0" borderId="0" xfId="2" applyNumberFormat="1"/>
    <xf numFmtId="0" fontId="21" fillId="3" borderId="13" xfId="0" applyFont="1" applyFill="1" applyBorder="1"/>
    <xf numFmtId="0" fontId="21" fillId="3" borderId="15" xfId="0" applyFont="1" applyFill="1" applyBorder="1"/>
    <xf numFmtId="0" fontId="0" fillId="4" borderId="0" xfId="0" applyFill="1"/>
    <xf numFmtId="0" fontId="0" fillId="4" borderId="29" xfId="0" applyFill="1" applyBorder="1"/>
    <xf numFmtId="0" fontId="0" fillId="3" borderId="16" xfId="0" applyFill="1" applyBorder="1"/>
    <xf numFmtId="0" fontId="0" fillId="3" borderId="0" xfId="0" applyFill="1"/>
    <xf numFmtId="0" fontId="0" fillId="3" borderId="14" xfId="0" applyFill="1" applyBorder="1"/>
    <xf numFmtId="164" fontId="4" fillId="0" borderId="0" xfId="0" applyNumberFormat="1" applyFont="1"/>
    <xf numFmtId="0" fontId="3" fillId="0" borderId="2" xfId="0" applyFont="1" applyBorder="1" applyAlignment="1">
      <alignment vertical="center"/>
    </xf>
    <xf numFmtId="164" fontId="0" fillId="0" borderId="0" xfId="0" applyNumberFormat="1" applyAlignment="1">
      <alignment horizontal="right"/>
    </xf>
    <xf numFmtId="0" fontId="0" fillId="0" borderId="5" xfId="0" applyBorder="1"/>
    <xf numFmtId="0" fontId="8" fillId="0" borderId="6" xfId="0" applyFont="1" applyBorder="1"/>
    <xf numFmtId="0" fontId="0" fillId="0" borderId="6" xfId="0" applyBorder="1"/>
    <xf numFmtId="0" fontId="7" fillId="0" borderId="6" xfId="0" applyFont="1" applyBorder="1"/>
    <xf numFmtId="0" fontId="0" fillId="0" borderId="30" xfId="0" applyBorder="1"/>
    <xf numFmtId="164" fontId="0" fillId="0" borderId="0" xfId="0" quotePrefix="1" applyNumberFormat="1"/>
    <xf numFmtId="0" fontId="0" fillId="0" borderId="0" xfId="0" applyAlignment="1">
      <alignment horizontal="center"/>
    </xf>
    <xf numFmtId="169" fontId="4" fillId="0" borderId="0" xfId="0" applyNumberFormat="1" applyFont="1"/>
    <xf numFmtId="0" fontId="0" fillId="0" borderId="32" xfId="0" applyBorder="1"/>
    <xf numFmtId="0" fontId="4" fillId="0" borderId="0" xfId="0" applyFont="1" applyAlignment="1">
      <alignment horizontal="center"/>
    </xf>
    <xf numFmtId="0" fontId="0" fillId="0" borderId="33" xfId="0" applyBorder="1"/>
    <xf numFmtId="0" fontId="22" fillId="0" borderId="0" xfId="0" applyFont="1"/>
    <xf numFmtId="20" fontId="0" fillId="0" borderId="0" xfId="0" applyNumberFormat="1"/>
    <xf numFmtId="0" fontId="23" fillId="0" borderId="6" xfId="0" applyFont="1" applyBorder="1"/>
    <xf numFmtId="0" fontId="24" fillId="0" borderId="0" xfId="0" applyFont="1" applyAlignment="1">
      <alignment horizontal="left" vertical="center"/>
    </xf>
    <xf numFmtId="0" fontId="2" fillId="0" borderId="0" xfId="0" quotePrefix="1" applyFont="1"/>
    <xf numFmtId="0" fontId="2" fillId="0" borderId="1" xfId="0" applyFont="1" applyBorder="1"/>
    <xf numFmtId="0" fontId="8" fillId="0" borderId="0" xfId="0" applyFont="1" applyAlignment="1">
      <alignment horizontal="center"/>
    </xf>
    <xf numFmtId="0" fontId="0" fillId="0" borderId="35" xfId="0" applyBorder="1"/>
    <xf numFmtId="1" fontId="0" fillId="0" borderId="8" xfId="0" applyNumberFormat="1" applyBorder="1"/>
    <xf numFmtId="0" fontId="0" fillId="0" borderId="29" xfId="0" applyBorder="1"/>
    <xf numFmtId="0" fontId="0" fillId="0" borderId="38" xfId="0" applyBorder="1"/>
    <xf numFmtId="0" fontId="0" fillId="0" borderId="2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1" fontId="0" fillId="0" borderId="45" xfId="0" applyNumberFormat="1" applyBorder="1"/>
    <xf numFmtId="1" fontId="0" fillId="0" borderId="37" xfId="0" applyNumberFormat="1" applyBorder="1"/>
    <xf numFmtId="1" fontId="0" fillId="0" borderId="46" xfId="0" applyNumberFormat="1" applyBorder="1"/>
    <xf numFmtId="1" fontId="0" fillId="0" borderId="36" xfId="0" applyNumberFormat="1" applyBorder="1"/>
    <xf numFmtId="1" fontId="0" fillId="0" borderId="39" xfId="0" applyNumberFormat="1" applyBorder="1"/>
    <xf numFmtId="0" fontId="0" fillId="0" borderId="27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28" xfId="0" applyBorder="1" applyAlignment="1">
      <alignment vertical="center"/>
    </xf>
    <xf numFmtId="0" fontId="25" fillId="0" borderId="0" xfId="0" applyFont="1"/>
    <xf numFmtId="16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0" xfId="0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" fillId="0" borderId="34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7" fillId="0" borderId="1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43" xfId="0" applyBorder="1" applyAlignment="1">
      <alignment horizontal="center"/>
    </xf>
  </cellXfs>
  <cellStyles count="3">
    <cellStyle name="Hyperlink" xfId="1" builtinId="8"/>
    <cellStyle name="Normal" xfId="0" builtinId="0"/>
    <cellStyle name="Normal 2" xfId="2" xr:uid="{D5436396-AB3A-4286-B7CB-FA851CC6472B}"/>
  </cellStyles>
  <dxfs count="0"/>
  <tableStyles count="0" defaultTableStyle="TableStyleMedium2" defaultPivotStyle="PivotStyleLight16"/>
  <colors>
    <mruColors>
      <color rgb="FFDEA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Tank Cost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Design'!$P$58:$P$119</c:f>
              <c:numCache>
                <c:formatCode>General</c:formatCode>
                <c:ptCount val="62"/>
                <c:pt idx="0">
                  <c:v>1386</c:v>
                </c:pt>
                <c:pt idx="1">
                  <c:v>1674</c:v>
                </c:pt>
                <c:pt idx="2">
                  <c:v>1140</c:v>
                </c:pt>
                <c:pt idx="3">
                  <c:v>1167.5999999999999</c:v>
                </c:pt>
                <c:pt idx="4">
                  <c:v>2014.8</c:v>
                </c:pt>
                <c:pt idx="5">
                  <c:v>1302</c:v>
                </c:pt>
                <c:pt idx="6">
                  <c:v>1339.2</c:v>
                </c:pt>
                <c:pt idx="7">
                  <c:v>1383.6</c:v>
                </c:pt>
                <c:pt idx="8">
                  <c:v>2203.1999999999998</c:v>
                </c:pt>
                <c:pt idx="9">
                  <c:v>1570.8</c:v>
                </c:pt>
                <c:pt idx="10">
                  <c:v>1723.2</c:v>
                </c:pt>
                <c:pt idx="11">
                  <c:v>1773.6</c:v>
                </c:pt>
                <c:pt idx="12">
                  <c:v>2036.4</c:v>
                </c:pt>
                <c:pt idx="13">
                  <c:v>2107.1999999999998</c:v>
                </c:pt>
                <c:pt idx="14">
                  <c:v>2158.8000000000002</c:v>
                </c:pt>
                <c:pt idx="15">
                  <c:v>2548</c:v>
                </c:pt>
                <c:pt idx="16">
                  <c:v>2874</c:v>
                </c:pt>
                <c:pt idx="17">
                  <c:v>2642.4</c:v>
                </c:pt>
                <c:pt idx="18">
                  <c:v>2696.4</c:v>
                </c:pt>
                <c:pt idx="19">
                  <c:v>3056.4</c:v>
                </c:pt>
                <c:pt idx="20">
                  <c:v>3462</c:v>
                </c:pt>
                <c:pt idx="21">
                  <c:v>2782</c:v>
                </c:pt>
                <c:pt idx="22">
                  <c:v>3428.4</c:v>
                </c:pt>
                <c:pt idx="23">
                  <c:v>3202.8</c:v>
                </c:pt>
                <c:pt idx="24">
                  <c:v>3362.4</c:v>
                </c:pt>
                <c:pt idx="25">
                  <c:v>3445.2</c:v>
                </c:pt>
                <c:pt idx="26">
                  <c:v>4773.6000000000004</c:v>
                </c:pt>
                <c:pt idx="27">
                  <c:v>3490.8</c:v>
                </c:pt>
                <c:pt idx="28">
                  <c:v>3572.4</c:v>
                </c:pt>
                <c:pt idx="29">
                  <c:v>4396.8</c:v>
                </c:pt>
                <c:pt idx="30">
                  <c:v>3726</c:v>
                </c:pt>
                <c:pt idx="31">
                  <c:v>3808.8</c:v>
                </c:pt>
                <c:pt idx="32">
                  <c:v>5538</c:v>
                </c:pt>
                <c:pt idx="33">
                  <c:v>4917.6000000000004</c:v>
                </c:pt>
                <c:pt idx="34">
                  <c:v>5000.3999999999996</c:v>
                </c:pt>
                <c:pt idx="35">
                  <c:v>5598</c:v>
                </c:pt>
                <c:pt idx="36">
                  <c:v>5829.6</c:v>
                </c:pt>
                <c:pt idx="37">
                  <c:v>5871.6</c:v>
                </c:pt>
                <c:pt idx="38">
                  <c:v>5954</c:v>
                </c:pt>
                <c:pt idx="39">
                  <c:v>6134.4</c:v>
                </c:pt>
                <c:pt idx="40">
                  <c:v>6372</c:v>
                </c:pt>
                <c:pt idx="41">
                  <c:v>6454.8</c:v>
                </c:pt>
                <c:pt idx="42">
                  <c:v>7177.2</c:v>
                </c:pt>
                <c:pt idx="43">
                  <c:v>7645.2</c:v>
                </c:pt>
                <c:pt idx="44">
                  <c:v>7726.8</c:v>
                </c:pt>
                <c:pt idx="45">
                  <c:v>7128</c:v>
                </c:pt>
                <c:pt idx="46">
                  <c:v>8372.4</c:v>
                </c:pt>
                <c:pt idx="47">
                  <c:v>8454</c:v>
                </c:pt>
                <c:pt idx="48">
                  <c:v>9194.4</c:v>
                </c:pt>
                <c:pt idx="49">
                  <c:v>9922.7999999999993</c:v>
                </c:pt>
                <c:pt idx="50">
                  <c:v>9826.7999999999993</c:v>
                </c:pt>
                <c:pt idx="51">
                  <c:v>10726.8</c:v>
                </c:pt>
                <c:pt idx="52">
                  <c:v>11637.6</c:v>
                </c:pt>
                <c:pt idx="53">
                  <c:v>11462.4</c:v>
                </c:pt>
                <c:pt idx="54">
                  <c:v>12280.8</c:v>
                </c:pt>
                <c:pt idx="55">
                  <c:v>13182</c:v>
                </c:pt>
                <c:pt idx="56">
                  <c:v>13099.2</c:v>
                </c:pt>
                <c:pt idx="57">
                  <c:v>15301.2</c:v>
                </c:pt>
                <c:pt idx="58">
                  <c:v>16114.8</c:v>
                </c:pt>
                <c:pt idx="59">
                  <c:v>14372.4</c:v>
                </c:pt>
                <c:pt idx="60">
                  <c:v>15826.8</c:v>
                </c:pt>
                <c:pt idx="61">
                  <c:v>18202.8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1A-4547-8B2A-6D9050DE7E16}"/>
            </c:ext>
          </c:extLst>
        </c:ser>
        <c:ser>
          <c:idx val="1"/>
          <c:order val="1"/>
          <c:tx>
            <c:v>Modelled Cost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25400" cap="rnd">
                <a:solidFill>
                  <a:schemeClr val="accent6">
                    <a:lumMod val="50000"/>
                  </a:schemeClr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Design'!$Q$58:$Q$119</c:f>
              <c:numCache>
                <c:formatCode>General</c:formatCode>
                <c:ptCount val="62"/>
                <c:pt idx="0">
                  <c:v>562.41330000000005</c:v>
                </c:pt>
                <c:pt idx="1">
                  <c:v>950.26553911472286</c:v>
                </c:pt>
                <c:pt idx="2">
                  <c:v>1225.8012635489538</c:v>
                </c:pt>
                <c:pt idx="3">
                  <c:v>1225.8012635489538</c:v>
                </c:pt>
                <c:pt idx="4">
                  <c:v>1291.4965067099895</c:v>
                </c:pt>
                <c:pt idx="5">
                  <c:v>1291.4965067099895</c:v>
                </c:pt>
                <c:pt idx="6">
                  <c:v>1544.4641428458358</c:v>
                </c:pt>
                <c:pt idx="7">
                  <c:v>1544.4641428458358</c:v>
                </c:pt>
                <c:pt idx="8">
                  <c:v>1605.588976699155</c:v>
                </c:pt>
                <c:pt idx="9">
                  <c:v>1605.588976699155</c:v>
                </c:pt>
                <c:pt idx="10">
                  <c:v>1843.1081804208613</c:v>
                </c:pt>
                <c:pt idx="11">
                  <c:v>1843.1081804208613</c:v>
                </c:pt>
                <c:pt idx="12">
                  <c:v>1900.9302625541663</c:v>
                </c:pt>
                <c:pt idx="13">
                  <c:v>2099.0659590607593</c:v>
                </c:pt>
                <c:pt idx="14">
                  <c:v>2099.0659590607593</c:v>
                </c:pt>
                <c:pt idx="15">
                  <c:v>2182.1401169096625</c:v>
                </c:pt>
                <c:pt idx="16">
                  <c:v>2182.1401169096625</c:v>
                </c:pt>
                <c:pt idx="17">
                  <c:v>2491.7758030452678</c:v>
                </c:pt>
                <c:pt idx="18">
                  <c:v>2491.7758030452678</c:v>
                </c:pt>
                <c:pt idx="19">
                  <c:v>2712.8374711972119</c:v>
                </c:pt>
                <c:pt idx="20">
                  <c:v>2712.8374711972119</c:v>
                </c:pt>
                <c:pt idx="21">
                  <c:v>3003.0524969197154</c:v>
                </c:pt>
                <c:pt idx="22">
                  <c:v>3003.0524969197154</c:v>
                </c:pt>
                <c:pt idx="23">
                  <c:v>3211.8524237700763</c:v>
                </c:pt>
                <c:pt idx="24">
                  <c:v>3211.8524237700763</c:v>
                </c:pt>
                <c:pt idx="25">
                  <c:v>3211.8524237700763</c:v>
                </c:pt>
                <c:pt idx="26">
                  <c:v>3211.8524237700763</c:v>
                </c:pt>
                <c:pt idx="27">
                  <c:v>3686.9906074750102</c:v>
                </c:pt>
                <c:pt idx="28">
                  <c:v>3686.9906074750102</c:v>
                </c:pt>
                <c:pt idx="29">
                  <c:v>4143.1500957700355</c:v>
                </c:pt>
                <c:pt idx="30">
                  <c:v>4365.1968998386228</c:v>
                </c:pt>
                <c:pt idx="31">
                  <c:v>4365.1968998386228</c:v>
                </c:pt>
                <c:pt idx="32">
                  <c:v>5010.952511508096</c:v>
                </c:pt>
                <c:pt idx="33">
                  <c:v>5010.952511508096</c:v>
                </c:pt>
                <c:pt idx="34">
                  <c:v>5010.952511508096</c:v>
                </c:pt>
                <c:pt idx="35">
                  <c:v>5426.814541958378</c:v>
                </c:pt>
                <c:pt idx="36">
                  <c:v>5832.662200733258</c:v>
                </c:pt>
                <c:pt idx="37">
                  <c:v>5832.662200733258</c:v>
                </c:pt>
                <c:pt idx="38">
                  <c:v>5832.662200733258</c:v>
                </c:pt>
                <c:pt idx="39">
                  <c:v>6425.054071612908</c:v>
                </c:pt>
                <c:pt idx="40">
                  <c:v>6618.5966442577619</c:v>
                </c:pt>
                <c:pt idx="41">
                  <c:v>6618.5966442577619</c:v>
                </c:pt>
                <c:pt idx="42">
                  <c:v>7375.5300334594967</c:v>
                </c:pt>
                <c:pt idx="43">
                  <c:v>8108.2228941780277</c:v>
                </c:pt>
                <c:pt idx="44">
                  <c:v>8108.2228941780277</c:v>
                </c:pt>
                <c:pt idx="45">
                  <c:v>8466.6125246798329</c:v>
                </c:pt>
                <c:pt idx="46">
                  <c:v>8820.1877527173892</c:v>
                </c:pt>
                <c:pt idx="47">
                  <c:v>8820.1877527173892</c:v>
                </c:pt>
                <c:pt idx="48">
                  <c:v>9169.2619047054832</c:v>
                </c:pt>
                <c:pt idx="49">
                  <c:v>10024.010006951921</c:v>
                </c:pt>
                <c:pt idx="50">
                  <c:v>10192.117777157981</c:v>
                </c:pt>
                <c:pt idx="51">
                  <c:v>10855.908761763787</c:v>
                </c:pt>
                <c:pt idx="52">
                  <c:v>11506.889442163536</c:v>
                </c:pt>
                <c:pt idx="53">
                  <c:v>11506.889442163536</c:v>
                </c:pt>
                <c:pt idx="54">
                  <c:v>12304.367660375879</c:v>
                </c:pt>
                <c:pt idx="55">
                  <c:v>12461.853273210672</c:v>
                </c:pt>
                <c:pt idx="56">
                  <c:v>12930.5374409306</c:v>
                </c:pt>
                <c:pt idx="57">
                  <c:v>13239.973606145999</c:v>
                </c:pt>
                <c:pt idx="58">
                  <c:v>14003.650694877695</c:v>
                </c:pt>
                <c:pt idx="59">
                  <c:v>14154.768628176853</c:v>
                </c:pt>
                <c:pt idx="60">
                  <c:v>15345.816556388419</c:v>
                </c:pt>
                <c:pt idx="61">
                  <c:v>16075.249348402513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1A-4547-8B2A-6D9050DE7E16}"/>
            </c:ext>
          </c:extLst>
        </c:ser>
        <c:ser>
          <c:idx val="2"/>
          <c:order val="2"/>
          <c:tx>
            <c:v>95% Confidence</c:v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Design'!$R$58:$R$119</c:f>
              <c:numCache>
                <c:formatCode>General</c:formatCode>
                <c:ptCount val="62"/>
                <c:pt idx="0">
                  <c:v>479.61810000000003</c:v>
                </c:pt>
                <c:pt idx="1">
                  <c:v>789.25205105557382</c:v>
                </c:pt>
                <c:pt idx="2">
                  <c:v>1005.1325229288841</c:v>
                </c:pt>
                <c:pt idx="3">
                  <c:v>1005.1325229288841</c:v>
                </c:pt>
                <c:pt idx="4">
                  <c:v>1056.2212431295527</c:v>
                </c:pt>
                <c:pt idx="5">
                  <c:v>1056.2212431295527</c:v>
                </c:pt>
                <c:pt idx="6">
                  <c:v>1251.7801394588223</c:v>
                </c:pt>
                <c:pt idx="7">
                  <c:v>1251.7801394588223</c:v>
                </c:pt>
                <c:pt idx="8">
                  <c:v>1298.7808427067912</c:v>
                </c:pt>
                <c:pt idx="9">
                  <c:v>1298.7808427067912</c:v>
                </c:pt>
                <c:pt idx="10">
                  <c:v>1480.5924057678205</c:v>
                </c:pt>
                <c:pt idx="11">
                  <c:v>1480.5924057678205</c:v>
                </c:pt>
                <c:pt idx="12">
                  <c:v>1524.6684355629552</c:v>
                </c:pt>
                <c:pt idx="13">
                  <c:v>1675.2022034732538</c:v>
                </c:pt>
                <c:pt idx="14">
                  <c:v>1675.2022034732538</c:v>
                </c:pt>
                <c:pt idx="15">
                  <c:v>1738.1011736389169</c:v>
                </c:pt>
                <c:pt idx="16">
                  <c:v>1738.1011736389169</c:v>
                </c:pt>
                <c:pt idx="17">
                  <c:v>1971.5140931911058</c:v>
                </c:pt>
                <c:pt idx="18">
                  <c:v>1971.5140931911058</c:v>
                </c:pt>
                <c:pt idx="19">
                  <c:v>2137.2534605721125</c:v>
                </c:pt>
                <c:pt idx="20">
                  <c:v>2137.2534605721125</c:v>
                </c:pt>
                <c:pt idx="21">
                  <c:v>2353.8173650747231</c:v>
                </c:pt>
                <c:pt idx="22">
                  <c:v>2353.8173650747231</c:v>
                </c:pt>
                <c:pt idx="23">
                  <c:v>2508.9705537546547</c:v>
                </c:pt>
                <c:pt idx="24">
                  <c:v>2508.9705537546547</c:v>
                </c:pt>
                <c:pt idx="25">
                  <c:v>2508.9705537546547</c:v>
                </c:pt>
                <c:pt idx="26">
                  <c:v>2508.9705537546547</c:v>
                </c:pt>
                <c:pt idx="27">
                  <c:v>2860.1921325250555</c:v>
                </c:pt>
                <c:pt idx="28">
                  <c:v>2860.1921325250555</c:v>
                </c:pt>
                <c:pt idx="29">
                  <c:v>3195.2376927964729</c:v>
                </c:pt>
                <c:pt idx="30">
                  <c:v>3357.6447393680405</c:v>
                </c:pt>
                <c:pt idx="31">
                  <c:v>3357.6447393680405</c:v>
                </c:pt>
                <c:pt idx="32">
                  <c:v>3827.6691023667186</c:v>
                </c:pt>
                <c:pt idx="33">
                  <c:v>3827.6691023667186</c:v>
                </c:pt>
                <c:pt idx="34">
                  <c:v>3827.6691023667186</c:v>
                </c:pt>
                <c:pt idx="35">
                  <c:v>4128.7227391728957</c:v>
                </c:pt>
                <c:pt idx="36">
                  <c:v>4421.4070840022086</c:v>
                </c:pt>
                <c:pt idx="37">
                  <c:v>4421.4070840022086</c:v>
                </c:pt>
                <c:pt idx="38">
                  <c:v>4421.4070840022086</c:v>
                </c:pt>
                <c:pt idx="39">
                  <c:v>4846.8017332998679</c:v>
                </c:pt>
                <c:pt idx="40">
                  <c:v>4985.3472275650684</c:v>
                </c:pt>
                <c:pt idx="41">
                  <c:v>4985.3472275650684</c:v>
                </c:pt>
                <c:pt idx="42">
                  <c:v>5525.2877180035175</c:v>
                </c:pt>
                <c:pt idx="43">
                  <c:v>6045.2785126511899</c:v>
                </c:pt>
                <c:pt idx="44">
                  <c:v>6045.2785126511899</c:v>
                </c:pt>
                <c:pt idx="45">
                  <c:v>6298.7524653572909</c:v>
                </c:pt>
                <c:pt idx="46">
                  <c:v>6548.2922968859584</c:v>
                </c:pt>
                <c:pt idx="47">
                  <c:v>6548.2922968859584</c:v>
                </c:pt>
                <c:pt idx="48">
                  <c:v>6794.1616259519706</c:v>
                </c:pt>
                <c:pt idx="49">
                  <c:v>7394.2490923564274</c:v>
                </c:pt>
                <c:pt idx="50">
                  <c:v>7511.9613046860231</c:v>
                </c:pt>
                <c:pt idx="51">
                  <c:v>7975.8211982963758</c:v>
                </c:pt>
                <c:pt idx="52">
                  <c:v>8429.3428825775227</c:v>
                </c:pt>
                <c:pt idx="53">
                  <c:v>8429.3428825775227</c:v>
                </c:pt>
                <c:pt idx="54">
                  <c:v>8983.1741657616658</c:v>
                </c:pt>
                <c:pt idx="55">
                  <c:v>9092.3271329969575</c:v>
                </c:pt>
                <c:pt idx="56">
                  <c:v>9416.7639291209161</c:v>
                </c:pt>
                <c:pt idx="57">
                  <c:v>9630.6389676452491</c:v>
                </c:pt>
                <c:pt idx="58">
                  <c:v>10157.41076979327</c:v>
                </c:pt>
                <c:pt idx="59">
                  <c:v>10261.475526322043</c:v>
                </c:pt>
                <c:pt idx="60">
                  <c:v>11079.760992639356</c:v>
                </c:pt>
                <c:pt idx="61">
                  <c:v>11579.309421193348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1A-4547-8B2A-6D9050DE7E16}"/>
            </c:ext>
          </c:extLst>
        </c:ser>
        <c:ser>
          <c:idx val="3"/>
          <c:order val="3"/>
          <c:tx>
            <c:strRef>
              <c:f>'Septic Tank Design'!$S$57</c:f>
              <c:strCache>
                <c:ptCount val="1"/>
                <c:pt idx="0">
                  <c:v>High Projection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Design'!$S$58:$S$119</c:f>
              <c:numCache>
                <c:formatCode>General</c:formatCode>
                <c:ptCount val="62"/>
                <c:pt idx="0">
                  <c:v>645.20799999999997</c:v>
                </c:pt>
                <c:pt idx="1">
                  <c:v>1119.253036193752</c:v>
                </c:pt>
                <c:pt idx="2">
                  <c:v>1462.3665049366934</c:v>
                </c:pt>
                <c:pt idx="3">
                  <c:v>1462.3665049366934</c:v>
                </c:pt>
                <c:pt idx="4">
                  <c:v>1544.7848612202818</c:v>
                </c:pt>
                <c:pt idx="5">
                  <c:v>1544.7848612202818</c:v>
                </c:pt>
                <c:pt idx="6">
                  <c:v>1864.0337348223327</c:v>
                </c:pt>
                <c:pt idx="7">
                  <c:v>1864.0337348223327</c:v>
                </c:pt>
                <c:pt idx="8">
                  <c:v>1941.586835607947</c:v>
                </c:pt>
                <c:pt idx="9">
                  <c:v>1941.586835607947</c:v>
                </c:pt>
                <c:pt idx="10">
                  <c:v>2244.3064363247422</c:v>
                </c:pt>
                <c:pt idx="11">
                  <c:v>2244.3064363247422</c:v>
                </c:pt>
                <c:pt idx="12">
                  <c:v>2318.3083853080266</c:v>
                </c:pt>
                <c:pt idx="13">
                  <c:v>2572.725738721133</c:v>
                </c:pt>
                <c:pt idx="14">
                  <c:v>2572.725738721133</c:v>
                </c:pt>
                <c:pt idx="15">
                  <c:v>2679.7639616789374</c:v>
                </c:pt>
                <c:pt idx="16">
                  <c:v>2679.7639616789374</c:v>
                </c:pt>
                <c:pt idx="17">
                  <c:v>3080.4683783670926</c:v>
                </c:pt>
                <c:pt idx="18">
                  <c:v>3080.4683783670926</c:v>
                </c:pt>
                <c:pt idx="19">
                  <c:v>3368.1029385686684</c:v>
                </c:pt>
                <c:pt idx="20">
                  <c:v>3368.1029385686684</c:v>
                </c:pt>
                <c:pt idx="21">
                  <c:v>3747.4952156567315</c:v>
                </c:pt>
                <c:pt idx="22">
                  <c:v>3747.4952156567315</c:v>
                </c:pt>
                <c:pt idx="23">
                  <c:v>4021.6080691644311</c:v>
                </c:pt>
                <c:pt idx="24">
                  <c:v>4021.6080691644311</c:v>
                </c:pt>
                <c:pt idx="25">
                  <c:v>4021.6080691644311</c:v>
                </c:pt>
                <c:pt idx="26">
                  <c:v>4021.6080691644311</c:v>
                </c:pt>
                <c:pt idx="27">
                  <c:v>4648.6310622183055</c:v>
                </c:pt>
                <c:pt idx="28">
                  <c:v>4648.6310622183055</c:v>
                </c:pt>
                <c:pt idx="29">
                  <c:v>5254.4552001654165</c:v>
                </c:pt>
                <c:pt idx="30">
                  <c:v>5550.5940677485023</c:v>
                </c:pt>
                <c:pt idx="31">
                  <c:v>5550.5940677485023</c:v>
                </c:pt>
                <c:pt idx="32">
                  <c:v>6416.0066205709018</c:v>
                </c:pt>
                <c:pt idx="33">
                  <c:v>6416.0066205709018</c:v>
                </c:pt>
                <c:pt idx="34">
                  <c:v>6416.0066205709018</c:v>
                </c:pt>
                <c:pt idx="35">
                  <c:v>6976.3503270163737</c:v>
                </c:pt>
                <c:pt idx="36">
                  <c:v>7525.2866590248523</c:v>
                </c:pt>
                <c:pt idx="37">
                  <c:v>7525.2866590248523</c:v>
                </c:pt>
                <c:pt idx="38">
                  <c:v>7525.2866590248523</c:v>
                </c:pt>
                <c:pt idx="39">
                  <c:v>8329.9552537933632</c:v>
                </c:pt>
                <c:pt idx="40">
                  <c:v>8593.67772984771</c:v>
                </c:pt>
                <c:pt idx="41">
                  <c:v>8593.67772984771</c:v>
                </c:pt>
                <c:pt idx="42">
                  <c:v>9628.7077392198171</c:v>
                </c:pt>
                <c:pt idx="43">
                  <c:v>10635.699026515453</c:v>
                </c:pt>
                <c:pt idx="44">
                  <c:v>10635.699026515453</c:v>
                </c:pt>
                <c:pt idx="45">
                  <c:v>11129.953271368602</c:v>
                </c:pt>
                <c:pt idx="46">
                  <c:v>11618.599132614912</c:v>
                </c:pt>
                <c:pt idx="47">
                  <c:v>11618.599132614912</c:v>
                </c:pt>
                <c:pt idx="48">
                  <c:v>12101.990807715265</c:v>
                </c:pt>
                <c:pt idx="49">
                  <c:v>13289.472056510442</c:v>
                </c:pt>
                <c:pt idx="50">
                  <c:v>13523.633496348202</c:v>
                </c:pt>
                <c:pt idx="51">
                  <c:v>14450.111761116292</c:v>
                </c:pt>
                <c:pt idx="52">
                  <c:v>15361.480169103654</c:v>
                </c:pt>
                <c:pt idx="53">
                  <c:v>15361.480169103654</c:v>
                </c:pt>
                <c:pt idx="54">
                  <c:v>16481.465938760462</c:v>
                </c:pt>
                <c:pt idx="55">
                  <c:v>16703.079273263902</c:v>
                </c:pt>
                <c:pt idx="56">
                  <c:v>17363.436305540501</c:v>
                </c:pt>
                <c:pt idx="57">
                  <c:v>17800.081391328917</c:v>
                </c:pt>
                <c:pt idx="58">
                  <c:v>18879.876800611364</c:v>
                </c:pt>
                <c:pt idx="59">
                  <c:v>19093.904819644664</c:v>
                </c:pt>
                <c:pt idx="60">
                  <c:v>20784.711134135698</c:v>
                </c:pt>
                <c:pt idx="61">
                  <c:v>21823.504487947725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21A-4547-8B2A-6D9050DE7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237568"/>
        <c:axId val="1055228416"/>
      </c:scatterChart>
      <c:valAx>
        <c:axId val="105523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228416"/>
        <c:crosses val="autoZero"/>
        <c:crossBetween val="midCat"/>
      </c:valAx>
      <c:valAx>
        <c:axId val="1055228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237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'Sectional GRP Tanks'!$C$38:$C$45</c:f>
              <c:numCache>
                <c:formatCode>General</c:formatCode>
                <c:ptCount val="8"/>
                <c:pt idx="0">
                  <c:v>17.478999999999999</c:v>
                </c:pt>
                <c:pt idx="1">
                  <c:v>23.478000000000005</c:v>
                </c:pt>
                <c:pt idx="2">
                  <c:v>35.28</c:v>
                </c:pt>
                <c:pt idx="3">
                  <c:v>46.431000000000004</c:v>
                </c:pt>
                <c:pt idx="4">
                  <c:v>57.82</c:v>
                </c:pt>
                <c:pt idx="5">
                  <c:v>69.53100000000002</c:v>
                </c:pt>
                <c:pt idx="6">
                  <c:v>91.962499999999991</c:v>
                </c:pt>
                <c:pt idx="7">
                  <c:v>115.05200000000002</c:v>
                </c:pt>
              </c:numCache>
            </c:numRef>
          </c:xVal>
          <c:yVal>
            <c:numRef>
              <c:f>'Sectional GRP Tanks'!$D$38:$D$45</c:f>
              <c:numCache>
                <c:formatCode>General</c:formatCode>
                <c:ptCount val="8"/>
                <c:pt idx="0">
                  <c:v>6295.9652440737491</c:v>
                </c:pt>
                <c:pt idx="1">
                  <c:v>7486.5745357423766</c:v>
                </c:pt>
                <c:pt idx="2">
                  <c:v>9508.3325465411435</c:v>
                </c:pt>
                <c:pt idx="3">
                  <c:v>11171.755077985308</c:v>
                </c:pt>
                <c:pt idx="4">
                  <c:v>12707.055457394274</c:v>
                </c:pt>
                <c:pt idx="5">
                  <c:v>14160.019556528612</c:v>
                </c:pt>
                <c:pt idx="6">
                  <c:v>16685.706859937123</c:v>
                </c:pt>
                <c:pt idx="7">
                  <c:v>19030.489853554696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B8-413B-B035-C0A618BDC7E5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'Sectional GRP Tanks'!$C$38:$C$45</c:f>
              <c:numCache>
                <c:formatCode>General</c:formatCode>
                <c:ptCount val="8"/>
                <c:pt idx="0">
                  <c:v>17.478999999999999</c:v>
                </c:pt>
                <c:pt idx="1">
                  <c:v>23.478000000000005</c:v>
                </c:pt>
                <c:pt idx="2">
                  <c:v>35.28</c:v>
                </c:pt>
                <c:pt idx="3">
                  <c:v>46.431000000000004</c:v>
                </c:pt>
                <c:pt idx="4">
                  <c:v>57.82</c:v>
                </c:pt>
                <c:pt idx="5">
                  <c:v>69.53100000000002</c:v>
                </c:pt>
                <c:pt idx="6">
                  <c:v>91.962499999999991</c:v>
                </c:pt>
                <c:pt idx="7">
                  <c:v>115.05200000000002</c:v>
                </c:pt>
              </c:numCache>
            </c:numRef>
          </c:xVal>
          <c:yVal>
            <c:numRef>
              <c:f>'Sectional GRP Tanks'!$E$38:$E$45</c:f>
              <c:numCache>
                <c:formatCode>General</c:formatCode>
                <c:ptCount val="8"/>
                <c:pt idx="0">
                  <c:v>5782.6363702047611</c:v>
                </c:pt>
                <c:pt idx="1">
                  <c:v>6974.2522467368899</c:v>
                </c:pt>
                <c:pt idx="2">
                  <c:v>9032.5110107620385</c:v>
                </c:pt>
                <c:pt idx="3">
                  <c:v>10753.527678987673</c:v>
                </c:pt>
                <c:pt idx="4">
                  <c:v>12360.824464041802</c:v>
                </c:pt>
                <c:pt idx="5">
                  <c:v>13896.684109781047</c:v>
                </c:pt>
                <c:pt idx="6">
                  <c:v>16596.6598028677</c:v>
                </c:pt>
                <c:pt idx="7">
                  <c:v>19133.554299220563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B8-413B-B035-C0A618BDC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5072863"/>
        <c:axId val="1645307743"/>
      </c:scatterChart>
      <c:valAx>
        <c:axId val="1675072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5307743"/>
        <c:crosses val="autoZero"/>
        <c:crossBetween val="midCat"/>
      </c:valAx>
      <c:valAx>
        <c:axId val="1645307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0728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'GRP Costing'!$V$5:$V$35</c:f>
              <c:numCache>
                <c:formatCode>General</c:formatCode>
                <c:ptCount val="31"/>
                <c:pt idx="0">
                  <c:v>24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12</c:v>
                </c:pt>
                <c:pt idx="12">
                  <c:v>5.625</c:v>
                </c:pt>
                <c:pt idx="13">
                  <c:v>7.5</c:v>
                </c:pt>
                <c:pt idx="14">
                  <c:v>9</c:v>
                </c:pt>
                <c:pt idx="15">
                  <c:v>9</c:v>
                </c:pt>
                <c:pt idx="16">
                  <c:v>7.5</c:v>
                </c:pt>
                <c:pt idx="17">
                  <c:v>6</c:v>
                </c:pt>
                <c:pt idx="18">
                  <c:v>9</c:v>
                </c:pt>
                <c:pt idx="19">
                  <c:v>7.5</c:v>
                </c:pt>
                <c:pt idx="20">
                  <c:v>6</c:v>
                </c:pt>
                <c:pt idx="21">
                  <c:v>24</c:v>
                </c:pt>
                <c:pt idx="22">
                  <c:v>20</c:v>
                </c:pt>
                <c:pt idx="23">
                  <c:v>16</c:v>
                </c:pt>
                <c:pt idx="24">
                  <c:v>12</c:v>
                </c:pt>
                <c:pt idx="25">
                  <c:v>8</c:v>
                </c:pt>
                <c:pt idx="26">
                  <c:v>18</c:v>
                </c:pt>
                <c:pt idx="27">
                  <c:v>15</c:v>
                </c:pt>
                <c:pt idx="28">
                  <c:v>12</c:v>
                </c:pt>
                <c:pt idx="29">
                  <c:v>9</c:v>
                </c:pt>
                <c:pt idx="30">
                  <c:v>6</c:v>
                </c:pt>
              </c:numCache>
            </c:numRef>
          </c:xVal>
          <c:yVal>
            <c:numRef>
              <c:f>'GRP Costing'!$Y$5:$Y$35</c:f>
              <c:numCache>
                <c:formatCode>General</c:formatCode>
                <c:ptCount val="31"/>
                <c:pt idx="0">
                  <c:v>8827.5</c:v>
                </c:pt>
                <c:pt idx="1">
                  <c:v>7933.5</c:v>
                </c:pt>
                <c:pt idx="2">
                  <c:v>6156</c:v>
                </c:pt>
                <c:pt idx="3">
                  <c:v>6693</c:v>
                </c:pt>
                <c:pt idx="4">
                  <c:v>5818.5</c:v>
                </c:pt>
                <c:pt idx="5">
                  <c:v>5623.5</c:v>
                </c:pt>
                <c:pt idx="6">
                  <c:v>5074.5</c:v>
                </c:pt>
                <c:pt idx="7">
                  <c:v>4242</c:v>
                </c:pt>
                <c:pt idx="8">
                  <c:v>4479</c:v>
                </c:pt>
                <c:pt idx="9">
                  <c:v>3142</c:v>
                </c:pt>
                <c:pt idx="10">
                  <c:v>3429</c:v>
                </c:pt>
                <c:pt idx="11">
                  <c:v>5868</c:v>
                </c:pt>
                <c:pt idx="12">
                  <c:v>2533</c:v>
                </c:pt>
                <c:pt idx="13">
                  <c:v>3625.2</c:v>
                </c:pt>
                <c:pt idx="14">
                  <c:v>3883</c:v>
                </c:pt>
                <c:pt idx="15">
                  <c:v>5258.45</c:v>
                </c:pt>
                <c:pt idx="16">
                  <c:v>4113</c:v>
                </c:pt>
                <c:pt idx="17">
                  <c:v>3635</c:v>
                </c:pt>
                <c:pt idx="18">
                  <c:v>4542.3599999999997</c:v>
                </c:pt>
                <c:pt idx="19">
                  <c:v>3534.36</c:v>
                </c:pt>
                <c:pt idx="20">
                  <c:v>3156</c:v>
                </c:pt>
                <c:pt idx="21">
                  <c:v>8827.25</c:v>
                </c:pt>
                <c:pt idx="22">
                  <c:v>7933.5</c:v>
                </c:pt>
                <c:pt idx="23">
                  <c:v>6693</c:v>
                </c:pt>
                <c:pt idx="24">
                  <c:v>5623.5</c:v>
                </c:pt>
                <c:pt idx="25">
                  <c:v>4479</c:v>
                </c:pt>
                <c:pt idx="26">
                  <c:v>6156</c:v>
                </c:pt>
                <c:pt idx="27">
                  <c:v>5818.5</c:v>
                </c:pt>
                <c:pt idx="28">
                  <c:v>5074.5</c:v>
                </c:pt>
                <c:pt idx="29">
                  <c:v>4242</c:v>
                </c:pt>
                <c:pt idx="30">
                  <c:v>3429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CA-4DB3-B320-828788317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7439615"/>
        <c:axId val="1047437535"/>
      </c:scatterChart>
      <c:valAx>
        <c:axId val="1047439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437535"/>
        <c:crosses val="autoZero"/>
        <c:crossBetween val="midCat"/>
      </c:valAx>
      <c:valAx>
        <c:axId val="10474375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4396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65347736854612E-2"/>
          <c:y val="2.5682184840375398E-2"/>
          <c:w val="0.92277277720451634"/>
          <c:h val="0.9372652690916638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4922306914227077"/>
                  <c:y val="-0.234434926576650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y"/>
            <c:errBarType val="both"/>
            <c:errValType val="cust"/>
            <c:noEndCap val="0"/>
            <c:plus>
              <c:numRef>
                <c:f>'GRP Costing'!$P$75:$P$81</c:f>
                <c:numCache>
                  <c:formatCode>General</c:formatCode>
                  <c:ptCount val="7"/>
                  <c:pt idx="0">
                    <c:v>930.44903116988326</c:v>
                  </c:pt>
                  <c:pt idx="1">
                    <c:v>1695.2944803211203</c:v>
                  </c:pt>
                  <c:pt idx="2">
                    <c:v>3039.4076679582777</c:v>
                  </c:pt>
                  <c:pt idx="3">
                    <c:v>4250.9075567422797</c:v>
                  </c:pt>
                  <c:pt idx="4">
                    <c:v>6452.38662977079</c:v>
                  </c:pt>
                  <c:pt idx="5">
                    <c:v>7315.0140045471417</c:v>
                  </c:pt>
                  <c:pt idx="6">
                    <c:v>12904.77325954158</c:v>
                  </c:pt>
                </c:numCache>
              </c:numRef>
            </c:plus>
            <c:minus>
              <c:numRef>
                <c:f>'GRP Costing'!$Q$75:$Q$81</c:f>
                <c:numCache>
                  <c:formatCode>General</c:formatCode>
                  <c:ptCount val="7"/>
                  <c:pt idx="0">
                    <c:v>1137.544268794818</c:v>
                  </c:pt>
                  <c:pt idx="1">
                    <c:v>2209.0287214522168</c:v>
                  </c:pt>
                  <c:pt idx="2">
                    <c:v>4205.9548781979538</c:v>
                  </c:pt>
                  <c:pt idx="3">
                    <c:v>6085.8225205173221</c:v>
                  </c:pt>
                  <c:pt idx="4">
                    <c:v>9632.5567981578497</c:v>
                  </c:pt>
                  <c:pt idx="5">
                    <c:v>10314.662511258368</c:v>
                  </c:pt>
                  <c:pt idx="6">
                    <c:v>19265.113596315699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'GRP Costing'!$G$75:$G$81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'GRP Costing'!$K$75:$K$81</c:f>
              <c:numCache>
                <c:formatCode>General</c:formatCode>
                <c:ptCount val="7"/>
                <c:pt idx="0">
                  <c:v>3279.9541830504932</c:v>
                </c:pt>
                <c:pt idx="1">
                  <c:v>5336.1738229753973</c:v>
                </c:pt>
                <c:pt idx="2">
                  <c:v>8681.4478129463241</c:v>
                </c:pt>
                <c:pt idx="3">
                  <c:v>11540.67244114443</c:v>
                </c:pt>
                <c:pt idx="4">
                  <c:v>16519.533431690157</c:v>
                </c:pt>
                <c:pt idx="5">
                  <c:v>20307.926457726422</c:v>
                </c:pt>
                <c:pt idx="6">
                  <c:v>33039.066863380314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6E-4863-A75C-35026823C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715823"/>
        <c:axId val="1787734959"/>
      </c:scatterChart>
      <c:valAx>
        <c:axId val="1787715823"/>
        <c:scaling>
          <c:orientation val="minMax"/>
          <c:max val="12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734959"/>
        <c:crosses val="autoZero"/>
        <c:crossBetween val="midCat"/>
      </c:valAx>
      <c:valAx>
        <c:axId val="178773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7158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'GRP Costing'!$AF$46:$AF$81</c:f>
              <c:numCache>
                <c:formatCode>General</c:formatCode>
                <c:ptCount val="36"/>
                <c:pt idx="0">
                  <c:v>24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12</c:v>
                </c:pt>
                <c:pt idx="12">
                  <c:v>5.625</c:v>
                </c:pt>
                <c:pt idx="13">
                  <c:v>7.5</c:v>
                </c:pt>
                <c:pt idx="14">
                  <c:v>9</c:v>
                </c:pt>
                <c:pt idx="15">
                  <c:v>9</c:v>
                </c:pt>
                <c:pt idx="16">
                  <c:v>7.5</c:v>
                </c:pt>
                <c:pt idx="17">
                  <c:v>6</c:v>
                </c:pt>
                <c:pt idx="18">
                  <c:v>9</c:v>
                </c:pt>
                <c:pt idx="19">
                  <c:v>7.5</c:v>
                </c:pt>
                <c:pt idx="20">
                  <c:v>6</c:v>
                </c:pt>
                <c:pt idx="21">
                  <c:v>24</c:v>
                </c:pt>
                <c:pt idx="22">
                  <c:v>20</c:v>
                </c:pt>
                <c:pt idx="23">
                  <c:v>16</c:v>
                </c:pt>
                <c:pt idx="24">
                  <c:v>12</c:v>
                </c:pt>
                <c:pt idx="25">
                  <c:v>8</c:v>
                </c:pt>
                <c:pt idx="26">
                  <c:v>18</c:v>
                </c:pt>
                <c:pt idx="27">
                  <c:v>15</c:v>
                </c:pt>
                <c:pt idx="28">
                  <c:v>12</c:v>
                </c:pt>
                <c:pt idx="29">
                  <c:v>9</c:v>
                </c:pt>
                <c:pt idx="30">
                  <c:v>6</c:v>
                </c:pt>
                <c:pt idx="31">
                  <c:v>6</c:v>
                </c:pt>
                <c:pt idx="32">
                  <c:v>12</c:v>
                </c:pt>
                <c:pt idx="33">
                  <c:v>24</c:v>
                </c:pt>
                <c:pt idx="34">
                  <c:v>36</c:v>
                </c:pt>
                <c:pt idx="35">
                  <c:v>60</c:v>
                </c:pt>
              </c:numCache>
            </c:numRef>
          </c:xVal>
          <c:yVal>
            <c:numRef>
              <c:f>'GRP Costing'!$AG$46:$AG$81</c:f>
              <c:numCache>
                <c:formatCode>General</c:formatCode>
                <c:ptCount val="36"/>
                <c:pt idx="0">
                  <c:v>8827.5</c:v>
                </c:pt>
                <c:pt idx="1">
                  <c:v>7933.5</c:v>
                </c:pt>
                <c:pt idx="2">
                  <c:v>6156</c:v>
                </c:pt>
                <c:pt idx="3">
                  <c:v>6693</c:v>
                </c:pt>
                <c:pt idx="4">
                  <c:v>5818.5</c:v>
                </c:pt>
                <c:pt idx="5">
                  <c:v>5623.5</c:v>
                </c:pt>
                <c:pt idx="6">
                  <c:v>5074.5</c:v>
                </c:pt>
                <c:pt idx="7">
                  <c:v>4242</c:v>
                </c:pt>
                <c:pt idx="8">
                  <c:v>4479</c:v>
                </c:pt>
                <c:pt idx="9">
                  <c:v>3142</c:v>
                </c:pt>
                <c:pt idx="10">
                  <c:v>3429</c:v>
                </c:pt>
                <c:pt idx="11">
                  <c:v>5868</c:v>
                </c:pt>
                <c:pt idx="12">
                  <c:v>2533</c:v>
                </c:pt>
                <c:pt idx="13">
                  <c:v>3625.2</c:v>
                </c:pt>
                <c:pt idx="14">
                  <c:v>3883</c:v>
                </c:pt>
                <c:pt idx="15">
                  <c:v>5258.45</c:v>
                </c:pt>
                <c:pt idx="16">
                  <c:v>4113</c:v>
                </c:pt>
                <c:pt idx="17">
                  <c:v>3635</c:v>
                </c:pt>
                <c:pt idx="18">
                  <c:v>4542.3599999999997</c:v>
                </c:pt>
                <c:pt idx="19">
                  <c:v>3534.36</c:v>
                </c:pt>
                <c:pt idx="20">
                  <c:v>3156</c:v>
                </c:pt>
                <c:pt idx="21">
                  <c:v>8827.25</c:v>
                </c:pt>
                <c:pt idx="22">
                  <c:v>7933.5</c:v>
                </c:pt>
                <c:pt idx="23">
                  <c:v>6693</c:v>
                </c:pt>
                <c:pt idx="24">
                  <c:v>5623.5</c:v>
                </c:pt>
                <c:pt idx="25">
                  <c:v>4479</c:v>
                </c:pt>
                <c:pt idx="26">
                  <c:v>6156</c:v>
                </c:pt>
                <c:pt idx="27">
                  <c:v>5818.5</c:v>
                </c:pt>
                <c:pt idx="28">
                  <c:v>5074.5</c:v>
                </c:pt>
                <c:pt idx="29">
                  <c:v>4242</c:v>
                </c:pt>
                <c:pt idx="30">
                  <c:v>3429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4D-4B76-BE2B-DFC4E88C7AFE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'GRP Costing'!$AF$46:$AF$81</c:f>
              <c:numCache>
                <c:formatCode>General</c:formatCode>
                <c:ptCount val="36"/>
                <c:pt idx="0">
                  <c:v>24</c:v>
                </c:pt>
                <c:pt idx="1">
                  <c:v>20</c:v>
                </c:pt>
                <c:pt idx="2">
                  <c:v>18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12</c:v>
                </c:pt>
                <c:pt idx="12">
                  <c:v>5.625</c:v>
                </c:pt>
                <c:pt idx="13">
                  <c:v>7.5</c:v>
                </c:pt>
                <c:pt idx="14">
                  <c:v>9</c:v>
                </c:pt>
                <c:pt idx="15">
                  <c:v>9</c:v>
                </c:pt>
                <c:pt idx="16">
                  <c:v>7.5</c:v>
                </c:pt>
                <c:pt idx="17">
                  <c:v>6</c:v>
                </c:pt>
                <c:pt idx="18">
                  <c:v>9</c:v>
                </c:pt>
                <c:pt idx="19">
                  <c:v>7.5</c:v>
                </c:pt>
                <c:pt idx="20">
                  <c:v>6</c:v>
                </c:pt>
                <c:pt idx="21">
                  <c:v>24</c:v>
                </c:pt>
                <c:pt idx="22">
                  <c:v>20</c:v>
                </c:pt>
                <c:pt idx="23">
                  <c:v>16</c:v>
                </c:pt>
                <c:pt idx="24">
                  <c:v>12</c:v>
                </c:pt>
                <c:pt idx="25">
                  <c:v>8</c:v>
                </c:pt>
                <c:pt idx="26">
                  <c:v>18</c:v>
                </c:pt>
                <c:pt idx="27">
                  <c:v>15</c:v>
                </c:pt>
                <c:pt idx="28">
                  <c:v>12</c:v>
                </c:pt>
                <c:pt idx="29">
                  <c:v>9</c:v>
                </c:pt>
                <c:pt idx="30">
                  <c:v>6</c:v>
                </c:pt>
                <c:pt idx="31">
                  <c:v>6</c:v>
                </c:pt>
                <c:pt idx="32">
                  <c:v>12</c:v>
                </c:pt>
                <c:pt idx="33">
                  <c:v>24</c:v>
                </c:pt>
                <c:pt idx="34">
                  <c:v>36</c:v>
                </c:pt>
                <c:pt idx="35">
                  <c:v>60</c:v>
                </c:pt>
              </c:numCache>
            </c:numRef>
          </c:xVal>
          <c:yVal>
            <c:numRef>
              <c:f>'GRP Costing'!$AH$46:$AH$81</c:f>
              <c:numCache>
                <c:formatCode>General</c:formatCode>
                <c:ptCount val="36"/>
                <c:pt idx="31">
                  <c:v>3279.9541830504932</c:v>
                </c:pt>
                <c:pt idx="32">
                  <c:v>5336.1738229753973</c:v>
                </c:pt>
                <c:pt idx="33">
                  <c:v>8681.4478129463241</c:v>
                </c:pt>
                <c:pt idx="34">
                  <c:v>11540.67244114443</c:v>
                </c:pt>
                <c:pt idx="35">
                  <c:v>16519.533431690157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4D-4B76-BE2B-DFC4E88C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904479"/>
        <c:axId val="1315904063"/>
      </c:scatterChart>
      <c:valAx>
        <c:axId val="1315904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904063"/>
        <c:crosses val="autoZero"/>
        <c:crossBetween val="midCat"/>
      </c:valAx>
      <c:valAx>
        <c:axId val="13159040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9044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239796072611335"/>
          <c:y val="0.69713806441921322"/>
          <c:w val="0.12152159514092152"/>
          <c:h val="3.5771315548990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852359508411447E-2"/>
          <c:y val="1.1918063314711359E-2"/>
          <c:w val="0.93342914066575977"/>
          <c:h val="0.91497447176644819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'GRP Costing'!$V$45:$V$130</c:f>
              <c:numCache>
                <c:formatCode>General</c:formatCode>
                <c:ptCount val="8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24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12</c:v>
                </c:pt>
                <c:pt idx="61">
                  <c:v>12</c:v>
                </c:pt>
                <c:pt idx="62">
                  <c:v>9</c:v>
                </c:pt>
                <c:pt idx="63">
                  <c:v>8</c:v>
                </c:pt>
                <c:pt idx="64">
                  <c:v>7</c:v>
                </c:pt>
                <c:pt idx="65">
                  <c:v>6</c:v>
                </c:pt>
                <c:pt idx="66">
                  <c:v>12</c:v>
                </c:pt>
                <c:pt idx="67">
                  <c:v>5.625</c:v>
                </c:pt>
                <c:pt idx="68">
                  <c:v>7.5</c:v>
                </c:pt>
                <c:pt idx="69">
                  <c:v>9</c:v>
                </c:pt>
                <c:pt idx="70">
                  <c:v>9</c:v>
                </c:pt>
                <c:pt idx="71">
                  <c:v>7.5</c:v>
                </c:pt>
                <c:pt idx="72">
                  <c:v>6</c:v>
                </c:pt>
                <c:pt idx="73">
                  <c:v>9</c:v>
                </c:pt>
                <c:pt idx="74">
                  <c:v>7.5</c:v>
                </c:pt>
                <c:pt idx="75">
                  <c:v>6</c:v>
                </c:pt>
                <c:pt idx="76">
                  <c:v>24</c:v>
                </c:pt>
                <c:pt idx="77">
                  <c:v>20</c:v>
                </c:pt>
                <c:pt idx="78">
                  <c:v>16</c:v>
                </c:pt>
                <c:pt idx="79">
                  <c:v>12</c:v>
                </c:pt>
                <c:pt idx="80">
                  <c:v>8</c:v>
                </c:pt>
                <c:pt idx="81">
                  <c:v>18</c:v>
                </c:pt>
                <c:pt idx="82">
                  <c:v>15</c:v>
                </c:pt>
                <c:pt idx="83">
                  <c:v>12</c:v>
                </c:pt>
                <c:pt idx="84">
                  <c:v>9</c:v>
                </c:pt>
                <c:pt idx="85">
                  <c:v>6</c:v>
                </c:pt>
              </c:numCache>
            </c:numRef>
          </c:xVal>
          <c:yVal>
            <c:numRef>
              <c:f>'GRP Costing'!$W$45:$W$130</c:f>
              <c:numCache>
                <c:formatCode>General</c:formatCode>
                <c:ptCount val="86"/>
                <c:pt idx="0">
                  <c:v>3279.9541830504932</c:v>
                </c:pt>
                <c:pt idx="1">
                  <c:v>3654.8800351526888</c:v>
                </c:pt>
                <c:pt idx="2">
                  <c:v>4014.1261093081739</c:v>
                </c:pt>
                <c:pt idx="3">
                  <c:v>4360.2032361582169</c:v>
                </c:pt>
                <c:pt idx="4">
                  <c:v>4694.9874938085932</c:v>
                </c:pt>
                <c:pt idx="5">
                  <c:v>5019.9279724197659</c:v>
                </c:pt>
                <c:pt idx="6">
                  <c:v>5336.1738229753973</c:v>
                </c:pt>
                <c:pt idx="7">
                  <c:v>5644.656073837129</c:v>
                </c:pt>
                <c:pt idx="8">
                  <c:v>5946.1425621374101</c:v>
                </c:pt>
                <c:pt idx="9">
                  <c:v>6241.2761037983792</c:v>
                </c:pt>
                <c:pt idx="10">
                  <c:v>6530.6017923368663</c:v>
                </c:pt>
                <c:pt idx="11">
                  <c:v>6814.5870078460684</c:v>
                </c:pt>
                <c:pt idx="12">
                  <c:v>7093.6363964697166</c:v>
                </c:pt>
                <c:pt idx="13">
                  <c:v>7368.1032932786347</c:v>
                </c:pt>
                <c:pt idx="14">
                  <c:v>7638.2985753653729</c:v>
                </c:pt>
                <c:pt idx="15">
                  <c:v>7904.4976225786877</c:v>
                </c:pt>
                <c:pt idx="16">
                  <c:v>8166.9458610348929</c:v>
                </c:pt>
                <c:pt idx="17">
                  <c:v>8425.8632291046342</c:v>
                </c:pt>
                <c:pt idx="18">
                  <c:v>8681.4478129463241</c:v>
                </c:pt>
                <c:pt idx="19">
                  <c:v>8933.8788340900137</c:v>
                </c:pt>
                <c:pt idx="20">
                  <c:v>9183.319125785807</c:v>
                </c:pt>
                <c:pt idx="21">
                  <c:v>9429.917201846727</c:v>
                </c:pt>
                <c:pt idx="22">
                  <c:v>9673.8089976145984</c:v>
                </c:pt>
                <c:pt idx="23">
                  <c:v>9915.1193448354661</c:v>
                </c:pt>
                <c:pt idx="24">
                  <c:v>10153.963228863211</c:v>
                </c:pt>
                <c:pt idx="25">
                  <c:v>10390.446866482815</c:v>
                </c:pt>
                <c:pt idx="26">
                  <c:v>10624.668634893465</c:v>
                </c:pt>
                <c:pt idx="27">
                  <c:v>10856.719876402338</c:v>
                </c:pt>
                <c:pt idx="28">
                  <c:v>11086.685598710576</c:v>
                </c:pt>
                <c:pt idx="29">
                  <c:v>11314.645087002842</c:v>
                </c:pt>
                <c:pt idx="30">
                  <c:v>11540.67244114443</c:v>
                </c:pt>
                <c:pt idx="31">
                  <c:v>11764.837048970001</c:v>
                </c:pt>
                <c:pt idx="32">
                  <c:v>11987.204004784411</c:v>
                </c:pt>
                <c:pt idx="33">
                  <c:v>12207.834480689298</c:v>
                </c:pt>
                <c:pt idx="34">
                  <c:v>12426.786057123252</c:v>
                </c:pt>
                <c:pt idx="35">
                  <c:v>12644.1130180008</c:v>
                </c:pt>
                <c:pt idx="36">
                  <c:v>12859.866615010673</c:v>
                </c:pt>
                <c:pt idx="37">
                  <c:v>13074.095304951856</c:v>
                </c:pt>
                <c:pt idx="38">
                  <c:v>13286.84496341965</c:v>
                </c:pt>
                <c:pt idx="39">
                  <c:v>13498.159077681032</c:v>
                </c:pt>
                <c:pt idx="40">
                  <c:v>13708.078921182578</c:v>
                </c:pt>
                <c:pt idx="41">
                  <c:v>13916.643711800221</c:v>
                </c:pt>
                <c:pt idx="42">
                  <c:v>14123.890755658776</c:v>
                </c:pt>
                <c:pt idx="43">
                  <c:v>14329.855578109313</c:v>
                </c:pt>
                <c:pt idx="44">
                  <c:v>14534.572043249545</c:v>
                </c:pt>
                <c:pt idx="45">
                  <c:v>14738.072463197685</c:v>
                </c:pt>
                <c:pt idx="46">
                  <c:v>14940.387698181807</c:v>
                </c:pt>
                <c:pt idx="47">
                  <c:v>15141.547248377779</c:v>
                </c:pt>
                <c:pt idx="48">
                  <c:v>15341.579338318839</c:v>
                </c:pt>
                <c:pt idx="49">
                  <c:v>15540.510994603568</c:v>
                </c:pt>
                <c:pt idx="50">
                  <c:v>15738.368117546419</c:v>
                </c:pt>
                <c:pt idx="51">
                  <c:v>15935.175547342429</c:v>
                </c:pt>
                <c:pt idx="52">
                  <c:v>16130.957125254899</c:v>
                </c:pt>
                <c:pt idx="53">
                  <c:v>16325.735750279504</c:v>
                </c:pt>
                <c:pt idx="54">
                  <c:v>16519.533431690157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2-40E2-B9E2-38AF7D9115FB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'GRP Costing'!$V$45:$V$130</c:f>
              <c:numCache>
                <c:formatCode>General</c:formatCode>
                <c:ptCount val="8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24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12</c:v>
                </c:pt>
                <c:pt idx="61">
                  <c:v>12</c:v>
                </c:pt>
                <c:pt idx="62">
                  <c:v>9</c:v>
                </c:pt>
                <c:pt idx="63">
                  <c:v>8</c:v>
                </c:pt>
                <c:pt idx="64">
                  <c:v>7</c:v>
                </c:pt>
                <c:pt idx="65">
                  <c:v>6</c:v>
                </c:pt>
                <c:pt idx="66">
                  <c:v>12</c:v>
                </c:pt>
                <c:pt idx="67">
                  <c:v>5.625</c:v>
                </c:pt>
                <c:pt idx="68">
                  <c:v>7.5</c:v>
                </c:pt>
                <c:pt idx="69">
                  <c:v>9</c:v>
                </c:pt>
                <c:pt idx="70">
                  <c:v>9</c:v>
                </c:pt>
                <c:pt idx="71">
                  <c:v>7.5</c:v>
                </c:pt>
                <c:pt idx="72">
                  <c:v>6</c:v>
                </c:pt>
                <c:pt idx="73">
                  <c:v>9</c:v>
                </c:pt>
                <c:pt idx="74">
                  <c:v>7.5</c:v>
                </c:pt>
                <c:pt idx="75">
                  <c:v>6</c:v>
                </c:pt>
                <c:pt idx="76">
                  <c:v>24</c:v>
                </c:pt>
                <c:pt idx="77">
                  <c:v>20</c:v>
                </c:pt>
                <c:pt idx="78">
                  <c:v>16</c:v>
                </c:pt>
                <c:pt idx="79">
                  <c:v>12</c:v>
                </c:pt>
                <c:pt idx="80">
                  <c:v>8</c:v>
                </c:pt>
                <c:pt idx="81">
                  <c:v>18</c:v>
                </c:pt>
                <c:pt idx="82">
                  <c:v>15</c:v>
                </c:pt>
                <c:pt idx="83">
                  <c:v>12</c:v>
                </c:pt>
                <c:pt idx="84">
                  <c:v>9</c:v>
                </c:pt>
                <c:pt idx="85">
                  <c:v>6</c:v>
                </c:pt>
              </c:numCache>
            </c:numRef>
          </c:xVal>
          <c:yVal>
            <c:numRef>
              <c:f>'GRP Costing'!$X$45:$X$130</c:f>
              <c:numCache>
                <c:formatCode>General</c:formatCode>
                <c:ptCount val="86"/>
                <c:pt idx="55">
                  <c:v>8827.5</c:v>
                </c:pt>
                <c:pt idx="56">
                  <c:v>7933.5</c:v>
                </c:pt>
                <c:pt idx="57">
                  <c:v>6156</c:v>
                </c:pt>
                <c:pt idx="58">
                  <c:v>6693</c:v>
                </c:pt>
                <c:pt idx="59">
                  <c:v>5818.5</c:v>
                </c:pt>
                <c:pt idx="60">
                  <c:v>5623.5</c:v>
                </c:pt>
                <c:pt idx="61">
                  <c:v>5074.5</c:v>
                </c:pt>
                <c:pt idx="62">
                  <c:v>4242</c:v>
                </c:pt>
                <c:pt idx="63">
                  <c:v>4479</c:v>
                </c:pt>
                <c:pt idx="64">
                  <c:v>3142</c:v>
                </c:pt>
                <c:pt idx="65">
                  <c:v>3429</c:v>
                </c:pt>
                <c:pt idx="66">
                  <c:v>5868</c:v>
                </c:pt>
                <c:pt idx="67">
                  <c:v>2533</c:v>
                </c:pt>
                <c:pt idx="68">
                  <c:v>3625.2</c:v>
                </c:pt>
                <c:pt idx="69">
                  <c:v>3883</c:v>
                </c:pt>
                <c:pt idx="70">
                  <c:v>5258.45</c:v>
                </c:pt>
                <c:pt idx="71">
                  <c:v>4113</c:v>
                </c:pt>
                <c:pt idx="72">
                  <c:v>3635</c:v>
                </c:pt>
                <c:pt idx="73">
                  <c:v>4542.3599999999997</c:v>
                </c:pt>
                <c:pt idx="74">
                  <c:v>3534.36</c:v>
                </c:pt>
                <c:pt idx="75">
                  <c:v>3156</c:v>
                </c:pt>
                <c:pt idx="76">
                  <c:v>8827.25</c:v>
                </c:pt>
                <c:pt idx="77">
                  <c:v>7933.5</c:v>
                </c:pt>
                <c:pt idx="78">
                  <c:v>6693</c:v>
                </c:pt>
                <c:pt idx="79">
                  <c:v>5623.5</c:v>
                </c:pt>
                <c:pt idx="80">
                  <c:v>4479</c:v>
                </c:pt>
                <c:pt idx="81">
                  <c:v>6156</c:v>
                </c:pt>
                <c:pt idx="82">
                  <c:v>5818.5</c:v>
                </c:pt>
                <c:pt idx="83">
                  <c:v>5074.5</c:v>
                </c:pt>
                <c:pt idx="84">
                  <c:v>4242</c:v>
                </c:pt>
                <c:pt idx="85">
                  <c:v>3429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2-40E2-B9E2-38AF7D9115FB}"/>
            </c:ext>
          </c:extLst>
        </c:ser>
        <c:ser>
          <c:idx val="2"/>
          <c:order val="2"/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'GRP Costing'!$V$45:$V$130</c:f>
              <c:numCache>
                <c:formatCode>General</c:formatCode>
                <c:ptCount val="8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24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12</c:v>
                </c:pt>
                <c:pt idx="61">
                  <c:v>12</c:v>
                </c:pt>
                <c:pt idx="62">
                  <c:v>9</c:v>
                </c:pt>
                <c:pt idx="63">
                  <c:v>8</c:v>
                </c:pt>
                <c:pt idx="64">
                  <c:v>7</c:v>
                </c:pt>
                <c:pt idx="65">
                  <c:v>6</c:v>
                </c:pt>
                <c:pt idx="66">
                  <c:v>12</c:v>
                </c:pt>
                <c:pt idx="67">
                  <c:v>5.625</c:v>
                </c:pt>
                <c:pt idx="68">
                  <c:v>7.5</c:v>
                </c:pt>
                <c:pt idx="69">
                  <c:v>9</c:v>
                </c:pt>
                <c:pt idx="70">
                  <c:v>9</c:v>
                </c:pt>
                <c:pt idx="71">
                  <c:v>7.5</c:v>
                </c:pt>
                <c:pt idx="72">
                  <c:v>6</c:v>
                </c:pt>
                <c:pt idx="73">
                  <c:v>9</c:v>
                </c:pt>
                <c:pt idx="74">
                  <c:v>7.5</c:v>
                </c:pt>
                <c:pt idx="75">
                  <c:v>6</c:v>
                </c:pt>
                <c:pt idx="76">
                  <c:v>24</c:v>
                </c:pt>
                <c:pt idx="77">
                  <c:v>20</c:v>
                </c:pt>
                <c:pt idx="78">
                  <c:v>16</c:v>
                </c:pt>
                <c:pt idx="79">
                  <c:v>12</c:v>
                </c:pt>
                <c:pt idx="80">
                  <c:v>8</c:v>
                </c:pt>
                <c:pt idx="81">
                  <c:v>18</c:v>
                </c:pt>
                <c:pt idx="82">
                  <c:v>15</c:v>
                </c:pt>
                <c:pt idx="83">
                  <c:v>12</c:v>
                </c:pt>
                <c:pt idx="84">
                  <c:v>9</c:v>
                </c:pt>
                <c:pt idx="85">
                  <c:v>6</c:v>
                </c:pt>
              </c:numCache>
            </c:numRef>
          </c:xVal>
          <c:yVal>
            <c:numRef>
              <c:f>'GRP Costing'!$Y$45:$Y$130</c:f>
              <c:numCache>
                <c:formatCode>General</c:formatCode>
                <c:ptCount val="86"/>
                <c:pt idx="0">
                  <c:v>2349.5051518806099</c:v>
                </c:pt>
                <c:pt idx="1">
                  <c:v>2589.8945780248619</c:v>
                </c:pt>
                <c:pt idx="2">
                  <c:v>2817.9218040717105</c:v>
                </c:pt>
                <c:pt idx="3">
                  <c:v>3035.6643539865318</c:v>
                </c:pt>
                <c:pt idx="4">
                  <c:v>3244.6606510530542</c:v>
                </c:pt>
                <c:pt idx="5">
                  <c:v>3446.08957152222</c:v>
                </c:pt>
                <c:pt idx="6">
                  <c:v>3640.879342654277</c:v>
                </c:pt>
                <c:pt idx="7">
                  <c:v>3829.777158673483</c:v>
                </c:pt>
                <c:pt idx="8">
                  <c:v>4013.3956127891029</c:v>
                </c:pt>
                <c:pt idx="9">
                  <c:v>4192.2447674994482</c:v>
                </c:pt>
                <c:pt idx="10">
                  <c:v>4366.7549643156135</c:v>
                </c:pt>
                <c:pt idx="11">
                  <c:v>4537.2934569916924</c:v>
                </c:pt>
                <c:pt idx="12">
                  <c:v>4704.1768045559629</c:v>
                </c:pt>
                <c:pt idx="13">
                  <c:v>4867.680279795225</c:v>
                </c:pt>
                <c:pt idx="14">
                  <c:v>5028.0451306465293</c:v>
                </c:pt>
                <c:pt idx="15">
                  <c:v>5185.4842669478467</c:v>
                </c:pt>
                <c:pt idx="16">
                  <c:v>5340.1867724566464</c:v>
                </c:pt>
                <c:pt idx="17">
                  <c:v>5492.3215269720931</c:v>
                </c:pt>
                <c:pt idx="18">
                  <c:v>5642.0401449880464</c:v>
                </c:pt>
                <c:pt idx="19">
                  <c:v>5789.4793828397278</c:v>
                </c:pt>
                <c:pt idx="20">
                  <c:v>5934.7631278111894</c:v>
                </c:pt>
                <c:pt idx="21">
                  <c:v>6078.0040550285448</c:v>
                </c:pt>
                <c:pt idx="22">
                  <c:v>6219.3050178277135</c:v>
                </c:pt>
                <c:pt idx="23">
                  <c:v>6358.7602224219881</c:v>
                </c:pt>
                <c:pt idx="24">
                  <c:v>6496.4562265896402</c:v>
                </c:pt>
                <c:pt idx="25">
                  <c:v>6632.4727937115877</c:v>
                </c:pt>
                <c:pt idx="26">
                  <c:v>6766.883627083711</c:v>
                </c:pt>
                <c:pt idx="27">
                  <c:v>6899.7570044914646</c:v>
                </c:pt>
                <c:pt idx="28">
                  <c:v>7031.156329194936</c:v>
                </c:pt>
                <c:pt idx="29">
                  <c:v>7161.1406104613334</c:v>
                </c:pt>
                <c:pt idx="30">
                  <c:v>7289.7648844021505</c:v>
                </c:pt>
                <c:pt idx="31">
                  <c:v>7417.0805839773902</c:v>
                </c:pt>
                <c:pt idx="32">
                  <c:v>7543.1358655103732</c:v>
                </c:pt>
                <c:pt idx="33">
                  <c:v>7667.9758978308973</c:v>
                </c:pt>
                <c:pt idx="34">
                  <c:v>7791.6431191697238</c:v>
                </c:pt>
                <c:pt idx="35">
                  <c:v>7914.1774661147901</c:v>
                </c:pt>
                <c:pt idx="36">
                  <c:v>8035.6165782727949</c:v>
                </c:pt>
                <c:pt idx="37">
                  <c:v>8155.9959817292856</c:v>
                </c:pt>
                <c:pt idx="38">
                  <c:v>8275.3492539440958</c:v>
                </c:pt>
                <c:pt idx="39">
                  <c:v>8393.7081723386418</c:v>
                </c:pt>
                <c:pt idx="40">
                  <c:v>8511.102848513452</c:v>
                </c:pt>
                <c:pt idx="41">
                  <c:v>8627.5618497669002</c:v>
                </c:pt>
                <c:pt idx="42">
                  <c:v>8743.1123093604347</c:v>
                </c:pt>
                <c:pt idx="43">
                  <c:v>8857.7800267845196</c:v>
                </c:pt>
                <c:pt idx="44">
                  <c:v>8971.5895591171338</c:v>
                </c:pt>
                <c:pt idx="45">
                  <c:v>9084.5643044278204</c:v>
                </c:pt>
                <c:pt idx="46">
                  <c:v>9196.7265780620164</c:v>
                </c:pt>
                <c:pt idx="47">
                  <c:v>9308.0976825381476</c:v>
                </c:pt>
                <c:pt idx="48">
                  <c:v>9418.6979717024478</c:v>
                </c:pt>
                <c:pt idx="49">
                  <c:v>9528.5469097106106</c:v>
                </c:pt>
                <c:pt idx="50">
                  <c:v>9637.6631253395371</c:v>
                </c:pt>
                <c:pt idx="51">
                  <c:v>9746.0644620756138</c:v>
                </c:pt>
                <c:pt idx="52">
                  <c:v>9853.7680243760369</c:v>
                </c:pt>
                <c:pt idx="53">
                  <c:v>9960.7902204563507</c:v>
                </c:pt>
                <c:pt idx="54">
                  <c:v>10067.146801919367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2-40E2-B9E2-38AF7D9115FB}"/>
            </c:ext>
          </c:extLst>
        </c:ser>
        <c:ser>
          <c:idx val="3"/>
          <c:order val="3"/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'GRP Costing'!$V$45:$V$130</c:f>
              <c:numCache>
                <c:formatCode>General</c:formatCode>
                <c:ptCount val="86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24</c:v>
                </c:pt>
                <c:pt idx="56">
                  <c:v>20</c:v>
                </c:pt>
                <c:pt idx="57">
                  <c:v>18</c:v>
                </c:pt>
                <c:pt idx="58">
                  <c:v>16</c:v>
                </c:pt>
                <c:pt idx="59">
                  <c:v>15</c:v>
                </c:pt>
                <c:pt idx="60">
                  <c:v>12</c:v>
                </c:pt>
                <c:pt idx="61">
                  <c:v>12</c:v>
                </c:pt>
                <c:pt idx="62">
                  <c:v>9</c:v>
                </c:pt>
                <c:pt idx="63">
                  <c:v>8</c:v>
                </c:pt>
                <c:pt idx="64">
                  <c:v>7</c:v>
                </c:pt>
                <c:pt idx="65">
                  <c:v>6</c:v>
                </c:pt>
                <c:pt idx="66">
                  <c:v>12</c:v>
                </c:pt>
                <c:pt idx="67">
                  <c:v>5.625</c:v>
                </c:pt>
                <c:pt idx="68">
                  <c:v>7.5</c:v>
                </c:pt>
                <c:pt idx="69">
                  <c:v>9</c:v>
                </c:pt>
                <c:pt idx="70">
                  <c:v>9</c:v>
                </c:pt>
                <c:pt idx="71">
                  <c:v>7.5</c:v>
                </c:pt>
                <c:pt idx="72">
                  <c:v>6</c:v>
                </c:pt>
                <c:pt idx="73">
                  <c:v>9</c:v>
                </c:pt>
                <c:pt idx="74">
                  <c:v>7.5</c:v>
                </c:pt>
                <c:pt idx="75">
                  <c:v>6</c:v>
                </c:pt>
                <c:pt idx="76">
                  <c:v>24</c:v>
                </c:pt>
                <c:pt idx="77">
                  <c:v>20</c:v>
                </c:pt>
                <c:pt idx="78">
                  <c:v>16</c:v>
                </c:pt>
                <c:pt idx="79">
                  <c:v>12</c:v>
                </c:pt>
                <c:pt idx="80">
                  <c:v>8</c:v>
                </c:pt>
                <c:pt idx="81">
                  <c:v>18</c:v>
                </c:pt>
                <c:pt idx="82">
                  <c:v>15</c:v>
                </c:pt>
                <c:pt idx="83">
                  <c:v>12</c:v>
                </c:pt>
                <c:pt idx="84">
                  <c:v>9</c:v>
                </c:pt>
                <c:pt idx="85">
                  <c:v>6</c:v>
                </c:pt>
              </c:numCache>
            </c:numRef>
          </c:xVal>
          <c:yVal>
            <c:numRef>
              <c:f>'GRP Costing'!$Z$45:$Z$130</c:f>
              <c:numCache>
                <c:formatCode>General</c:formatCode>
                <c:ptCount val="86"/>
                <c:pt idx="0">
                  <c:v>4417.4984518453111</c:v>
                </c:pt>
                <c:pt idx="1">
                  <c:v>4976.0120114131832</c:v>
                </c:pt>
                <c:pt idx="2">
                  <c:v>5516.5853329196352</c:v>
                </c:pt>
                <c:pt idx="3">
                  <c:v>6041.9477896896797</c:v>
                </c:pt>
                <c:pt idx="4">
                  <c:v>6554.1571568339277</c:v>
                </c:pt>
                <c:pt idx="5">
                  <c:v>7054.8155467474535</c:v>
                </c:pt>
                <c:pt idx="6">
                  <c:v>7545.2025444276142</c:v>
                </c:pt>
                <c:pt idx="7">
                  <c:v>8026.3615737203354</c:v>
                </c:pt>
                <c:pt idx="8">
                  <c:v>8499.1582677145088</c:v>
                </c:pt>
                <c:pt idx="9">
                  <c:v>8964.3212733825767</c:v>
                </c:pt>
                <c:pt idx="10">
                  <c:v>9422.4715965910254</c:v>
                </c:pt>
                <c:pt idx="11">
                  <c:v>9874.1442213049959</c:v>
                </c:pt>
                <c:pt idx="12">
                  <c:v>10319.804371866187</c:v>
                </c:pt>
                <c:pt idx="13">
                  <c:v>10759.859969510049</c:v>
                </c:pt>
                <c:pt idx="14">
                  <c:v>11194.671327086517</c:v>
                </c:pt>
                <c:pt idx="15">
                  <c:v>11624.558801687755</c:v>
                </c:pt>
                <c:pt idx="16">
                  <c:v>12049.808911998764</c:v>
                </c:pt>
                <c:pt idx="17">
                  <c:v>12470.679284090151</c:v>
                </c:pt>
                <c:pt idx="18">
                  <c:v>12887.402691144278</c:v>
                </c:pt>
                <c:pt idx="19">
                  <c:v>13300.19038389386</c:v>
                </c:pt>
                <c:pt idx="20">
                  <c:v>13709.234859659749</c:v>
                </c:pt>
                <c:pt idx="21">
                  <c:v>14114.712182543213</c:v>
                </c:pt>
                <c:pt idx="22">
                  <c:v>14516.783941432854</c:v>
                </c:pt>
                <c:pt idx="23">
                  <c:v>14915.598913260121</c:v>
                </c:pt>
                <c:pt idx="24">
                  <c:v>15311.294484492395</c:v>
                </c:pt>
                <c:pt idx="25">
                  <c:v>15703.997872879791</c:v>
                </c:pt>
                <c:pt idx="26">
                  <c:v>16093.827183051404</c:v>
                </c:pt>
                <c:pt idx="27">
                  <c:v>16480.892323034441</c:v>
                </c:pt>
                <c:pt idx="28">
                  <c:v>16865.295803672314</c:v>
                </c:pt>
                <c:pt idx="29">
                  <c:v>17247.133438901888</c:v>
                </c:pt>
                <c:pt idx="30">
                  <c:v>17626.494961661752</c:v>
                </c:pt>
                <c:pt idx="31">
                  <c:v>18003.464567653642</c:v>
                </c:pt>
                <c:pt idx="32">
                  <c:v>18378.121397126626</c:v>
                </c:pt>
                <c:pt idx="33">
                  <c:v>18750.539963190549</c:v>
                </c:pt>
                <c:pt idx="34">
                  <c:v>19120.790533809974</c:v>
                </c:pt>
                <c:pt idx="35">
                  <c:v>19488.939473518585</c:v>
                </c:pt>
                <c:pt idx="36">
                  <c:v>19855.049549978707</c:v>
                </c:pt>
                <c:pt idx="37">
                  <c:v>20219.180209752205</c:v>
                </c:pt>
                <c:pt idx="38">
                  <c:v>20581.387827017916</c:v>
                </c:pt>
                <c:pt idx="39">
                  <c:v>20941.725928443186</c:v>
                </c:pt>
                <c:pt idx="40">
                  <c:v>21300.245396973969</c:v>
                </c:pt>
                <c:pt idx="41">
                  <c:v>21656.994656934607</c:v>
                </c:pt>
                <c:pt idx="42">
                  <c:v>22012.019842512011</c:v>
                </c:pt>
                <c:pt idx="43">
                  <c:v>22365.364951430114</c:v>
                </c:pt>
                <c:pt idx="44">
                  <c:v>22717.071985391998</c:v>
                </c:pt>
                <c:pt idx="45">
                  <c:v>23067.181078670081</c:v>
                </c:pt>
                <c:pt idx="46">
                  <c:v>23415.730616057415</c:v>
                </c:pt>
                <c:pt idx="47">
                  <c:v>23762.757341247347</c:v>
                </c:pt>
                <c:pt idx="48">
                  <c:v>24108.296456584198</c:v>
                </c:pt>
                <c:pt idx="49">
                  <c:v>24452.381715018651</c:v>
                </c:pt>
                <c:pt idx="50">
                  <c:v>24795.045505007605</c:v>
                </c:pt>
                <c:pt idx="51">
                  <c:v>25136.31892901591</c:v>
                </c:pt>
                <c:pt idx="52">
                  <c:v>25476.231876205951</c:v>
                </c:pt>
                <c:pt idx="53">
                  <c:v>25814.813089837808</c:v>
                </c:pt>
                <c:pt idx="54">
                  <c:v>26152.090229848007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E62-40E2-B9E2-38AF7D911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957135"/>
        <c:axId val="857956719"/>
      </c:scatterChart>
      <c:valAx>
        <c:axId val="857957135"/>
        <c:scaling>
          <c:orientation val="minMax"/>
          <c:max val="6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956719"/>
        <c:crosses val="autoZero"/>
        <c:crossBetween val="midCat"/>
      </c:valAx>
      <c:valAx>
        <c:axId val="8579567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79571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28180238685938"/>
          <c:y val="4.3910876344990038E-2"/>
          <c:w val="0.28589054097830136"/>
          <c:h val="2.0454688618468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32221258248548"/>
          <c:y val="2.5428331875182269E-2"/>
          <c:w val="0.85195204669137947"/>
          <c:h val="0.7357713619130942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'GRP Costing'!$L$143:$L$184</c:f>
              <c:numCache>
                <c:formatCode>General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</c:numCache>
            </c:numRef>
          </c:xVal>
          <c:yVal>
            <c:numRef>
              <c:f>'GRP Costing'!$M$143:$M$184</c:f>
              <c:numCache>
                <c:formatCode>General</c:formatCode>
                <c:ptCount val="42"/>
                <c:pt idx="0">
                  <c:v>1386</c:v>
                </c:pt>
                <c:pt idx="1">
                  <c:v>1674</c:v>
                </c:pt>
                <c:pt idx="2">
                  <c:v>2014.8</c:v>
                </c:pt>
                <c:pt idx="3">
                  <c:v>2203.1999999999998</c:v>
                </c:pt>
                <c:pt idx="4">
                  <c:v>2548</c:v>
                </c:pt>
                <c:pt idx="5">
                  <c:v>3056.4</c:v>
                </c:pt>
                <c:pt idx="6">
                  <c:v>3202.8</c:v>
                </c:pt>
                <c:pt idx="7">
                  <c:v>4396.8</c:v>
                </c:pt>
                <c:pt idx="8">
                  <c:v>5538</c:v>
                </c:pt>
                <c:pt idx="9">
                  <c:v>5598</c:v>
                </c:pt>
                <c:pt idx="10">
                  <c:v>5829.6</c:v>
                </c:pt>
                <c:pt idx="11">
                  <c:v>6134.4</c:v>
                </c:pt>
                <c:pt idx="12">
                  <c:v>7177.2</c:v>
                </c:pt>
                <c:pt idx="13">
                  <c:v>7128</c:v>
                </c:pt>
                <c:pt idx="14">
                  <c:v>9194.4</c:v>
                </c:pt>
                <c:pt idx="15">
                  <c:v>9922.7999999999993</c:v>
                </c:pt>
                <c:pt idx="16">
                  <c:v>10726.8</c:v>
                </c:pt>
                <c:pt idx="17">
                  <c:v>11637.6</c:v>
                </c:pt>
                <c:pt idx="18">
                  <c:v>13182</c:v>
                </c:pt>
                <c:pt idx="19">
                  <c:v>15301.2</c:v>
                </c:pt>
                <c:pt idx="20">
                  <c:v>16114.8</c:v>
                </c:pt>
                <c:pt idx="21">
                  <c:v>18202.8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D7-4509-885F-3FF13F449158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'GRP Costing'!$L$143:$L$184</c:f>
              <c:numCache>
                <c:formatCode>General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</c:numCache>
            </c:numRef>
          </c:xVal>
          <c:yVal>
            <c:numRef>
              <c:f>'GRP Costing'!$N$143:$N$184</c:f>
              <c:numCache>
                <c:formatCode>General</c:formatCode>
                <c:ptCount val="42"/>
                <c:pt idx="22">
                  <c:v>1140</c:v>
                </c:pt>
                <c:pt idx="23">
                  <c:v>1339.2</c:v>
                </c:pt>
                <c:pt idx="24">
                  <c:v>1723.2</c:v>
                </c:pt>
                <c:pt idx="25">
                  <c:v>2107.1999999999998</c:v>
                </c:pt>
                <c:pt idx="26">
                  <c:v>2642.4</c:v>
                </c:pt>
                <c:pt idx="27">
                  <c:v>2782</c:v>
                </c:pt>
                <c:pt idx="28">
                  <c:v>3362.4</c:v>
                </c:pt>
                <c:pt idx="29">
                  <c:v>3490.8</c:v>
                </c:pt>
                <c:pt idx="30">
                  <c:v>3726</c:v>
                </c:pt>
                <c:pt idx="31">
                  <c:v>4917.6000000000004</c:v>
                </c:pt>
                <c:pt idx="32">
                  <c:v>5871.6</c:v>
                </c:pt>
                <c:pt idx="33">
                  <c:v>6372</c:v>
                </c:pt>
                <c:pt idx="34">
                  <c:v>7645.2</c:v>
                </c:pt>
                <c:pt idx="35">
                  <c:v>8372.4</c:v>
                </c:pt>
                <c:pt idx="36">
                  <c:v>9826.7999999999993</c:v>
                </c:pt>
                <c:pt idx="37">
                  <c:v>11462.4</c:v>
                </c:pt>
                <c:pt idx="38">
                  <c:v>12280.8</c:v>
                </c:pt>
                <c:pt idx="39">
                  <c:v>13099.2</c:v>
                </c:pt>
                <c:pt idx="40">
                  <c:v>14372.4</c:v>
                </c:pt>
                <c:pt idx="41">
                  <c:v>15826.8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D7-4509-885F-3FF13F449158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9077012248468936"/>
                  <c:y val="-1.75229658792650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'GRP Costing'!$L$143:$L$184</c:f>
              <c:numCache>
                <c:formatCode>General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</c:numCache>
            </c:numRef>
          </c:xVal>
          <c:yVal>
            <c:numRef>
              <c:f>'GRP Costing'!$O$143:$O$184</c:f>
              <c:numCache>
                <c:formatCode>General</c:formatCode>
                <c:ptCount val="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D7-4509-885F-3FF13F449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1670639"/>
        <c:axId val="1211680623"/>
      </c:scatterChart>
      <c:valAx>
        <c:axId val="1211670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680623"/>
        <c:crosses val="autoZero"/>
        <c:crossBetween val="midCat"/>
      </c:valAx>
      <c:valAx>
        <c:axId val="12116806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670639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634950826340624E-2"/>
          <c:y val="0.1106488242609559"/>
          <c:w val="0.93116860562533132"/>
          <c:h val="0.8113348415611998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'GRP Costing'!$L$143:$L$239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  <c:pt idx="42">
                  <c:v>24</c:v>
                </c:pt>
                <c:pt idx="43">
                  <c:v>20</c:v>
                </c:pt>
                <c:pt idx="44">
                  <c:v>18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12</c:v>
                </c:pt>
                <c:pt idx="54">
                  <c:v>5.625</c:v>
                </c:pt>
                <c:pt idx="55">
                  <c:v>7.5</c:v>
                </c:pt>
                <c:pt idx="56">
                  <c:v>9</c:v>
                </c:pt>
                <c:pt idx="57">
                  <c:v>9</c:v>
                </c:pt>
                <c:pt idx="58">
                  <c:v>7.5</c:v>
                </c:pt>
                <c:pt idx="59">
                  <c:v>6</c:v>
                </c:pt>
                <c:pt idx="60">
                  <c:v>9</c:v>
                </c:pt>
                <c:pt idx="61">
                  <c:v>7.5</c:v>
                </c:pt>
                <c:pt idx="62">
                  <c:v>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12</c:v>
                </c:pt>
                <c:pt idx="67">
                  <c:v>8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9</c:v>
                </c:pt>
                <c:pt idx="72">
                  <c:v>6</c:v>
                </c:pt>
                <c:pt idx="73">
                  <c:v>38</c:v>
                </c:pt>
                <c:pt idx="74">
                  <c:v>34</c:v>
                </c:pt>
                <c:pt idx="75">
                  <c:v>26</c:v>
                </c:pt>
                <c:pt idx="76">
                  <c:v>22</c:v>
                </c:pt>
                <c:pt idx="77">
                  <c:v>18</c:v>
                </c:pt>
                <c:pt idx="78">
                  <c:v>15</c:v>
                </c:pt>
                <c:pt idx="79">
                  <c:v>12</c:v>
                </c:pt>
                <c:pt idx="80">
                  <c:v>10</c:v>
                </c:pt>
                <c:pt idx="81">
                  <c:v>9.15</c:v>
                </c:pt>
                <c:pt idx="82">
                  <c:v>7.15</c:v>
                </c:pt>
                <c:pt idx="83">
                  <c:v>5.7</c:v>
                </c:pt>
                <c:pt idx="84">
                  <c:v>4.8</c:v>
                </c:pt>
                <c:pt idx="85">
                  <c:v>3.8</c:v>
                </c:pt>
                <c:pt idx="86">
                  <c:v>2.8</c:v>
                </c:pt>
              </c:numCache>
            </c:numRef>
          </c:xVal>
          <c:yVal>
            <c:numRef>
              <c:f>'GRP Costing'!$M$143:$M$239</c:f>
              <c:numCache>
                <c:formatCode>General</c:formatCode>
                <c:ptCount val="97"/>
                <c:pt idx="0">
                  <c:v>1386</c:v>
                </c:pt>
                <c:pt idx="1">
                  <c:v>1674</c:v>
                </c:pt>
                <c:pt idx="2">
                  <c:v>2014.8</c:v>
                </c:pt>
                <c:pt idx="3">
                  <c:v>2203.1999999999998</c:v>
                </c:pt>
                <c:pt idx="4">
                  <c:v>2548</c:v>
                </c:pt>
                <c:pt idx="5">
                  <c:v>3056.4</c:v>
                </c:pt>
                <c:pt idx="6">
                  <c:v>3202.8</c:v>
                </c:pt>
                <c:pt idx="7">
                  <c:v>4396.8</c:v>
                </c:pt>
                <c:pt idx="8">
                  <c:v>5538</c:v>
                </c:pt>
                <c:pt idx="9">
                  <c:v>5598</c:v>
                </c:pt>
                <c:pt idx="10">
                  <c:v>5829.6</c:v>
                </c:pt>
                <c:pt idx="11">
                  <c:v>6134.4</c:v>
                </c:pt>
                <c:pt idx="12">
                  <c:v>7177.2</c:v>
                </c:pt>
                <c:pt idx="13">
                  <c:v>7128</c:v>
                </c:pt>
                <c:pt idx="14">
                  <c:v>9194.4</c:v>
                </c:pt>
                <c:pt idx="15">
                  <c:v>9922.7999999999993</c:v>
                </c:pt>
                <c:pt idx="16">
                  <c:v>10726.8</c:v>
                </c:pt>
                <c:pt idx="17">
                  <c:v>11637.6</c:v>
                </c:pt>
                <c:pt idx="18">
                  <c:v>13182</c:v>
                </c:pt>
                <c:pt idx="19">
                  <c:v>15301.2</c:v>
                </c:pt>
                <c:pt idx="20">
                  <c:v>16114.8</c:v>
                </c:pt>
                <c:pt idx="21">
                  <c:v>18202.8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10-4101-9FFD-69883085A91B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'GRP Costing'!$L$143:$L$239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  <c:pt idx="42">
                  <c:v>24</c:v>
                </c:pt>
                <c:pt idx="43">
                  <c:v>20</c:v>
                </c:pt>
                <c:pt idx="44">
                  <c:v>18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12</c:v>
                </c:pt>
                <c:pt idx="54">
                  <c:v>5.625</c:v>
                </c:pt>
                <c:pt idx="55">
                  <c:v>7.5</c:v>
                </c:pt>
                <c:pt idx="56">
                  <c:v>9</c:v>
                </c:pt>
                <c:pt idx="57">
                  <c:v>9</c:v>
                </c:pt>
                <c:pt idx="58">
                  <c:v>7.5</c:v>
                </c:pt>
                <c:pt idx="59">
                  <c:v>6</c:v>
                </c:pt>
                <c:pt idx="60">
                  <c:v>9</c:v>
                </c:pt>
                <c:pt idx="61">
                  <c:v>7.5</c:v>
                </c:pt>
                <c:pt idx="62">
                  <c:v>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12</c:v>
                </c:pt>
                <c:pt idx="67">
                  <c:v>8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9</c:v>
                </c:pt>
                <c:pt idx="72">
                  <c:v>6</c:v>
                </c:pt>
                <c:pt idx="73">
                  <c:v>38</c:v>
                </c:pt>
                <c:pt idx="74">
                  <c:v>34</c:v>
                </c:pt>
                <c:pt idx="75">
                  <c:v>26</c:v>
                </c:pt>
                <c:pt idx="76">
                  <c:v>22</c:v>
                </c:pt>
                <c:pt idx="77">
                  <c:v>18</c:v>
                </c:pt>
                <c:pt idx="78">
                  <c:v>15</c:v>
                </c:pt>
                <c:pt idx="79">
                  <c:v>12</c:v>
                </c:pt>
                <c:pt idx="80">
                  <c:v>10</c:v>
                </c:pt>
                <c:pt idx="81">
                  <c:v>9.15</c:v>
                </c:pt>
                <c:pt idx="82">
                  <c:v>7.15</c:v>
                </c:pt>
                <c:pt idx="83">
                  <c:v>5.7</c:v>
                </c:pt>
                <c:pt idx="84">
                  <c:v>4.8</c:v>
                </c:pt>
                <c:pt idx="85">
                  <c:v>3.8</c:v>
                </c:pt>
                <c:pt idx="86">
                  <c:v>2.8</c:v>
                </c:pt>
              </c:numCache>
            </c:numRef>
          </c:xVal>
          <c:yVal>
            <c:numRef>
              <c:f>'GRP Costing'!$N$143:$N$239</c:f>
              <c:numCache>
                <c:formatCode>General</c:formatCode>
                <c:ptCount val="97"/>
                <c:pt idx="22">
                  <c:v>1140</c:v>
                </c:pt>
                <c:pt idx="23">
                  <c:v>1339.2</c:v>
                </c:pt>
                <c:pt idx="24">
                  <c:v>1723.2</c:v>
                </c:pt>
                <c:pt idx="25">
                  <c:v>2107.1999999999998</c:v>
                </c:pt>
                <c:pt idx="26">
                  <c:v>2642.4</c:v>
                </c:pt>
                <c:pt idx="27">
                  <c:v>2782</c:v>
                </c:pt>
                <c:pt idx="28">
                  <c:v>3362.4</c:v>
                </c:pt>
                <c:pt idx="29">
                  <c:v>3490.8</c:v>
                </c:pt>
                <c:pt idx="30">
                  <c:v>3726</c:v>
                </c:pt>
                <c:pt idx="31">
                  <c:v>4917.6000000000004</c:v>
                </c:pt>
                <c:pt idx="32">
                  <c:v>5871.6</c:v>
                </c:pt>
                <c:pt idx="33">
                  <c:v>6372</c:v>
                </c:pt>
                <c:pt idx="34">
                  <c:v>7645.2</c:v>
                </c:pt>
                <c:pt idx="35">
                  <c:v>8372.4</c:v>
                </c:pt>
                <c:pt idx="36">
                  <c:v>9826.7999999999993</c:v>
                </c:pt>
                <c:pt idx="37">
                  <c:v>11462.4</c:v>
                </c:pt>
                <c:pt idx="38">
                  <c:v>12280.8</c:v>
                </c:pt>
                <c:pt idx="39">
                  <c:v>13099.2</c:v>
                </c:pt>
                <c:pt idx="40">
                  <c:v>14372.4</c:v>
                </c:pt>
                <c:pt idx="41">
                  <c:v>15826.8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10-4101-9FFD-69883085A91B}"/>
            </c:ext>
          </c:extLst>
        </c:ser>
        <c:ser>
          <c:idx val="3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6283051126273294"/>
                  <c:y val="-6.486530273921201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'GRP Costing'!$L$143:$L$239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  <c:pt idx="42">
                  <c:v>24</c:v>
                </c:pt>
                <c:pt idx="43">
                  <c:v>20</c:v>
                </c:pt>
                <c:pt idx="44">
                  <c:v>18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12</c:v>
                </c:pt>
                <c:pt idx="54">
                  <c:v>5.625</c:v>
                </c:pt>
                <c:pt idx="55">
                  <c:v>7.5</c:v>
                </c:pt>
                <c:pt idx="56">
                  <c:v>9</c:v>
                </c:pt>
                <c:pt idx="57">
                  <c:v>9</c:v>
                </c:pt>
                <c:pt idx="58">
                  <c:v>7.5</c:v>
                </c:pt>
                <c:pt idx="59">
                  <c:v>6</c:v>
                </c:pt>
                <c:pt idx="60">
                  <c:v>9</c:v>
                </c:pt>
                <c:pt idx="61">
                  <c:v>7.5</c:v>
                </c:pt>
                <c:pt idx="62">
                  <c:v>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12</c:v>
                </c:pt>
                <c:pt idx="67">
                  <c:v>8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9</c:v>
                </c:pt>
                <c:pt idx="72">
                  <c:v>6</c:v>
                </c:pt>
                <c:pt idx="73">
                  <c:v>38</c:v>
                </c:pt>
                <c:pt idx="74">
                  <c:v>34</c:v>
                </c:pt>
                <c:pt idx="75">
                  <c:v>26</c:v>
                </c:pt>
                <c:pt idx="76">
                  <c:v>22</c:v>
                </c:pt>
                <c:pt idx="77">
                  <c:v>18</c:v>
                </c:pt>
                <c:pt idx="78">
                  <c:v>15</c:v>
                </c:pt>
                <c:pt idx="79">
                  <c:v>12</c:v>
                </c:pt>
                <c:pt idx="80">
                  <c:v>10</c:v>
                </c:pt>
                <c:pt idx="81">
                  <c:v>9.15</c:v>
                </c:pt>
                <c:pt idx="82">
                  <c:v>7.15</c:v>
                </c:pt>
                <c:pt idx="83">
                  <c:v>5.7</c:v>
                </c:pt>
                <c:pt idx="84">
                  <c:v>4.8</c:v>
                </c:pt>
                <c:pt idx="85">
                  <c:v>3.8</c:v>
                </c:pt>
                <c:pt idx="86">
                  <c:v>2.8</c:v>
                </c:pt>
              </c:numCache>
            </c:numRef>
          </c:xVal>
          <c:yVal>
            <c:numRef>
              <c:f>'GRP Costing'!$P$143:$P$239</c:f>
              <c:numCache>
                <c:formatCode>General</c:formatCode>
                <c:ptCount val="97"/>
                <c:pt idx="0">
                  <c:v>1386</c:v>
                </c:pt>
                <c:pt idx="1">
                  <c:v>1674</c:v>
                </c:pt>
                <c:pt idx="2">
                  <c:v>2014.8</c:v>
                </c:pt>
                <c:pt idx="3">
                  <c:v>2203.1999999999998</c:v>
                </c:pt>
                <c:pt idx="4">
                  <c:v>2548</c:v>
                </c:pt>
                <c:pt idx="5">
                  <c:v>3056.4</c:v>
                </c:pt>
                <c:pt idx="6">
                  <c:v>3202.8</c:v>
                </c:pt>
                <c:pt idx="7">
                  <c:v>4396.8</c:v>
                </c:pt>
                <c:pt idx="8">
                  <c:v>5538</c:v>
                </c:pt>
                <c:pt idx="9">
                  <c:v>5598</c:v>
                </c:pt>
                <c:pt idx="10">
                  <c:v>5829.6</c:v>
                </c:pt>
                <c:pt idx="11">
                  <c:v>6134.4</c:v>
                </c:pt>
                <c:pt idx="12">
                  <c:v>7177.2</c:v>
                </c:pt>
                <c:pt idx="13">
                  <c:v>7128</c:v>
                </c:pt>
                <c:pt idx="14">
                  <c:v>9194.4</c:v>
                </c:pt>
                <c:pt idx="15">
                  <c:v>9922.7999999999993</c:v>
                </c:pt>
                <c:pt idx="16">
                  <c:v>10726.8</c:v>
                </c:pt>
                <c:pt idx="17">
                  <c:v>11637.6</c:v>
                </c:pt>
                <c:pt idx="18">
                  <c:v>13182</c:v>
                </c:pt>
                <c:pt idx="19">
                  <c:v>15301.2</c:v>
                </c:pt>
                <c:pt idx="20">
                  <c:v>16114.8</c:v>
                </c:pt>
                <c:pt idx="21">
                  <c:v>18202.8</c:v>
                </c:pt>
                <c:pt idx="22">
                  <c:v>1140</c:v>
                </c:pt>
                <c:pt idx="23">
                  <c:v>1339.2</c:v>
                </c:pt>
                <c:pt idx="24">
                  <c:v>1723.2</c:v>
                </c:pt>
                <c:pt idx="25">
                  <c:v>2107.1999999999998</c:v>
                </c:pt>
                <c:pt idx="26">
                  <c:v>2642.4</c:v>
                </c:pt>
                <c:pt idx="27">
                  <c:v>2782</c:v>
                </c:pt>
                <c:pt idx="28">
                  <c:v>3362.4</c:v>
                </c:pt>
                <c:pt idx="29">
                  <c:v>3490.8</c:v>
                </c:pt>
                <c:pt idx="30">
                  <c:v>3726</c:v>
                </c:pt>
                <c:pt idx="31">
                  <c:v>4917.6000000000004</c:v>
                </c:pt>
                <c:pt idx="32">
                  <c:v>5871.6</c:v>
                </c:pt>
                <c:pt idx="33">
                  <c:v>6372</c:v>
                </c:pt>
                <c:pt idx="34">
                  <c:v>7645.2</c:v>
                </c:pt>
                <c:pt idx="35">
                  <c:v>8372.4</c:v>
                </c:pt>
                <c:pt idx="36">
                  <c:v>9826.7999999999993</c:v>
                </c:pt>
                <c:pt idx="37">
                  <c:v>11462.4</c:v>
                </c:pt>
                <c:pt idx="38">
                  <c:v>12280.8</c:v>
                </c:pt>
                <c:pt idx="39">
                  <c:v>13099.2</c:v>
                </c:pt>
                <c:pt idx="40">
                  <c:v>14372.4</c:v>
                </c:pt>
                <c:pt idx="41">
                  <c:v>15826.8</c:v>
                </c:pt>
                <c:pt idx="42">
                  <c:v>8827.5</c:v>
                </c:pt>
                <c:pt idx="43">
                  <c:v>7933.5</c:v>
                </c:pt>
                <c:pt idx="44">
                  <c:v>6156</c:v>
                </c:pt>
                <c:pt idx="45">
                  <c:v>6693</c:v>
                </c:pt>
                <c:pt idx="46">
                  <c:v>5818.5</c:v>
                </c:pt>
                <c:pt idx="47">
                  <c:v>5623.5</c:v>
                </c:pt>
                <c:pt idx="48">
                  <c:v>5074.5</c:v>
                </c:pt>
                <c:pt idx="49">
                  <c:v>4242</c:v>
                </c:pt>
                <c:pt idx="50">
                  <c:v>4479</c:v>
                </c:pt>
                <c:pt idx="51">
                  <c:v>3142</c:v>
                </c:pt>
                <c:pt idx="52">
                  <c:v>3429</c:v>
                </c:pt>
                <c:pt idx="53">
                  <c:v>5868</c:v>
                </c:pt>
                <c:pt idx="54">
                  <c:v>2533</c:v>
                </c:pt>
                <c:pt idx="55">
                  <c:v>3625.2</c:v>
                </c:pt>
                <c:pt idx="56">
                  <c:v>3883</c:v>
                </c:pt>
                <c:pt idx="57">
                  <c:v>5258.45</c:v>
                </c:pt>
                <c:pt idx="58">
                  <c:v>4113</c:v>
                </c:pt>
                <c:pt idx="59">
                  <c:v>3635</c:v>
                </c:pt>
                <c:pt idx="60">
                  <c:v>4542.3599999999997</c:v>
                </c:pt>
                <c:pt idx="61">
                  <c:v>3534.36</c:v>
                </c:pt>
                <c:pt idx="62">
                  <c:v>3156</c:v>
                </c:pt>
                <c:pt idx="63">
                  <c:v>8827.25</c:v>
                </c:pt>
                <c:pt idx="64">
                  <c:v>7933.5</c:v>
                </c:pt>
                <c:pt idx="65">
                  <c:v>6693</c:v>
                </c:pt>
                <c:pt idx="66">
                  <c:v>5623.5</c:v>
                </c:pt>
                <c:pt idx="67">
                  <c:v>4479</c:v>
                </c:pt>
                <c:pt idx="68">
                  <c:v>6156</c:v>
                </c:pt>
                <c:pt idx="69">
                  <c:v>5818.5</c:v>
                </c:pt>
                <c:pt idx="70">
                  <c:v>5074.5</c:v>
                </c:pt>
                <c:pt idx="71">
                  <c:v>4242</c:v>
                </c:pt>
                <c:pt idx="72">
                  <c:v>3429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10-4101-9FFD-69883085A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831823"/>
        <c:axId val="1240830159"/>
      </c:scatterChart>
      <c:valAx>
        <c:axId val="1240831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830159"/>
        <c:crosses val="autoZero"/>
        <c:crossBetween val="midCat"/>
      </c:valAx>
      <c:valAx>
        <c:axId val="12408301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8318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423994846632549E-2"/>
          <c:y val="2.3735805028626537E-2"/>
          <c:w val="0.92352382776055308"/>
          <c:h val="0.8768470219720155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'GRP Costing'!$L$143:$L$229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  <c:pt idx="42">
                  <c:v>24</c:v>
                </c:pt>
                <c:pt idx="43">
                  <c:v>20</c:v>
                </c:pt>
                <c:pt idx="44">
                  <c:v>18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12</c:v>
                </c:pt>
                <c:pt idx="54">
                  <c:v>5.625</c:v>
                </c:pt>
                <c:pt idx="55">
                  <c:v>7.5</c:v>
                </c:pt>
                <c:pt idx="56">
                  <c:v>9</c:v>
                </c:pt>
                <c:pt idx="57">
                  <c:v>9</c:v>
                </c:pt>
                <c:pt idx="58">
                  <c:v>7.5</c:v>
                </c:pt>
                <c:pt idx="59">
                  <c:v>6</c:v>
                </c:pt>
                <c:pt idx="60">
                  <c:v>9</c:v>
                </c:pt>
                <c:pt idx="61">
                  <c:v>7.5</c:v>
                </c:pt>
                <c:pt idx="62">
                  <c:v>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12</c:v>
                </c:pt>
                <c:pt idx="67">
                  <c:v>8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9</c:v>
                </c:pt>
                <c:pt idx="72">
                  <c:v>6</c:v>
                </c:pt>
                <c:pt idx="73">
                  <c:v>38</c:v>
                </c:pt>
                <c:pt idx="74">
                  <c:v>34</c:v>
                </c:pt>
                <c:pt idx="75">
                  <c:v>26</c:v>
                </c:pt>
                <c:pt idx="76">
                  <c:v>22</c:v>
                </c:pt>
                <c:pt idx="77">
                  <c:v>18</c:v>
                </c:pt>
                <c:pt idx="78">
                  <c:v>15</c:v>
                </c:pt>
                <c:pt idx="79">
                  <c:v>12</c:v>
                </c:pt>
                <c:pt idx="80">
                  <c:v>10</c:v>
                </c:pt>
                <c:pt idx="81">
                  <c:v>9.15</c:v>
                </c:pt>
                <c:pt idx="82">
                  <c:v>7.15</c:v>
                </c:pt>
                <c:pt idx="83">
                  <c:v>5.7</c:v>
                </c:pt>
                <c:pt idx="84">
                  <c:v>4.8</c:v>
                </c:pt>
                <c:pt idx="85">
                  <c:v>3.8</c:v>
                </c:pt>
                <c:pt idx="86">
                  <c:v>2.8</c:v>
                </c:pt>
              </c:numCache>
            </c:numRef>
          </c:xVal>
          <c:yVal>
            <c:numRef>
              <c:f>'GRP Costing'!$M$143:$M$229</c:f>
              <c:numCache>
                <c:formatCode>General</c:formatCode>
                <c:ptCount val="87"/>
                <c:pt idx="0">
                  <c:v>1386</c:v>
                </c:pt>
                <c:pt idx="1">
                  <c:v>1674</c:v>
                </c:pt>
                <c:pt idx="2">
                  <c:v>2014.8</c:v>
                </c:pt>
                <c:pt idx="3">
                  <c:v>2203.1999999999998</c:v>
                </c:pt>
                <c:pt idx="4">
                  <c:v>2548</c:v>
                </c:pt>
                <c:pt idx="5">
                  <c:v>3056.4</c:v>
                </c:pt>
                <c:pt idx="6">
                  <c:v>3202.8</c:v>
                </c:pt>
                <c:pt idx="7">
                  <c:v>4396.8</c:v>
                </c:pt>
                <c:pt idx="8">
                  <c:v>5538</c:v>
                </c:pt>
                <c:pt idx="9">
                  <c:v>5598</c:v>
                </c:pt>
                <c:pt idx="10">
                  <c:v>5829.6</c:v>
                </c:pt>
                <c:pt idx="11">
                  <c:v>6134.4</c:v>
                </c:pt>
                <c:pt idx="12">
                  <c:v>7177.2</c:v>
                </c:pt>
                <c:pt idx="13">
                  <c:v>7128</c:v>
                </c:pt>
                <c:pt idx="14">
                  <c:v>9194.4</c:v>
                </c:pt>
                <c:pt idx="15">
                  <c:v>9922.7999999999993</c:v>
                </c:pt>
                <c:pt idx="16">
                  <c:v>10726.8</c:v>
                </c:pt>
                <c:pt idx="17">
                  <c:v>11637.6</c:v>
                </c:pt>
                <c:pt idx="18">
                  <c:v>13182</c:v>
                </c:pt>
                <c:pt idx="19">
                  <c:v>15301.2</c:v>
                </c:pt>
                <c:pt idx="20">
                  <c:v>16114.8</c:v>
                </c:pt>
                <c:pt idx="21">
                  <c:v>18202.8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5E-4CC0-9D2D-22C1B12CFBB2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'GRP Costing'!$L$143:$L$229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  <c:pt idx="42">
                  <c:v>24</c:v>
                </c:pt>
                <c:pt idx="43">
                  <c:v>20</c:v>
                </c:pt>
                <c:pt idx="44">
                  <c:v>18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12</c:v>
                </c:pt>
                <c:pt idx="54">
                  <c:v>5.625</c:v>
                </c:pt>
                <c:pt idx="55">
                  <c:v>7.5</c:v>
                </c:pt>
                <c:pt idx="56">
                  <c:v>9</c:v>
                </c:pt>
                <c:pt idx="57">
                  <c:v>9</c:v>
                </c:pt>
                <c:pt idx="58">
                  <c:v>7.5</c:v>
                </c:pt>
                <c:pt idx="59">
                  <c:v>6</c:v>
                </c:pt>
                <c:pt idx="60">
                  <c:v>9</c:v>
                </c:pt>
                <c:pt idx="61">
                  <c:v>7.5</c:v>
                </c:pt>
                <c:pt idx="62">
                  <c:v>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12</c:v>
                </c:pt>
                <c:pt idx="67">
                  <c:v>8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9</c:v>
                </c:pt>
                <c:pt idx="72">
                  <c:v>6</c:v>
                </c:pt>
                <c:pt idx="73">
                  <c:v>38</c:v>
                </c:pt>
                <c:pt idx="74">
                  <c:v>34</c:v>
                </c:pt>
                <c:pt idx="75">
                  <c:v>26</c:v>
                </c:pt>
                <c:pt idx="76">
                  <c:v>22</c:v>
                </c:pt>
                <c:pt idx="77">
                  <c:v>18</c:v>
                </c:pt>
                <c:pt idx="78">
                  <c:v>15</c:v>
                </c:pt>
                <c:pt idx="79">
                  <c:v>12</c:v>
                </c:pt>
                <c:pt idx="80">
                  <c:v>10</c:v>
                </c:pt>
                <c:pt idx="81">
                  <c:v>9.15</c:v>
                </c:pt>
                <c:pt idx="82">
                  <c:v>7.15</c:v>
                </c:pt>
                <c:pt idx="83">
                  <c:v>5.7</c:v>
                </c:pt>
                <c:pt idx="84">
                  <c:v>4.8</c:v>
                </c:pt>
                <c:pt idx="85">
                  <c:v>3.8</c:v>
                </c:pt>
                <c:pt idx="86">
                  <c:v>2.8</c:v>
                </c:pt>
              </c:numCache>
            </c:numRef>
          </c:xVal>
          <c:yVal>
            <c:numRef>
              <c:f>'GRP Costing'!$N$143:$N$229</c:f>
              <c:numCache>
                <c:formatCode>General</c:formatCode>
                <c:ptCount val="87"/>
                <c:pt idx="22">
                  <c:v>1140</c:v>
                </c:pt>
                <c:pt idx="23">
                  <c:v>1339.2</c:v>
                </c:pt>
                <c:pt idx="24">
                  <c:v>1723.2</c:v>
                </c:pt>
                <c:pt idx="25">
                  <c:v>2107.1999999999998</c:v>
                </c:pt>
                <c:pt idx="26">
                  <c:v>2642.4</c:v>
                </c:pt>
                <c:pt idx="27">
                  <c:v>2782</c:v>
                </c:pt>
                <c:pt idx="28">
                  <c:v>3362.4</c:v>
                </c:pt>
                <c:pt idx="29">
                  <c:v>3490.8</c:v>
                </c:pt>
                <c:pt idx="30">
                  <c:v>3726</c:v>
                </c:pt>
                <c:pt idx="31">
                  <c:v>4917.6000000000004</c:v>
                </c:pt>
                <c:pt idx="32">
                  <c:v>5871.6</c:v>
                </c:pt>
                <c:pt idx="33">
                  <c:v>6372</c:v>
                </c:pt>
                <c:pt idx="34">
                  <c:v>7645.2</c:v>
                </c:pt>
                <c:pt idx="35">
                  <c:v>8372.4</c:v>
                </c:pt>
                <c:pt idx="36">
                  <c:v>9826.7999999999993</c:v>
                </c:pt>
                <c:pt idx="37">
                  <c:v>11462.4</c:v>
                </c:pt>
                <c:pt idx="38">
                  <c:v>12280.8</c:v>
                </c:pt>
                <c:pt idx="39">
                  <c:v>13099.2</c:v>
                </c:pt>
                <c:pt idx="40">
                  <c:v>14372.4</c:v>
                </c:pt>
                <c:pt idx="41">
                  <c:v>15826.8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5E-4CC0-9D2D-22C1B12CFBB2}"/>
            </c:ext>
          </c:extLst>
        </c:ser>
        <c:ser>
          <c:idx val="4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'GRP Costing'!$L$143:$L$229</c:f>
              <c:numCache>
                <c:formatCode>General</c:formatCode>
                <c:ptCount val="8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25</c:v>
                </c:pt>
                <c:pt idx="12">
                  <c:v>30</c:v>
                </c:pt>
                <c:pt idx="13">
                  <c:v>36</c:v>
                </c:pt>
                <c:pt idx="14">
                  <c:v>40</c:v>
                </c:pt>
                <c:pt idx="15">
                  <c:v>45</c:v>
                </c:pt>
                <c:pt idx="16">
                  <c:v>50</c:v>
                </c:pt>
                <c:pt idx="17">
                  <c:v>54</c:v>
                </c:pt>
                <c:pt idx="18">
                  <c:v>60</c:v>
                </c:pt>
                <c:pt idx="19">
                  <c:v>65</c:v>
                </c:pt>
                <c:pt idx="20">
                  <c:v>70</c:v>
                </c:pt>
                <c:pt idx="21">
                  <c:v>84</c:v>
                </c:pt>
                <c:pt idx="22">
                  <c:v>2.8</c:v>
                </c:pt>
                <c:pt idx="23">
                  <c:v>3.8</c:v>
                </c:pt>
                <c:pt idx="24">
                  <c:v>4.8</c:v>
                </c:pt>
                <c:pt idx="25">
                  <c:v>5.7</c:v>
                </c:pt>
                <c:pt idx="26">
                  <c:v>7.15</c:v>
                </c:pt>
                <c:pt idx="27">
                  <c:v>9.15</c:v>
                </c:pt>
                <c:pt idx="28">
                  <c:v>10</c:v>
                </c:pt>
                <c:pt idx="29">
                  <c:v>12</c:v>
                </c:pt>
                <c:pt idx="30">
                  <c:v>15</c:v>
                </c:pt>
                <c:pt idx="31">
                  <c:v>18</c:v>
                </c:pt>
                <c:pt idx="32">
                  <c:v>22</c:v>
                </c:pt>
                <c:pt idx="33">
                  <c:v>26</c:v>
                </c:pt>
                <c:pt idx="34">
                  <c:v>34</c:v>
                </c:pt>
                <c:pt idx="35">
                  <c:v>38</c:v>
                </c:pt>
                <c:pt idx="36">
                  <c:v>46</c:v>
                </c:pt>
                <c:pt idx="37">
                  <c:v>54</c:v>
                </c:pt>
                <c:pt idx="38">
                  <c:v>59</c:v>
                </c:pt>
                <c:pt idx="39">
                  <c:v>63</c:v>
                </c:pt>
                <c:pt idx="40">
                  <c:v>71</c:v>
                </c:pt>
                <c:pt idx="41">
                  <c:v>79</c:v>
                </c:pt>
                <c:pt idx="42">
                  <c:v>24</c:v>
                </c:pt>
                <c:pt idx="43">
                  <c:v>20</c:v>
                </c:pt>
                <c:pt idx="44">
                  <c:v>18</c:v>
                </c:pt>
                <c:pt idx="45">
                  <c:v>16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9</c:v>
                </c:pt>
                <c:pt idx="50">
                  <c:v>8</c:v>
                </c:pt>
                <c:pt idx="51">
                  <c:v>7</c:v>
                </c:pt>
                <c:pt idx="52">
                  <c:v>6</c:v>
                </c:pt>
                <c:pt idx="53">
                  <c:v>12</c:v>
                </c:pt>
                <c:pt idx="54">
                  <c:v>5.625</c:v>
                </c:pt>
                <c:pt idx="55">
                  <c:v>7.5</c:v>
                </c:pt>
                <c:pt idx="56">
                  <c:v>9</c:v>
                </c:pt>
                <c:pt idx="57">
                  <c:v>9</c:v>
                </c:pt>
                <c:pt idx="58">
                  <c:v>7.5</c:v>
                </c:pt>
                <c:pt idx="59">
                  <c:v>6</c:v>
                </c:pt>
                <c:pt idx="60">
                  <c:v>9</c:v>
                </c:pt>
                <c:pt idx="61">
                  <c:v>7.5</c:v>
                </c:pt>
                <c:pt idx="62">
                  <c:v>6</c:v>
                </c:pt>
                <c:pt idx="63">
                  <c:v>24</c:v>
                </c:pt>
                <c:pt idx="64">
                  <c:v>20</c:v>
                </c:pt>
                <c:pt idx="65">
                  <c:v>16</c:v>
                </c:pt>
                <c:pt idx="66">
                  <c:v>12</c:v>
                </c:pt>
                <c:pt idx="67">
                  <c:v>8</c:v>
                </c:pt>
                <c:pt idx="68">
                  <c:v>18</c:v>
                </c:pt>
                <c:pt idx="69">
                  <c:v>15</c:v>
                </c:pt>
                <c:pt idx="70">
                  <c:v>12</c:v>
                </c:pt>
                <c:pt idx="71">
                  <c:v>9</c:v>
                </c:pt>
                <c:pt idx="72">
                  <c:v>6</c:v>
                </c:pt>
                <c:pt idx="73">
                  <c:v>38</c:v>
                </c:pt>
                <c:pt idx="74">
                  <c:v>34</c:v>
                </c:pt>
                <c:pt idx="75">
                  <c:v>26</c:v>
                </c:pt>
                <c:pt idx="76">
                  <c:v>22</c:v>
                </c:pt>
                <c:pt idx="77">
                  <c:v>18</c:v>
                </c:pt>
                <c:pt idx="78">
                  <c:v>15</c:v>
                </c:pt>
                <c:pt idx="79">
                  <c:v>12</c:v>
                </c:pt>
                <c:pt idx="80">
                  <c:v>10</c:v>
                </c:pt>
                <c:pt idx="81">
                  <c:v>9.15</c:v>
                </c:pt>
                <c:pt idx="82">
                  <c:v>7.15</c:v>
                </c:pt>
                <c:pt idx="83">
                  <c:v>5.7</c:v>
                </c:pt>
                <c:pt idx="84">
                  <c:v>4.8</c:v>
                </c:pt>
                <c:pt idx="85">
                  <c:v>3.8</c:v>
                </c:pt>
                <c:pt idx="86">
                  <c:v>2.8</c:v>
                </c:pt>
              </c:numCache>
            </c:numRef>
          </c:xVal>
          <c:yVal>
            <c:numRef>
              <c:f>'GRP Costing'!$Q$143:$Q$229</c:f>
              <c:numCache>
                <c:formatCode>General</c:formatCode>
                <c:ptCount val="87"/>
                <c:pt idx="73">
                  <c:v>8454</c:v>
                </c:pt>
                <c:pt idx="74">
                  <c:v>7726.8</c:v>
                </c:pt>
                <c:pt idx="75">
                  <c:v>6454.8</c:v>
                </c:pt>
                <c:pt idx="76">
                  <c:v>5954</c:v>
                </c:pt>
                <c:pt idx="77">
                  <c:v>5000.3999999999996</c:v>
                </c:pt>
                <c:pt idx="78">
                  <c:v>3808.8</c:v>
                </c:pt>
                <c:pt idx="79">
                  <c:v>3572.4</c:v>
                </c:pt>
                <c:pt idx="80">
                  <c:v>3445.2</c:v>
                </c:pt>
                <c:pt idx="81">
                  <c:v>3428.4</c:v>
                </c:pt>
                <c:pt idx="82">
                  <c:v>2696.4</c:v>
                </c:pt>
                <c:pt idx="83">
                  <c:v>2158.8000000000002</c:v>
                </c:pt>
                <c:pt idx="84">
                  <c:v>1773.6</c:v>
                </c:pt>
                <c:pt idx="85">
                  <c:v>1383.6</c:v>
                </c:pt>
                <c:pt idx="86">
                  <c:v>1167.5999999999999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5E-4CC0-9D2D-22C1B12CF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0464671"/>
        <c:axId val="2140465087"/>
      </c:scatterChart>
      <c:valAx>
        <c:axId val="2140464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0465087"/>
        <c:crosses val="autoZero"/>
        <c:crossBetween val="midCat"/>
      </c:valAx>
      <c:valAx>
        <c:axId val="21404650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0464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14260717410323E-2"/>
          <c:y val="6.0185185185185182E-2"/>
          <c:w val="0.86486351706036746"/>
          <c:h val="0.841674686497521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5.9129702537182749E-2"/>
                  <c:y val="0.266289734616506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'GRP Costing'!$B$233:$B$270</c:f>
              <c:numCache>
                <c:formatCode>General</c:formatCode>
                <c:ptCount val="38"/>
                <c:pt idx="0">
                  <c:v>1</c:v>
                </c:pt>
                <c:pt idx="1">
                  <c:v>1.5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4.5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7.5</c:v>
                </c:pt>
                <c:pt idx="14">
                  <c:v>8</c:v>
                </c:pt>
                <c:pt idx="15">
                  <c:v>9</c:v>
                </c:pt>
                <c:pt idx="16">
                  <c:v>9</c:v>
                </c:pt>
                <c:pt idx="17">
                  <c:v>12</c:v>
                </c:pt>
                <c:pt idx="18">
                  <c:v>12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18</c:v>
                </c:pt>
                <c:pt idx="23">
                  <c:v>18</c:v>
                </c:pt>
                <c:pt idx="24">
                  <c:v>22</c:v>
                </c:pt>
                <c:pt idx="25">
                  <c:v>22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30</c:v>
                </c:pt>
                <c:pt idx="30">
                  <c:v>30</c:v>
                </c:pt>
                <c:pt idx="31">
                  <c:v>40</c:v>
                </c:pt>
                <c:pt idx="32">
                  <c:v>50</c:v>
                </c:pt>
                <c:pt idx="33">
                  <c:v>50</c:v>
                </c:pt>
                <c:pt idx="34">
                  <c:v>60</c:v>
                </c:pt>
                <c:pt idx="35">
                  <c:v>70</c:v>
                </c:pt>
                <c:pt idx="36">
                  <c:v>80</c:v>
                </c:pt>
                <c:pt idx="37">
                  <c:v>84</c:v>
                </c:pt>
              </c:numCache>
            </c:numRef>
          </c:xVal>
          <c:yVal>
            <c:numRef>
              <c:f>'GRP Costing'!$C$233:$C$270</c:f>
              <c:numCache>
                <c:formatCode>General</c:formatCode>
                <c:ptCount val="38"/>
                <c:pt idx="0">
                  <c:v>50</c:v>
                </c:pt>
                <c:pt idx="1">
                  <c:v>70</c:v>
                </c:pt>
                <c:pt idx="2">
                  <c:v>75</c:v>
                </c:pt>
                <c:pt idx="3">
                  <c:v>105</c:v>
                </c:pt>
                <c:pt idx="4">
                  <c:v>110</c:v>
                </c:pt>
                <c:pt idx="5">
                  <c:v>120</c:v>
                </c:pt>
                <c:pt idx="6">
                  <c:v>125</c:v>
                </c:pt>
                <c:pt idx="7">
                  <c:v>155</c:v>
                </c:pt>
                <c:pt idx="8">
                  <c:v>175</c:v>
                </c:pt>
                <c:pt idx="9">
                  <c:v>190</c:v>
                </c:pt>
                <c:pt idx="10">
                  <c:v>175</c:v>
                </c:pt>
                <c:pt idx="11">
                  <c:v>230</c:v>
                </c:pt>
                <c:pt idx="12">
                  <c:v>285</c:v>
                </c:pt>
                <c:pt idx="13">
                  <c:v>350</c:v>
                </c:pt>
                <c:pt idx="14">
                  <c:v>300</c:v>
                </c:pt>
                <c:pt idx="15">
                  <c:v>410</c:v>
                </c:pt>
                <c:pt idx="16">
                  <c:v>300</c:v>
                </c:pt>
                <c:pt idx="17">
                  <c:v>540</c:v>
                </c:pt>
                <c:pt idx="18">
                  <c:v>400</c:v>
                </c:pt>
                <c:pt idx="19">
                  <c:v>670</c:v>
                </c:pt>
                <c:pt idx="20">
                  <c:v>490</c:v>
                </c:pt>
                <c:pt idx="21">
                  <c:v>670</c:v>
                </c:pt>
                <c:pt idx="22">
                  <c:v>590</c:v>
                </c:pt>
                <c:pt idx="23">
                  <c:v>760</c:v>
                </c:pt>
                <c:pt idx="24">
                  <c:v>710</c:v>
                </c:pt>
                <c:pt idx="25">
                  <c:v>880</c:v>
                </c:pt>
                <c:pt idx="26">
                  <c:v>1100</c:v>
                </c:pt>
                <c:pt idx="27">
                  <c:v>875</c:v>
                </c:pt>
                <c:pt idx="28">
                  <c:v>1030</c:v>
                </c:pt>
                <c:pt idx="29">
                  <c:v>975</c:v>
                </c:pt>
                <c:pt idx="30">
                  <c:v>1150</c:v>
                </c:pt>
                <c:pt idx="31">
                  <c:v>1440</c:v>
                </c:pt>
                <c:pt idx="32">
                  <c:v>1705</c:v>
                </c:pt>
                <c:pt idx="33">
                  <c:v>1825</c:v>
                </c:pt>
                <c:pt idx="34">
                  <c:v>2000</c:v>
                </c:pt>
                <c:pt idx="35">
                  <c:v>2300</c:v>
                </c:pt>
                <c:pt idx="36">
                  <c:v>2700</c:v>
                </c:pt>
                <c:pt idx="37">
                  <c:v>2700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EF-450D-900E-0717C3630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2954863"/>
        <c:axId val="692974415"/>
      </c:scatterChart>
      <c:valAx>
        <c:axId val="69295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974415"/>
        <c:crosses val="autoZero"/>
        <c:crossBetween val="midCat"/>
      </c:valAx>
      <c:valAx>
        <c:axId val="692974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9548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Sheet1!$E$19</c:f>
              <c:strCache>
                <c:ptCount val="1"/>
                <c:pt idx="0">
                  <c:v>SAF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Sheet1!$D$20:$D$26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Sheet1!$E$20:$E$26</c:f>
              <c:numCache>
                <c:formatCode>General</c:formatCode>
                <c:ptCount val="7"/>
                <c:pt idx="0">
                  <c:v>7.7040000000000006</c:v>
                </c:pt>
                <c:pt idx="1">
                  <c:v>13.054</c:v>
                </c:pt>
                <c:pt idx="2">
                  <c:v>36.665999999999997</c:v>
                </c:pt>
                <c:pt idx="3">
                  <c:v>18.9072</c:v>
                </c:pt>
                <c:pt idx="4">
                  <c:v>30.499200000000002</c:v>
                </c:pt>
                <c:pt idx="5">
                  <c:v>35.247</c:v>
                </c:pt>
                <c:pt idx="6">
                  <c:v>42.16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4E-466E-B93D-71ED2FBED6CF}"/>
            </c:ext>
          </c:extLst>
        </c:ser>
        <c:ser>
          <c:idx val="1"/>
          <c:order val="1"/>
          <c:tx>
            <c:strRef>
              <c:f>Sheet1!$F$19</c:f>
              <c:strCache>
                <c:ptCount val="1"/>
                <c:pt idx="0">
                  <c:v>ABR-VF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Sheet1!$D$20:$D$26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Sheet1!$F$20:$F$26</c:f>
              <c:numCache>
                <c:formatCode>General</c:formatCode>
                <c:ptCount val="7"/>
                <c:pt idx="0">
                  <c:v>30</c:v>
                </c:pt>
                <c:pt idx="1">
                  <c:v>59.534625892455928</c:v>
                </c:pt>
                <c:pt idx="2">
                  <c:v>119.06925178491186</c:v>
                </c:pt>
                <c:pt idx="3">
                  <c:v>178.60387767736776</c:v>
                </c:pt>
                <c:pt idx="4">
                  <c:v>297.67312946227958</c:v>
                </c:pt>
                <c:pt idx="5">
                  <c:v>446.50969419341942</c:v>
                </c:pt>
                <c:pt idx="6">
                  <c:v>595.34625892455927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4E-466E-B93D-71ED2FBED6CF}"/>
            </c:ext>
          </c:extLst>
        </c:ser>
        <c:ser>
          <c:idx val="2"/>
          <c:order val="2"/>
          <c:tx>
            <c:strRef>
              <c:f>Sheet1!$G$19</c:f>
              <c:strCache>
                <c:ptCount val="1"/>
                <c:pt idx="0">
                  <c:v>ABR-AHF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Sheet1!$D$20:$D$26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Sheet1!$G$20:$G$26</c:f>
              <c:numCache>
                <c:formatCode>General</c:formatCode>
                <c:ptCount val="7"/>
                <c:pt idx="0">
                  <c:v>15.731726674375734</c:v>
                </c:pt>
                <c:pt idx="1">
                  <c:v>30.948588875898388</c:v>
                </c:pt>
                <c:pt idx="2">
                  <c:v>61.897177751796789</c:v>
                </c:pt>
                <c:pt idx="3">
                  <c:v>92.845766627695141</c:v>
                </c:pt>
                <c:pt idx="4">
                  <c:v>154.74294437949197</c:v>
                </c:pt>
                <c:pt idx="5">
                  <c:v>232.11441656923793</c:v>
                </c:pt>
                <c:pt idx="6">
                  <c:v>309.48588875898389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4E-466E-B93D-71ED2FBED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403904"/>
        <c:axId val="673402240"/>
      </c:scatterChart>
      <c:valAx>
        <c:axId val="673403904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Population Equivalent (PE)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02240"/>
        <c:crosses val="autoZero"/>
        <c:crossBetween val="midCat"/>
      </c:valAx>
      <c:valAx>
        <c:axId val="67340224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System Area (m2)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403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Off the Shelf Unit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Design'!$P$58:$P$119</c:f>
              <c:numCache>
                <c:formatCode>General</c:formatCode>
                <c:ptCount val="62"/>
                <c:pt idx="0">
                  <c:v>1386</c:v>
                </c:pt>
                <c:pt idx="1">
                  <c:v>1674</c:v>
                </c:pt>
                <c:pt idx="2">
                  <c:v>1140</c:v>
                </c:pt>
                <c:pt idx="3">
                  <c:v>1167.5999999999999</c:v>
                </c:pt>
                <c:pt idx="4">
                  <c:v>2014.8</c:v>
                </c:pt>
                <c:pt idx="5">
                  <c:v>1302</c:v>
                </c:pt>
                <c:pt idx="6">
                  <c:v>1339.2</c:v>
                </c:pt>
                <c:pt idx="7">
                  <c:v>1383.6</c:v>
                </c:pt>
                <c:pt idx="8">
                  <c:v>2203.1999999999998</c:v>
                </c:pt>
                <c:pt idx="9">
                  <c:v>1570.8</c:v>
                </c:pt>
                <c:pt idx="10">
                  <c:v>1723.2</c:v>
                </c:pt>
                <c:pt idx="11">
                  <c:v>1773.6</c:v>
                </c:pt>
                <c:pt idx="12">
                  <c:v>2036.4</c:v>
                </c:pt>
                <c:pt idx="13">
                  <c:v>2107.1999999999998</c:v>
                </c:pt>
                <c:pt idx="14">
                  <c:v>2158.8000000000002</c:v>
                </c:pt>
                <c:pt idx="15">
                  <c:v>2548</c:v>
                </c:pt>
                <c:pt idx="16">
                  <c:v>2874</c:v>
                </c:pt>
                <c:pt idx="17">
                  <c:v>2642.4</c:v>
                </c:pt>
                <c:pt idx="18">
                  <c:v>2696.4</c:v>
                </c:pt>
                <c:pt idx="19">
                  <c:v>3056.4</c:v>
                </c:pt>
                <c:pt idx="20">
                  <c:v>3462</c:v>
                </c:pt>
                <c:pt idx="21">
                  <c:v>2782</c:v>
                </c:pt>
                <c:pt idx="22">
                  <c:v>3428.4</c:v>
                </c:pt>
                <c:pt idx="23">
                  <c:v>3202.8</c:v>
                </c:pt>
                <c:pt idx="24">
                  <c:v>3362.4</c:v>
                </c:pt>
                <c:pt idx="25">
                  <c:v>3445.2</c:v>
                </c:pt>
                <c:pt idx="26">
                  <c:v>4773.6000000000004</c:v>
                </c:pt>
                <c:pt idx="27">
                  <c:v>3490.8</c:v>
                </c:pt>
                <c:pt idx="28">
                  <c:v>3572.4</c:v>
                </c:pt>
                <c:pt idx="29">
                  <c:v>4396.8</c:v>
                </c:pt>
                <c:pt idx="30">
                  <c:v>3726</c:v>
                </c:pt>
                <c:pt idx="31">
                  <c:v>3808.8</c:v>
                </c:pt>
                <c:pt idx="32">
                  <c:v>5538</c:v>
                </c:pt>
                <c:pt idx="33">
                  <c:v>4917.6000000000004</c:v>
                </c:pt>
                <c:pt idx="34">
                  <c:v>5000.3999999999996</c:v>
                </c:pt>
                <c:pt idx="35">
                  <c:v>5598</c:v>
                </c:pt>
                <c:pt idx="36">
                  <c:v>5829.6</c:v>
                </c:pt>
                <c:pt idx="37">
                  <c:v>5871.6</c:v>
                </c:pt>
                <c:pt idx="38">
                  <c:v>5954</c:v>
                </c:pt>
                <c:pt idx="39">
                  <c:v>6134.4</c:v>
                </c:pt>
                <c:pt idx="40">
                  <c:v>6372</c:v>
                </c:pt>
                <c:pt idx="41">
                  <c:v>6454.8</c:v>
                </c:pt>
                <c:pt idx="42">
                  <c:v>7177.2</c:v>
                </c:pt>
                <c:pt idx="43">
                  <c:v>7645.2</c:v>
                </c:pt>
                <c:pt idx="44">
                  <c:v>7726.8</c:v>
                </c:pt>
                <c:pt idx="45">
                  <c:v>7128</c:v>
                </c:pt>
                <c:pt idx="46">
                  <c:v>8372.4</c:v>
                </c:pt>
                <c:pt idx="47">
                  <c:v>8454</c:v>
                </c:pt>
                <c:pt idx="48">
                  <c:v>9194.4</c:v>
                </c:pt>
                <c:pt idx="49">
                  <c:v>9922.7999999999993</c:v>
                </c:pt>
                <c:pt idx="50">
                  <c:v>9826.7999999999993</c:v>
                </c:pt>
                <c:pt idx="51">
                  <c:v>10726.8</c:v>
                </c:pt>
                <c:pt idx="52">
                  <c:v>11637.6</c:v>
                </c:pt>
                <c:pt idx="53">
                  <c:v>11462.4</c:v>
                </c:pt>
                <c:pt idx="54">
                  <c:v>12280.8</c:v>
                </c:pt>
                <c:pt idx="55">
                  <c:v>13182</c:v>
                </c:pt>
                <c:pt idx="56">
                  <c:v>13099.2</c:v>
                </c:pt>
                <c:pt idx="57">
                  <c:v>15301.2</c:v>
                </c:pt>
                <c:pt idx="58">
                  <c:v>16114.8</c:v>
                </c:pt>
                <c:pt idx="59">
                  <c:v>14372.4</c:v>
                </c:pt>
                <c:pt idx="60">
                  <c:v>15826.8</c:v>
                </c:pt>
                <c:pt idx="61">
                  <c:v>18202.8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83-4B90-B9D6-8C698FF03F2C}"/>
            </c:ext>
          </c:extLst>
        </c:ser>
        <c:ser>
          <c:idx val="1"/>
          <c:order val="1"/>
          <c:tx>
            <c:strRef>
              <c:f>'Septic Tank Design'!$Q$57</c:f>
              <c:strCache>
                <c:ptCount val="1"/>
                <c:pt idx="0">
                  <c:v>Projection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Design'!$Q$58:$Q$119</c:f>
              <c:numCache>
                <c:formatCode>General</c:formatCode>
                <c:ptCount val="62"/>
                <c:pt idx="0">
                  <c:v>562.41330000000005</c:v>
                </c:pt>
                <c:pt idx="1">
                  <c:v>950.26553911472286</c:v>
                </c:pt>
                <c:pt idx="2">
                  <c:v>1225.8012635489538</c:v>
                </c:pt>
                <c:pt idx="3">
                  <c:v>1225.8012635489538</c:v>
                </c:pt>
                <c:pt idx="4">
                  <c:v>1291.4965067099895</c:v>
                </c:pt>
                <c:pt idx="5">
                  <c:v>1291.4965067099895</c:v>
                </c:pt>
                <c:pt idx="6">
                  <c:v>1544.4641428458358</c:v>
                </c:pt>
                <c:pt idx="7">
                  <c:v>1544.4641428458358</c:v>
                </c:pt>
                <c:pt idx="8">
                  <c:v>1605.588976699155</c:v>
                </c:pt>
                <c:pt idx="9">
                  <c:v>1605.588976699155</c:v>
                </c:pt>
                <c:pt idx="10">
                  <c:v>1843.1081804208613</c:v>
                </c:pt>
                <c:pt idx="11">
                  <c:v>1843.1081804208613</c:v>
                </c:pt>
                <c:pt idx="12">
                  <c:v>1900.9302625541663</c:v>
                </c:pt>
                <c:pt idx="13">
                  <c:v>2099.0659590607593</c:v>
                </c:pt>
                <c:pt idx="14">
                  <c:v>2099.0659590607593</c:v>
                </c:pt>
                <c:pt idx="15">
                  <c:v>2182.1401169096625</c:v>
                </c:pt>
                <c:pt idx="16">
                  <c:v>2182.1401169096625</c:v>
                </c:pt>
                <c:pt idx="17">
                  <c:v>2491.7758030452678</c:v>
                </c:pt>
                <c:pt idx="18">
                  <c:v>2491.7758030452678</c:v>
                </c:pt>
                <c:pt idx="19">
                  <c:v>2712.8374711972119</c:v>
                </c:pt>
                <c:pt idx="20">
                  <c:v>2712.8374711972119</c:v>
                </c:pt>
                <c:pt idx="21">
                  <c:v>3003.0524969197154</c:v>
                </c:pt>
                <c:pt idx="22">
                  <c:v>3003.0524969197154</c:v>
                </c:pt>
                <c:pt idx="23">
                  <c:v>3211.8524237700763</c:v>
                </c:pt>
                <c:pt idx="24">
                  <c:v>3211.8524237700763</c:v>
                </c:pt>
                <c:pt idx="25">
                  <c:v>3211.8524237700763</c:v>
                </c:pt>
                <c:pt idx="26">
                  <c:v>3211.8524237700763</c:v>
                </c:pt>
                <c:pt idx="27">
                  <c:v>3686.9906074750102</c:v>
                </c:pt>
                <c:pt idx="28">
                  <c:v>3686.9906074750102</c:v>
                </c:pt>
                <c:pt idx="29">
                  <c:v>4143.1500957700355</c:v>
                </c:pt>
                <c:pt idx="30">
                  <c:v>4365.1968998386228</c:v>
                </c:pt>
                <c:pt idx="31">
                  <c:v>4365.1968998386228</c:v>
                </c:pt>
                <c:pt idx="32">
                  <c:v>5010.952511508096</c:v>
                </c:pt>
                <c:pt idx="33">
                  <c:v>5010.952511508096</c:v>
                </c:pt>
                <c:pt idx="34">
                  <c:v>5010.952511508096</c:v>
                </c:pt>
                <c:pt idx="35">
                  <c:v>5426.814541958378</c:v>
                </c:pt>
                <c:pt idx="36">
                  <c:v>5832.662200733258</c:v>
                </c:pt>
                <c:pt idx="37">
                  <c:v>5832.662200733258</c:v>
                </c:pt>
                <c:pt idx="38">
                  <c:v>5832.662200733258</c:v>
                </c:pt>
                <c:pt idx="39">
                  <c:v>6425.054071612908</c:v>
                </c:pt>
                <c:pt idx="40">
                  <c:v>6618.5966442577619</c:v>
                </c:pt>
                <c:pt idx="41">
                  <c:v>6618.5966442577619</c:v>
                </c:pt>
                <c:pt idx="42">
                  <c:v>7375.5300334594967</c:v>
                </c:pt>
                <c:pt idx="43">
                  <c:v>8108.2228941780277</c:v>
                </c:pt>
                <c:pt idx="44">
                  <c:v>8108.2228941780277</c:v>
                </c:pt>
                <c:pt idx="45">
                  <c:v>8466.6125246798329</c:v>
                </c:pt>
                <c:pt idx="46">
                  <c:v>8820.1877527173892</c:v>
                </c:pt>
                <c:pt idx="47">
                  <c:v>8820.1877527173892</c:v>
                </c:pt>
                <c:pt idx="48">
                  <c:v>9169.2619047054832</c:v>
                </c:pt>
                <c:pt idx="49">
                  <c:v>10024.010006951921</c:v>
                </c:pt>
                <c:pt idx="50">
                  <c:v>10192.117777157981</c:v>
                </c:pt>
                <c:pt idx="51">
                  <c:v>10855.908761763787</c:v>
                </c:pt>
                <c:pt idx="52">
                  <c:v>11506.889442163536</c:v>
                </c:pt>
                <c:pt idx="53">
                  <c:v>11506.889442163536</c:v>
                </c:pt>
                <c:pt idx="54">
                  <c:v>12304.367660375879</c:v>
                </c:pt>
                <c:pt idx="55">
                  <c:v>12461.853273210672</c:v>
                </c:pt>
                <c:pt idx="56">
                  <c:v>12930.5374409306</c:v>
                </c:pt>
                <c:pt idx="57">
                  <c:v>13239.973606145999</c:v>
                </c:pt>
                <c:pt idx="58">
                  <c:v>14003.650694877695</c:v>
                </c:pt>
                <c:pt idx="59">
                  <c:v>14154.768628176853</c:v>
                </c:pt>
                <c:pt idx="60">
                  <c:v>15345.816556388419</c:v>
                </c:pt>
                <c:pt idx="61">
                  <c:v>16075.249348402513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83-4B90-B9D6-8C698FF03F2C}"/>
            </c:ext>
          </c:extLst>
        </c:ser>
        <c:ser>
          <c:idx val="2"/>
          <c:order val="2"/>
          <c:tx>
            <c:v>95% Confidence</c:v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Design'!$R$58:$R$119</c:f>
              <c:numCache>
                <c:formatCode>General</c:formatCode>
                <c:ptCount val="62"/>
                <c:pt idx="0">
                  <c:v>479.61810000000003</c:v>
                </c:pt>
                <c:pt idx="1">
                  <c:v>789.25205105557382</c:v>
                </c:pt>
                <c:pt idx="2">
                  <c:v>1005.1325229288841</c:v>
                </c:pt>
                <c:pt idx="3">
                  <c:v>1005.1325229288841</c:v>
                </c:pt>
                <c:pt idx="4">
                  <c:v>1056.2212431295527</c:v>
                </c:pt>
                <c:pt idx="5">
                  <c:v>1056.2212431295527</c:v>
                </c:pt>
                <c:pt idx="6">
                  <c:v>1251.7801394588223</c:v>
                </c:pt>
                <c:pt idx="7">
                  <c:v>1251.7801394588223</c:v>
                </c:pt>
                <c:pt idx="8">
                  <c:v>1298.7808427067912</c:v>
                </c:pt>
                <c:pt idx="9">
                  <c:v>1298.7808427067912</c:v>
                </c:pt>
                <c:pt idx="10">
                  <c:v>1480.5924057678205</c:v>
                </c:pt>
                <c:pt idx="11">
                  <c:v>1480.5924057678205</c:v>
                </c:pt>
                <c:pt idx="12">
                  <c:v>1524.6684355629552</c:v>
                </c:pt>
                <c:pt idx="13">
                  <c:v>1675.2022034732538</c:v>
                </c:pt>
                <c:pt idx="14">
                  <c:v>1675.2022034732538</c:v>
                </c:pt>
                <c:pt idx="15">
                  <c:v>1738.1011736389169</c:v>
                </c:pt>
                <c:pt idx="16">
                  <c:v>1738.1011736389169</c:v>
                </c:pt>
                <c:pt idx="17">
                  <c:v>1971.5140931911058</c:v>
                </c:pt>
                <c:pt idx="18">
                  <c:v>1971.5140931911058</c:v>
                </c:pt>
                <c:pt idx="19">
                  <c:v>2137.2534605721125</c:v>
                </c:pt>
                <c:pt idx="20">
                  <c:v>2137.2534605721125</c:v>
                </c:pt>
                <c:pt idx="21">
                  <c:v>2353.8173650747231</c:v>
                </c:pt>
                <c:pt idx="22">
                  <c:v>2353.8173650747231</c:v>
                </c:pt>
                <c:pt idx="23">
                  <c:v>2508.9705537546547</c:v>
                </c:pt>
                <c:pt idx="24">
                  <c:v>2508.9705537546547</c:v>
                </c:pt>
                <c:pt idx="25">
                  <c:v>2508.9705537546547</c:v>
                </c:pt>
                <c:pt idx="26">
                  <c:v>2508.9705537546547</c:v>
                </c:pt>
                <c:pt idx="27">
                  <c:v>2860.1921325250555</c:v>
                </c:pt>
                <c:pt idx="28">
                  <c:v>2860.1921325250555</c:v>
                </c:pt>
                <c:pt idx="29">
                  <c:v>3195.2376927964729</c:v>
                </c:pt>
                <c:pt idx="30">
                  <c:v>3357.6447393680405</c:v>
                </c:pt>
                <c:pt idx="31">
                  <c:v>3357.6447393680405</c:v>
                </c:pt>
                <c:pt idx="32">
                  <c:v>3827.6691023667186</c:v>
                </c:pt>
                <c:pt idx="33">
                  <c:v>3827.6691023667186</c:v>
                </c:pt>
                <c:pt idx="34">
                  <c:v>3827.6691023667186</c:v>
                </c:pt>
                <c:pt idx="35">
                  <c:v>4128.7227391728957</c:v>
                </c:pt>
                <c:pt idx="36">
                  <c:v>4421.4070840022086</c:v>
                </c:pt>
                <c:pt idx="37">
                  <c:v>4421.4070840022086</c:v>
                </c:pt>
                <c:pt idx="38">
                  <c:v>4421.4070840022086</c:v>
                </c:pt>
                <c:pt idx="39">
                  <c:v>4846.8017332998679</c:v>
                </c:pt>
                <c:pt idx="40">
                  <c:v>4985.3472275650684</c:v>
                </c:pt>
                <c:pt idx="41">
                  <c:v>4985.3472275650684</c:v>
                </c:pt>
                <c:pt idx="42">
                  <c:v>5525.2877180035175</c:v>
                </c:pt>
                <c:pt idx="43">
                  <c:v>6045.2785126511899</c:v>
                </c:pt>
                <c:pt idx="44">
                  <c:v>6045.2785126511899</c:v>
                </c:pt>
                <c:pt idx="45">
                  <c:v>6298.7524653572909</c:v>
                </c:pt>
                <c:pt idx="46">
                  <c:v>6548.2922968859584</c:v>
                </c:pt>
                <c:pt idx="47">
                  <c:v>6548.2922968859584</c:v>
                </c:pt>
                <c:pt idx="48">
                  <c:v>6794.1616259519706</c:v>
                </c:pt>
                <c:pt idx="49">
                  <c:v>7394.2490923564274</c:v>
                </c:pt>
                <c:pt idx="50">
                  <c:v>7511.9613046860231</c:v>
                </c:pt>
                <c:pt idx="51">
                  <c:v>7975.8211982963758</c:v>
                </c:pt>
                <c:pt idx="52">
                  <c:v>8429.3428825775227</c:v>
                </c:pt>
                <c:pt idx="53">
                  <c:v>8429.3428825775227</c:v>
                </c:pt>
                <c:pt idx="54">
                  <c:v>8983.1741657616658</c:v>
                </c:pt>
                <c:pt idx="55">
                  <c:v>9092.3271329969575</c:v>
                </c:pt>
                <c:pt idx="56">
                  <c:v>9416.7639291209161</c:v>
                </c:pt>
                <c:pt idx="57">
                  <c:v>9630.6389676452491</c:v>
                </c:pt>
                <c:pt idx="58">
                  <c:v>10157.41076979327</c:v>
                </c:pt>
                <c:pt idx="59">
                  <c:v>10261.475526322043</c:v>
                </c:pt>
                <c:pt idx="60">
                  <c:v>11079.760992639356</c:v>
                </c:pt>
                <c:pt idx="61">
                  <c:v>11579.309421193348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83-4B90-B9D6-8C698FF03F2C}"/>
            </c:ext>
          </c:extLst>
        </c:ser>
        <c:ser>
          <c:idx val="3"/>
          <c:order val="3"/>
          <c:tx>
            <c:strRef>
              <c:f>'Septic Tank Design'!$S$57</c:f>
              <c:strCache>
                <c:ptCount val="1"/>
                <c:pt idx="0">
                  <c:v>High Projection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'Septic Tank Design'!$O$58:$O$119</c:f>
              <c:numCache>
                <c:formatCode>General</c:formatCode>
                <c:ptCount val="62"/>
                <c:pt idx="0">
                  <c:v>1</c:v>
                </c:pt>
                <c:pt idx="1">
                  <c:v>2</c:v>
                </c:pt>
                <c:pt idx="2">
                  <c:v>2.8</c:v>
                </c:pt>
                <c:pt idx="3">
                  <c:v>2.8</c:v>
                </c:pt>
                <c:pt idx="4">
                  <c:v>3</c:v>
                </c:pt>
                <c:pt idx="5">
                  <c:v>3</c:v>
                </c:pt>
                <c:pt idx="6">
                  <c:v>3.8</c:v>
                </c:pt>
                <c:pt idx="7">
                  <c:v>3.8</c:v>
                </c:pt>
                <c:pt idx="8">
                  <c:v>4</c:v>
                </c:pt>
                <c:pt idx="9">
                  <c:v>4</c:v>
                </c:pt>
                <c:pt idx="10">
                  <c:v>4.8</c:v>
                </c:pt>
                <c:pt idx="11">
                  <c:v>4.8</c:v>
                </c:pt>
                <c:pt idx="12">
                  <c:v>5</c:v>
                </c:pt>
                <c:pt idx="13">
                  <c:v>5.7</c:v>
                </c:pt>
                <c:pt idx="14">
                  <c:v>5.7</c:v>
                </c:pt>
                <c:pt idx="15">
                  <c:v>6</c:v>
                </c:pt>
                <c:pt idx="16">
                  <c:v>6</c:v>
                </c:pt>
                <c:pt idx="17">
                  <c:v>7.15</c:v>
                </c:pt>
                <c:pt idx="18">
                  <c:v>7.15</c:v>
                </c:pt>
                <c:pt idx="19">
                  <c:v>8</c:v>
                </c:pt>
                <c:pt idx="20">
                  <c:v>8</c:v>
                </c:pt>
                <c:pt idx="21">
                  <c:v>9.15</c:v>
                </c:pt>
                <c:pt idx="22">
                  <c:v>9.15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14</c:v>
                </c:pt>
                <c:pt idx="30">
                  <c:v>15</c:v>
                </c:pt>
                <c:pt idx="31">
                  <c:v>15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25</c:v>
                </c:pt>
                <c:pt idx="40">
                  <c:v>26</c:v>
                </c:pt>
                <c:pt idx="41">
                  <c:v>26</c:v>
                </c:pt>
                <c:pt idx="42">
                  <c:v>30</c:v>
                </c:pt>
                <c:pt idx="43">
                  <c:v>34</c:v>
                </c:pt>
                <c:pt idx="44">
                  <c:v>34</c:v>
                </c:pt>
                <c:pt idx="45">
                  <c:v>36</c:v>
                </c:pt>
                <c:pt idx="46">
                  <c:v>38</c:v>
                </c:pt>
                <c:pt idx="47">
                  <c:v>38</c:v>
                </c:pt>
                <c:pt idx="48">
                  <c:v>40</c:v>
                </c:pt>
                <c:pt idx="49">
                  <c:v>45</c:v>
                </c:pt>
                <c:pt idx="50">
                  <c:v>46</c:v>
                </c:pt>
                <c:pt idx="51">
                  <c:v>50</c:v>
                </c:pt>
                <c:pt idx="52">
                  <c:v>54</c:v>
                </c:pt>
                <c:pt idx="53">
                  <c:v>54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65</c:v>
                </c:pt>
                <c:pt idx="58">
                  <c:v>70</c:v>
                </c:pt>
                <c:pt idx="59">
                  <c:v>71</c:v>
                </c:pt>
                <c:pt idx="60">
                  <c:v>79</c:v>
                </c:pt>
                <c:pt idx="61">
                  <c:v>84</c:v>
                </c:pt>
              </c:numCache>
            </c:numRef>
          </c:xVal>
          <c:yVal>
            <c:numRef>
              <c:f>'Septic Tank Design'!$S$58:$S$119</c:f>
              <c:numCache>
                <c:formatCode>General</c:formatCode>
                <c:ptCount val="62"/>
                <c:pt idx="0">
                  <c:v>645.20799999999997</c:v>
                </c:pt>
                <c:pt idx="1">
                  <c:v>1119.253036193752</c:v>
                </c:pt>
                <c:pt idx="2">
                  <c:v>1462.3665049366934</c:v>
                </c:pt>
                <c:pt idx="3">
                  <c:v>1462.3665049366934</c:v>
                </c:pt>
                <c:pt idx="4">
                  <c:v>1544.7848612202818</c:v>
                </c:pt>
                <c:pt idx="5">
                  <c:v>1544.7848612202818</c:v>
                </c:pt>
                <c:pt idx="6">
                  <c:v>1864.0337348223327</c:v>
                </c:pt>
                <c:pt idx="7">
                  <c:v>1864.0337348223327</c:v>
                </c:pt>
                <c:pt idx="8">
                  <c:v>1941.586835607947</c:v>
                </c:pt>
                <c:pt idx="9">
                  <c:v>1941.586835607947</c:v>
                </c:pt>
                <c:pt idx="10">
                  <c:v>2244.3064363247422</c:v>
                </c:pt>
                <c:pt idx="11">
                  <c:v>2244.3064363247422</c:v>
                </c:pt>
                <c:pt idx="12">
                  <c:v>2318.3083853080266</c:v>
                </c:pt>
                <c:pt idx="13">
                  <c:v>2572.725738721133</c:v>
                </c:pt>
                <c:pt idx="14">
                  <c:v>2572.725738721133</c:v>
                </c:pt>
                <c:pt idx="15">
                  <c:v>2679.7639616789374</c:v>
                </c:pt>
                <c:pt idx="16">
                  <c:v>2679.7639616789374</c:v>
                </c:pt>
                <c:pt idx="17">
                  <c:v>3080.4683783670926</c:v>
                </c:pt>
                <c:pt idx="18">
                  <c:v>3080.4683783670926</c:v>
                </c:pt>
                <c:pt idx="19">
                  <c:v>3368.1029385686684</c:v>
                </c:pt>
                <c:pt idx="20">
                  <c:v>3368.1029385686684</c:v>
                </c:pt>
                <c:pt idx="21">
                  <c:v>3747.4952156567315</c:v>
                </c:pt>
                <c:pt idx="22">
                  <c:v>3747.4952156567315</c:v>
                </c:pt>
                <c:pt idx="23">
                  <c:v>4021.6080691644311</c:v>
                </c:pt>
                <c:pt idx="24">
                  <c:v>4021.6080691644311</c:v>
                </c:pt>
                <c:pt idx="25">
                  <c:v>4021.6080691644311</c:v>
                </c:pt>
                <c:pt idx="26">
                  <c:v>4021.6080691644311</c:v>
                </c:pt>
                <c:pt idx="27">
                  <c:v>4648.6310622183055</c:v>
                </c:pt>
                <c:pt idx="28">
                  <c:v>4648.6310622183055</c:v>
                </c:pt>
                <c:pt idx="29">
                  <c:v>5254.4552001654165</c:v>
                </c:pt>
                <c:pt idx="30">
                  <c:v>5550.5940677485023</c:v>
                </c:pt>
                <c:pt idx="31">
                  <c:v>5550.5940677485023</c:v>
                </c:pt>
                <c:pt idx="32">
                  <c:v>6416.0066205709018</c:v>
                </c:pt>
                <c:pt idx="33">
                  <c:v>6416.0066205709018</c:v>
                </c:pt>
                <c:pt idx="34">
                  <c:v>6416.0066205709018</c:v>
                </c:pt>
                <c:pt idx="35">
                  <c:v>6976.3503270163737</c:v>
                </c:pt>
                <c:pt idx="36">
                  <c:v>7525.2866590248523</c:v>
                </c:pt>
                <c:pt idx="37">
                  <c:v>7525.2866590248523</c:v>
                </c:pt>
                <c:pt idx="38">
                  <c:v>7525.2866590248523</c:v>
                </c:pt>
                <c:pt idx="39">
                  <c:v>8329.9552537933632</c:v>
                </c:pt>
                <c:pt idx="40">
                  <c:v>8593.67772984771</c:v>
                </c:pt>
                <c:pt idx="41">
                  <c:v>8593.67772984771</c:v>
                </c:pt>
                <c:pt idx="42">
                  <c:v>9628.7077392198171</c:v>
                </c:pt>
                <c:pt idx="43">
                  <c:v>10635.699026515453</c:v>
                </c:pt>
                <c:pt idx="44">
                  <c:v>10635.699026515453</c:v>
                </c:pt>
                <c:pt idx="45">
                  <c:v>11129.953271368602</c:v>
                </c:pt>
                <c:pt idx="46">
                  <c:v>11618.599132614912</c:v>
                </c:pt>
                <c:pt idx="47">
                  <c:v>11618.599132614912</c:v>
                </c:pt>
                <c:pt idx="48">
                  <c:v>12101.990807715265</c:v>
                </c:pt>
                <c:pt idx="49">
                  <c:v>13289.472056510442</c:v>
                </c:pt>
                <c:pt idx="50">
                  <c:v>13523.633496348202</c:v>
                </c:pt>
                <c:pt idx="51">
                  <c:v>14450.111761116292</c:v>
                </c:pt>
                <c:pt idx="52">
                  <c:v>15361.480169103654</c:v>
                </c:pt>
                <c:pt idx="53">
                  <c:v>15361.480169103654</c:v>
                </c:pt>
                <c:pt idx="54">
                  <c:v>16481.465938760462</c:v>
                </c:pt>
                <c:pt idx="55">
                  <c:v>16703.079273263902</c:v>
                </c:pt>
                <c:pt idx="56">
                  <c:v>17363.436305540501</c:v>
                </c:pt>
                <c:pt idx="57">
                  <c:v>17800.081391328917</c:v>
                </c:pt>
                <c:pt idx="58">
                  <c:v>18879.876800611364</c:v>
                </c:pt>
                <c:pt idx="59">
                  <c:v>19093.904819644664</c:v>
                </c:pt>
                <c:pt idx="60">
                  <c:v>20784.711134135698</c:v>
                </c:pt>
                <c:pt idx="61">
                  <c:v>21823.504487947725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283-4B90-B9D6-8C698FF0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7026816"/>
        <c:axId val="1807027648"/>
      </c:scatterChart>
      <c:valAx>
        <c:axId val="18070268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Tank Volume (m3)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7027648"/>
        <c:crosses val="autoZero"/>
        <c:crossBetween val="midCat"/>
      </c:valAx>
      <c:valAx>
        <c:axId val="18070276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Unit Price</a:t>
                </a:r>
                <a:r>
                  <a:rPr lang="en-GB" baseline="0"/>
                  <a:t> (£)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70268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'Septic Tank - BS'!$C$12:$C$18</c:f>
              <c:numCache>
                <c:formatCode>General</c:formatCode>
                <c:ptCount val="7"/>
                <c:pt idx="0">
                  <c:v>2900</c:v>
                </c:pt>
                <c:pt idx="1">
                  <c:v>3800</c:v>
                </c:pt>
                <c:pt idx="2">
                  <c:v>5600</c:v>
                </c:pt>
                <c:pt idx="3">
                  <c:v>7400</c:v>
                </c:pt>
                <c:pt idx="4">
                  <c:v>11000</c:v>
                </c:pt>
                <c:pt idx="5">
                  <c:v>15500</c:v>
                </c:pt>
                <c:pt idx="6">
                  <c:v>20000</c:v>
                </c:pt>
              </c:numCache>
            </c:numRef>
          </c:xVal>
          <c:yVal>
            <c:numRef>
              <c:f>'Septic Tank - BS'!$D$12:$D$18</c:f>
              <c:numCache>
                <c:formatCode>General</c:formatCode>
                <c:ptCount val="7"/>
                <c:pt idx="2">
                  <c:v>182.41</c:v>
                </c:pt>
                <c:pt idx="4">
                  <c:v>404.95199999999994</c:v>
                </c:pt>
                <c:pt idx="5">
                  <c:v>506.18999999999994</c:v>
                </c:pt>
                <c:pt idx="6">
                  <c:v>674.92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1D-4850-A56B-5AB98826B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871919"/>
        <c:axId val="1270872335"/>
      </c:scatterChart>
      <c:valAx>
        <c:axId val="127087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872335"/>
        <c:crosses val="autoZero"/>
        <c:crossBetween val="midCat"/>
      </c:valAx>
      <c:valAx>
        <c:axId val="12708723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871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'Septic Tank - BS'!$DQ$64:$DZ$64</c:f>
              <c:numCache>
                <c:formatCode>General</c:formatCode>
                <c:ptCount val="10"/>
                <c:pt idx="0">
                  <c:v>15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'Septic Tank - BS'!$DQ$92:$DZ$92</c:f>
              <c:numCache>
                <c:formatCode>General</c:formatCode>
                <c:ptCount val="10"/>
                <c:pt idx="0">
                  <c:v>49.75</c:v>
                </c:pt>
                <c:pt idx="1">
                  <c:v>65</c:v>
                </c:pt>
                <c:pt idx="2">
                  <c:v>95</c:v>
                </c:pt>
                <c:pt idx="3">
                  <c:v>125</c:v>
                </c:pt>
                <c:pt idx="4">
                  <c:v>155</c:v>
                </c:pt>
                <c:pt idx="5">
                  <c:v>185</c:v>
                </c:pt>
                <c:pt idx="6">
                  <c:v>215</c:v>
                </c:pt>
                <c:pt idx="7">
                  <c:v>245</c:v>
                </c:pt>
                <c:pt idx="8">
                  <c:v>275</c:v>
                </c:pt>
                <c:pt idx="9">
                  <c:v>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B2B-85EB-39C73FA08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2427248"/>
        <c:axId val="2122423920"/>
      </c:scatterChart>
      <c:valAx>
        <c:axId val="212242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423920"/>
        <c:crosses val="autoZero"/>
        <c:crossBetween val="midCat"/>
      </c:valAx>
      <c:valAx>
        <c:axId val="212242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242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6.8197892828056481E-2"/>
                  <c:y val="0.308348279381743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'ABR-Exca'!$D$32:$D$45</c:f>
              <c:numCache>
                <c:formatCode>General</c:formatCode>
                <c:ptCount val="14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200</c:v>
                </c:pt>
                <c:pt idx="8">
                  <c:v>300</c:v>
                </c:pt>
                <c:pt idx="9">
                  <c:v>400</c:v>
                </c:pt>
                <c:pt idx="10">
                  <c:v>500</c:v>
                </c:pt>
                <c:pt idx="11">
                  <c:v>600</c:v>
                </c:pt>
                <c:pt idx="12">
                  <c:v>800</c:v>
                </c:pt>
                <c:pt idx="13">
                  <c:v>1000</c:v>
                </c:pt>
              </c:numCache>
            </c:numRef>
          </c:xVal>
          <c:yVal>
            <c:numRef>
              <c:f>'ABR-Exca'!$E$32:$E$45</c:f>
              <c:numCache>
                <c:formatCode>General</c:formatCode>
                <c:ptCount val="14"/>
                <c:pt idx="0">
                  <c:v>887.26740781634828</c:v>
                </c:pt>
                <c:pt idx="1">
                  <c:v>1120.2967700715831</c:v>
                </c:pt>
                <c:pt idx="2">
                  <c:v>1951.532381261404</c:v>
                </c:pt>
                <c:pt idx="3">
                  <c:v>2301.0736941729683</c:v>
                </c:pt>
                <c:pt idx="4">
                  <c:v>2977.2132553352576</c:v>
                </c:pt>
                <c:pt idx="5">
                  <c:v>4265.0726044703515</c:v>
                </c:pt>
                <c:pt idx="6">
                  <c:v>5074.2866356006407</c:v>
                </c:pt>
                <c:pt idx="7">
                  <c:v>8708.9853838136787</c:v>
                </c:pt>
                <c:pt idx="8">
                  <c:v>12290.574077928772</c:v>
                </c:pt>
                <c:pt idx="9">
                  <c:v>15379.77156055209</c:v>
                </c:pt>
                <c:pt idx="10">
                  <c:v>18916.299700808355</c:v>
                </c:pt>
                <c:pt idx="11">
                  <c:v>21975.448778486814</c:v>
                </c:pt>
                <c:pt idx="12">
                  <c:v>28532.246738429109</c:v>
                </c:pt>
                <c:pt idx="13">
                  <c:v>35064.198709968645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F0-4709-8BC6-1A3F94B5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21199"/>
        <c:axId val="1166810799"/>
      </c:scatterChart>
      <c:valAx>
        <c:axId val="1166821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810799"/>
        <c:crosses val="autoZero"/>
        <c:crossBetween val="midCat"/>
      </c:valAx>
      <c:valAx>
        <c:axId val="116681079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8211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Pumping!$C$9:$C$18</c:f>
              <c:numCache>
                <c:formatCode>General</c:formatCode>
                <c:ptCount val="10"/>
                <c:pt idx="0">
                  <c:v>45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180</c:v>
                </c:pt>
                <c:pt idx="5">
                  <c:v>240</c:v>
                </c:pt>
                <c:pt idx="6">
                  <c:v>300</c:v>
                </c:pt>
                <c:pt idx="7">
                  <c:v>360</c:v>
                </c:pt>
                <c:pt idx="8">
                  <c:v>480</c:v>
                </c:pt>
                <c:pt idx="9">
                  <c:v>600</c:v>
                </c:pt>
              </c:numCache>
            </c:numRef>
          </c:xVal>
          <c:yVal>
            <c:numRef>
              <c:f>Pumping!$I$9:$I$18</c:f>
              <c:numCache>
                <c:formatCode>General</c:formatCode>
                <c:ptCount val="10"/>
                <c:pt idx="0">
                  <c:v>32243.073411535031</c:v>
                </c:pt>
                <c:pt idx="1">
                  <c:v>43643.923095443286</c:v>
                </c:pt>
                <c:pt idx="2">
                  <c:v>64486.146823070063</c:v>
                </c:pt>
                <c:pt idx="3">
                  <c:v>87287.846190886572</c:v>
                </c:pt>
                <c:pt idx="4">
                  <c:v>130931.76928632986</c:v>
                </c:pt>
                <c:pt idx="5">
                  <c:v>174575.69238177314</c:v>
                </c:pt>
                <c:pt idx="6">
                  <c:v>218219.61547721643</c:v>
                </c:pt>
                <c:pt idx="7">
                  <c:v>261863.53857265972</c:v>
                </c:pt>
                <c:pt idx="8">
                  <c:v>349151.38476354629</c:v>
                </c:pt>
                <c:pt idx="9">
                  <c:v>436439.23095443286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C8-41B0-BAA3-35B47230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5183600"/>
        <c:axId val="735180720"/>
      </c:scatterChart>
      <c:valAx>
        <c:axId val="73518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180720"/>
        <c:crosses val="autoZero"/>
        <c:crossBetween val="midCat"/>
      </c:valAx>
      <c:valAx>
        <c:axId val="7351807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5183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nth!$C$12:$C$26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nth!$F$12:$F$26</c:f>
              <c:numCache>
                <c:formatCode>General</c:formatCode>
                <c:ptCount val="15"/>
                <c:pt idx="0">
                  <c:v>13013.094886114382</c:v>
                </c:pt>
                <c:pt idx="1">
                  <c:v>16498.415961098788</c:v>
                </c:pt>
                <c:pt idx="2">
                  <c:v>23733.913468570478</c:v>
                </c:pt>
                <c:pt idx="3">
                  <c:v>30744.444126193866</c:v>
                </c:pt>
                <c:pt idx="4">
                  <c:v>44550.850960021686</c:v>
                </c:pt>
                <c:pt idx="5">
                  <c:v>61893.698773737604</c:v>
                </c:pt>
                <c:pt idx="6">
                  <c:v>78629.444626941389</c:v>
                </c:pt>
                <c:pt idx="7">
                  <c:v>125088.43821687635</c:v>
                </c:pt>
                <c:pt idx="8">
                  <c:v>171257.01280333119</c:v>
                </c:pt>
                <c:pt idx="9">
                  <c:v>251879.36295945267</c:v>
                </c:pt>
                <c:pt idx="10">
                  <c:v>332009.32190408232</c:v>
                </c:pt>
                <c:pt idx="11">
                  <c:v>409080.91518444614</c:v>
                </c:pt>
                <c:pt idx="12">
                  <c:v>491797.46206047357</c:v>
                </c:pt>
                <c:pt idx="13">
                  <c:v>582561.88539867685</c:v>
                </c:pt>
                <c:pt idx="14">
                  <c:v>675087.69605051016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A72-4EB2-AD4F-1920AB1A6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25632"/>
        <c:axId val="996517312"/>
      </c:scatterChart>
      <c:valAx>
        <c:axId val="99652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17312"/>
        <c:crosses val="autoZero"/>
        <c:crossBetween val="midCat"/>
      </c:valAx>
      <c:valAx>
        <c:axId val="996517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2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nth!$C$12:$C$26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nth!$G$12:$G$26</c:f>
              <c:numCache>
                <c:formatCode>General</c:formatCode>
                <c:ptCount val="15"/>
                <c:pt idx="0">
                  <c:v>15147.493228506453</c:v>
                </c:pt>
                <c:pt idx="1">
                  <c:v>17464.03471575307</c:v>
                </c:pt>
                <c:pt idx="2">
                  <c:v>24487.357012933531</c:v>
                </c:pt>
                <c:pt idx="3">
                  <c:v>28483.794499263244</c:v>
                </c:pt>
                <c:pt idx="4">
                  <c:v>36035.758164343868</c:v>
                </c:pt>
                <c:pt idx="5">
                  <c:v>51345.903079009448</c:v>
                </c:pt>
                <c:pt idx="6">
                  <c:v>61297.431898166207</c:v>
                </c:pt>
                <c:pt idx="7">
                  <c:v>72274.531985606882</c:v>
                </c:pt>
                <c:pt idx="8">
                  <c:v>102136.42856236802</c:v>
                </c:pt>
                <c:pt idx="9">
                  <c:v>144482.20390628412</c:v>
                </c:pt>
                <c:pt idx="10">
                  <c:v>190410.49397651924</c:v>
                </c:pt>
                <c:pt idx="11">
                  <c:v>230080.15221871308</c:v>
                </c:pt>
                <c:pt idx="12">
                  <c:v>268315.93456244015</c:v>
                </c:pt>
                <c:pt idx="13">
                  <c:v>334527.01423206751</c:v>
                </c:pt>
                <c:pt idx="14">
                  <c:v>382020.08406914858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11-4A27-A098-BF51A4FEB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52256"/>
        <c:axId val="996553920"/>
      </c:scatterChart>
      <c:valAx>
        <c:axId val="9965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53920"/>
        <c:crosses val="autoZero"/>
        <c:crossBetween val="midCat"/>
      </c:valAx>
      <c:valAx>
        <c:axId val="99655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52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03149606299214E-2"/>
          <c:y val="5.0925925925925923E-2"/>
          <c:w val="0.86486351706036746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'STS Summary'!$AH$32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'STS Summary'!$AM$33:$AM$47</c:f>
                <c:numCache>
                  <c:formatCode>General</c:formatCode>
                  <c:ptCount val="15"/>
                  <c:pt idx="0">
                    <c:v>138.96598228851343</c:v>
                  </c:pt>
                  <c:pt idx="1">
                    <c:v>102.92266968647141</c:v>
                  </c:pt>
                  <c:pt idx="2">
                    <c:v>103.18216660656032</c:v>
                  </c:pt>
                  <c:pt idx="3">
                    <c:v>94.572639047306609</c:v>
                  </c:pt>
                  <c:pt idx="4">
                    <c:v>99.472593569184511</c:v>
                  </c:pt>
                  <c:pt idx="5">
                    <c:v>100.39342007538554</c:v>
                  </c:pt>
                  <c:pt idx="6">
                    <c:v>82.161604264145467</c:v>
                  </c:pt>
                  <c:pt idx="7">
                    <c:v>77.714296481846731</c:v>
                  </c:pt>
                  <c:pt idx="8">
                    <c:v>75.327244978050629</c:v>
                  </c:pt>
                  <c:pt idx="9">
                    <c:v>72.032051063208911</c:v>
                  </c:pt>
                  <c:pt idx="10">
                    <c:v>70.838525311310832</c:v>
                  </c:pt>
                  <c:pt idx="11">
                    <c:v>69.759152895753772</c:v>
                  </c:pt>
                  <c:pt idx="12">
                    <c:v>69.190928353890001</c:v>
                  </c:pt>
                  <c:pt idx="13">
                    <c:v>68.480647676560267</c:v>
                  </c:pt>
                  <c:pt idx="14">
                    <c:v>68.054479270162403</c:v>
                  </c:pt>
                </c:numCache>
              </c:numRef>
            </c:plus>
            <c:minus>
              <c:numRef>
                <c:f>'STS Summary'!$AL$33:$AL$47</c:f>
                <c:numCache>
                  <c:formatCode>General</c:formatCode>
                  <c:ptCount val="15"/>
                  <c:pt idx="0">
                    <c:v>134.65158464324196</c:v>
                  </c:pt>
                  <c:pt idx="1">
                    <c:v>105.85012619045921</c:v>
                  </c:pt>
                  <c:pt idx="2">
                    <c:v>99.195770138653131</c:v>
                  </c:pt>
                  <c:pt idx="3">
                    <c:v>86.259006498821407</c:v>
                  </c:pt>
                  <c:pt idx="4">
                    <c:v>91.333460003343447</c:v>
                  </c:pt>
                  <c:pt idx="5">
                    <c:v>92.868904968942218</c:v>
                  </c:pt>
                  <c:pt idx="6">
                    <c:v>74.696862228444985</c:v>
                  </c:pt>
                  <c:pt idx="7">
                    <c:v>70.343356683415095</c:v>
                  </c:pt>
                  <c:pt idx="8">
                    <c:v>68.057773847808932</c:v>
                  </c:pt>
                  <c:pt idx="9">
                    <c:v>64.864048601157123</c:v>
                  </c:pt>
                  <c:pt idx="10">
                    <c:v>63.721257183354055</c:v>
                  </c:pt>
                  <c:pt idx="11">
                    <c:v>62.672325368253951</c:v>
                  </c:pt>
                  <c:pt idx="12">
                    <c:v>62.124394560028151</c:v>
                  </c:pt>
                  <c:pt idx="13">
                    <c:v>61.439481049745922</c:v>
                  </c:pt>
                  <c:pt idx="14">
                    <c:v>61.028532943576607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'STS Summary'!$AG$33:$AG$47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'STS Summary'!$AH$33:$AH$47</c:f>
              <c:numCache>
                <c:formatCode>0</c:formatCode>
                <c:ptCount val="15"/>
                <c:pt idx="0">
                  <c:v>402.97463383375288</c:v>
                </c:pt>
                <c:pt idx="1">
                  <c:v>336.60863429200856</c:v>
                </c:pt>
                <c:pt idx="2">
                  <c:v>275.21735485098424</c:v>
                </c:pt>
                <c:pt idx="3">
                  <c:v>283.15289584469951</c:v>
                </c:pt>
                <c:pt idx="4">
                  <c:v>233.02556213299792</c:v>
                </c:pt>
                <c:pt idx="5">
                  <c:v>235.7058710572239</c:v>
                </c:pt>
                <c:pt idx="6">
                  <c:v>272.75912106067392</c:v>
                </c:pt>
                <c:pt idx="7">
                  <c:v>241.51145415732705</c:v>
                </c:pt>
                <c:pt idx="8">
                  <c:v>219.90563610340629</c:v>
                </c:pt>
                <c:pt idx="9">
                  <c:v>234.51011605221967</c:v>
                </c:pt>
                <c:pt idx="10">
                  <c:v>223.89054899992038</c:v>
                </c:pt>
                <c:pt idx="11">
                  <c:v>236.56823770557199</c:v>
                </c:pt>
                <c:pt idx="12">
                  <c:v>231.00944699966601</c:v>
                </c:pt>
                <c:pt idx="13">
                  <c:v>221.37848751114402</c:v>
                </c:pt>
                <c:pt idx="14">
                  <c:v>220.95369814320259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ED-493C-B2FC-29D5456A8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4403359"/>
        <c:axId val="904404607"/>
      </c:scatterChart>
      <c:valAx>
        <c:axId val="904403359"/>
        <c:scaling>
          <c:logBase val="10"/>
          <c:orientation val="minMax"/>
          <c:max val="1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404607"/>
        <c:crosses val="autoZero"/>
        <c:crossBetween val="midCat"/>
      </c:valAx>
      <c:valAx>
        <c:axId val="904404607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4403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8.1106080489938753E-2"/>
                  <c:y val="-4.434565470982793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'SAF Summary'!$P$13:$P$20</c:f>
              <c:numCache>
                <c:formatCode>General</c:formatCode>
                <c:ptCount val="8"/>
                <c:pt idx="0">
                  <c:v>150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800</c:v>
                </c:pt>
                <c:pt idx="7">
                  <c:v>1000</c:v>
                </c:pt>
              </c:numCache>
            </c:numRef>
          </c:xVal>
          <c:yVal>
            <c:numRef>
              <c:f>'SAF Summary'!$R$13:$R$20</c:f>
              <c:numCache>
                <c:formatCode>General</c:formatCode>
                <c:ptCount val="8"/>
                <c:pt idx="0">
                  <c:v>11630.936750392539</c:v>
                </c:pt>
                <c:pt idx="1">
                  <c:v>13073.402652089628</c:v>
                </c:pt>
                <c:pt idx="2">
                  <c:v>17437.865013353563</c:v>
                </c:pt>
                <c:pt idx="3">
                  <c:v>20107.579171208923</c:v>
                </c:pt>
                <c:pt idx="4">
                  <c:v>22699.080088317045</c:v>
                </c:pt>
                <c:pt idx="5">
                  <c:v>25630.884643744805</c:v>
                </c:pt>
                <c:pt idx="6">
                  <c:v>31071.524238061305</c:v>
                </c:pt>
                <c:pt idx="7">
                  <c:v>35191.291249755901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1A-482B-8189-624DE276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104928"/>
        <c:axId val="870105344"/>
      </c:scatterChart>
      <c:valAx>
        <c:axId val="87010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105344"/>
        <c:crosses val="autoZero"/>
        <c:crossBetween val="midCat"/>
      </c:valAx>
      <c:valAx>
        <c:axId val="870105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104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7.7505030621172352E-2"/>
                  <c:y val="0.2083333333333333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'SAF Summary'!$P$7:$P$12</c:f>
              <c:numCache>
                <c:formatCode>General</c:formatCode>
                <c:ptCount val="6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  <c:pt idx="4">
                  <c:v>75</c:v>
                </c:pt>
                <c:pt idx="5">
                  <c:v>100</c:v>
                </c:pt>
              </c:numCache>
            </c:numRef>
          </c:xVal>
          <c:yVal>
            <c:numRef>
              <c:f>'SAF Summary'!$Q$7:$Q$12</c:f>
              <c:numCache>
                <c:formatCode>0</c:formatCode>
                <c:ptCount val="6"/>
                <c:pt idx="0">
                  <c:v>7798.871939738181</c:v>
                </c:pt>
                <c:pt idx="1">
                  <c:v>13798.986695028789</c:v>
                </c:pt>
                <c:pt idx="2" formatCode="General">
                  <c:v>17603.468725420695</c:v>
                </c:pt>
                <c:pt idx="3" formatCode="General">
                  <c:v>27289.768307617476</c:v>
                </c:pt>
                <c:pt idx="4" formatCode="General">
                  <c:v>35779.116616618536</c:v>
                </c:pt>
                <c:pt idx="5" formatCode="General">
                  <c:v>39998.994026037602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8E-4DCA-BFE4-035A774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870864"/>
        <c:axId val="825873360"/>
      </c:scatterChart>
      <c:valAx>
        <c:axId val="82587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873360"/>
        <c:crosses val="autoZero"/>
        <c:crossBetween val="midCat"/>
      </c:valAx>
      <c:valAx>
        <c:axId val="825873360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8708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13786211671989"/>
          <c:y val="5.0925925925925923E-2"/>
          <c:w val="0.83953018372703414"/>
          <c:h val="0.7357713619130942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9499496937882767"/>
                  <c:y val="3.703703703703703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'SAF Summary'!$P$6:$P$20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'SAF Summary'!$Q$6:$Q$20</c:f>
              <c:numCache>
                <c:formatCode>0</c:formatCode>
                <c:ptCount val="15"/>
                <c:pt idx="0">
                  <c:v>4310.856782680853</c:v>
                </c:pt>
                <c:pt idx="1">
                  <c:v>7798.871939738181</c:v>
                </c:pt>
                <c:pt idx="2">
                  <c:v>13798.986695028789</c:v>
                </c:pt>
                <c:pt idx="3" formatCode="General">
                  <c:v>17603.468725420695</c:v>
                </c:pt>
                <c:pt idx="4" formatCode="General">
                  <c:v>27289.768307617476</c:v>
                </c:pt>
                <c:pt idx="5" formatCode="General">
                  <c:v>35779.116616618536</c:v>
                </c:pt>
                <c:pt idx="6" formatCode="General">
                  <c:v>39998.994026037602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A2-4404-978D-185A44B0313F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5.7782808398950128E-2"/>
                  <c:y val="0.141044765237678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'SAF Summary'!$P$6:$P$20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'SAF Summary'!$R$6:$R$20</c:f>
              <c:numCache>
                <c:formatCode>General</c:formatCode>
                <c:ptCount val="15"/>
                <c:pt idx="7">
                  <c:v>11630.936750392539</c:v>
                </c:pt>
                <c:pt idx="8">
                  <c:v>13073.402652089628</c:v>
                </c:pt>
                <c:pt idx="9">
                  <c:v>17437.865013353563</c:v>
                </c:pt>
                <c:pt idx="10">
                  <c:v>20107.579171208923</c:v>
                </c:pt>
                <c:pt idx="11">
                  <c:v>22699.080088317045</c:v>
                </c:pt>
                <c:pt idx="12">
                  <c:v>25630.884643744805</c:v>
                </c:pt>
                <c:pt idx="13">
                  <c:v>31071.524238061305</c:v>
                </c:pt>
                <c:pt idx="14">
                  <c:v>35191.291249755901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A2-4404-978D-185A44B0313F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'SAF Summary'!$P$6:$P$20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'SAF Summary'!$S$6:$S$20</c:f>
              <c:numCache>
                <c:formatCode>0</c:formatCode>
                <c:ptCount val="15"/>
                <c:pt idx="7" formatCode="General">
                  <c:v>20772.710212175865</c:v>
                </c:pt>
                <c:pt idx="8" formatCode="General">
                  <c:v>24415.289314026631</c:v>
                </c:pt>
                <c:pt idx="9" formatCode="General">
                  <c:v>32159.506967642363</c:v>
                </c:pt>
                <c:pt idx="10" formatCode="General">
                  <c:v>37772.633259898823</c:v>
                </c:pt>
                <c:pt idx="11" formatCode="General">
                  <c:v>43643.923095443286</c:v>
                </c:pt>
                <c:pt idx="12" formatCode="General">
                  <c:v>50756.868630845289</c:v>
                </c:pt>
                <c:pt idx="13" formatCode="General">
                  <c:v>64486.146823070063</c:v>
                </c:pt>
                <c:pt idx="14" formatCode="General">
                  <c:v>76109.205373648903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00-4C91-89B9-2716CDC06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744928"/>
        <c:axId val="785744096"/>
      </c:scatterChart>
      <c:valAx>
        <c:axId val="78574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744096"/>
        <c:crosses val="autoZero"/>
        <c:crossBetween val="midCat"/>
      </c:valAx>
      <c:valAx>
        <c:axId val="785744096"/>
        <c:scaling>
          <c:orientation val="minMax"/>
          <c:max val="5000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744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30697681539807525"/>
          <c:y val="0.89409667541557303"/>
          <c:w val="0.36553294970328309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'Septic Tank Design'!$C$4:$C$18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'Septic Tank Design'!$E$4:$E$18</c:f>
              <c:numCache>
                <c:formatCode>General</c:formatCode>
                <c:ptCount val="15"/>
                <c:pt idx="0">
                  <c:v>2.9</c:v>
                </c:pt>
                <c:pt idx="1">
                  <c:v>3.8</c:v>
                </c:pt>
                <c:pt idx="2">
                  <c:v>5.6</c:v>
                </c:pt>
                <c:pt idx="3">
                  <c:v>7.4</c:v>
                </c:pt>
                <c:pt idx="4">
                  <c:v>11</c:v>
                </c:pt>
                <c:pt idx="5">
                  <c:v>15.5</c:v>
                </c:pt>
                <c:pt idx="6">
                  <c:v>20</c:v>
                </c:pt>
                <c:pt idx="7">
                  <c:v>29</c:v>
                </c:pt>
                <c:pt idx="8">
                  <c:v>38</c:v>
                </c:pt>
                <c:pt idx="9">
                  <c:v>56</c:v>
                </c:pt>
                <c:pt idx="10">
                  <c:v>74</c:v>
                </c:pt>
                <c:pt idx="11">
                  <c:v>92</c:v>
                </c:pt>
                <c:pt idx="12">
                  <c:v>110</c:v>
                </c:pt>
                <c:pt idx="13">
                  <c:v>146</c:v>
                </c:pt>
                <c:pt idx="14">
                  <c:v>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46-4EFE-910C-FA7DE4DDA905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'Septic Tank Design'!$C$4:$C$18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'Septic Tank Design'!$F$4:$F$18</c:f>
              <c:numCache>
                <c:formatCode>General</c:formatCode>
                <c:ptCount val="15"/>
                <c:pt idx="0">
                  <c:v>1.5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22.5</c:v>
                </c:pt>
                <c:pt idx="6">
                  <c:v>30</c:v>
                </c:pt>
                <c:pt idx="7">
                  <c:v>45</c:v>
                </c:pt>
                <c:pt idx="8">
                  <c:v>60</c:v>
                </c:pt>
                <c:pt idx="9">
                  <c:v>90</c:v>
                </c:pt>
                <c:pt idx="10">
                  <c:v>120</c:v>
                </c:pt>
                <c:pt idx="11">
                  <c:v>150</c:v>
                </c:pt>
                <c:pt idx="12">
                  <c:v>180</c:v>
                </c:pt>
                <c:pt idx="13">
                  <c:v>240</c:v>
                </c:pt>
                <c:pt idx="14">
                  <c:v>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46-4EFE-910C-FA7DE4DDA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3363104"/>
        <c:axId val="2023357696"/>
      </c:scatterChart>
      <c:valAx>
        <c:axId val="2023363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3357696"/>
        <c:crosses val="autoZero"/>
        <c:crossBetween val="midCat"/>
      </c:valAx>
      <c:valAx>
        <c:axId val="2023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3363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4426946631674"/>
          <c:y val="0.90798556430446198"/>
          <c:w val="0.3358670166229221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'SAF Summary'!$P$25:$P$31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'SAF Summary'!$Q$25:$Q$31</c:f>
              <c:numCache>
                <c:formatCode>General</c:formatCode>
                <c:ptCount val="7"/>
                <c:pt idx="0">
                  <c:v>3542.3426391858593</c:v>
                </c:pt>
                <c:pt idx="1">
                  <c:v>6562.7667841985658</c:v>
                </c:pt>
                <c:pt idx="2">
                  <c:v>10916.281338658684</c:v>
                </c:pt>
                <c:pt idx="3">
                  <c:v>17603.468725420695</c:v>
                </c:pt>
                <c:pt idx="4">
                  <c:v>27289.768307617476</c:v>
                </c:pt>
                <c:pt idx="5">
                  <c:v>35779.116616618536</c:v>
                </c:pt>
                <c:pt idx="6">
                  <c:v>39998.994026037602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6B-4544-9130-C2C4AB25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8709423"/>
        <c:axId val="1668705679"/>
      </c:scatterChart>
      <c:valAx>
        <c:axId val="1668709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705679"/>
        <c:crosses val="autoZero"/>
        <c:crossBetween val="midCat"/>
      </c:valAx>
      <c:valAx>
        <c:axId val="16687056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87094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'SAF Summary'!$P$42:$P$56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'SAF Summary'!$Q$42:$Q$56</c:f>
              <c:numCache>
                <c:formatCode>General</c:formatCode>
                <c:ptCount val="15"/>
                <c:pt idx="0">
                  <c:v>3542.3426391858593</c:v>
                </c:pt>
                <c:pt idx="1">
                  <c:v>6562.7667841985658</c:v>
                </c:pt>
                <c:pt idx="2">
                  <c:v>10916.281338658684</c:v>
                </c:pt>
                <c:pt idx="3">
                  <c:v>17603.468725420695</c:v>
                </c:pt>
                <c:pt idx="4">
                  <c:v>27289.768307617476</c:v>
                </c:pt>
                <c:pt idx="5">
                  <c:v>35779.116616618536</c:v>
                </c:pt>
                <c:pt idx="6">
                  <c:v>39998.994026037602</c:v>
                </c:pt>
                <c:pt idx="7">
                  <c:v>62523.50077287617</c:v>
                </c:pt>
                <c:pt idx="8">
                  <c:v>79518.299263537847</c:v>
                </c:pt>
                <c:pt idx="9">
                  <c:v>111594.85111778323</c:v>
                </c:pt>
                <c:pt idx="10">
                  <c:v>141927.95761211545</c:v>
                </c:pt>
                <c:pt idx="11">
                  <c:v>171027.26158832569</c:v>
                </c:pt>
                <c:pt idx="12">
                  <c:v>199179.67871374727</c:v>
                </c:pt>
                <c:pt idx="13">
                  <c:v>253319.6174780743</c:v>
                </c:pt>
                <c:pt idx="14">
                  <c:v>305257.40814422088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01-4DBC-9B75-BEDC8FB59189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'SAF Summary'!$P$42:$P$56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'SAF Summary'!$R$42:$R$56</c:f>
              <c:numCache>
                <c:formatCode>General</c:formatCode>
                <c:ptCount val="15"/>
                <c:pt idx="0">
                  <c:v>4310.856782680853</c:v>
                </c:pt>
                <c:pt idx="1">
                  <c:v>7798.871939738181</c:v>
                </c:pt>
                <c:pt idx="2">
                  <c:v>13798.986695028789</c:v>
                </c:pt>
                <c:pt idx="3">
                  <c:v>17603.468725420695</c:v>
                </c:pt>
                <c:pt idx="4">
                  <c:v>27289.768307617476</c:v>
                </c:pt>
                <c:pt idx="5">
                  <c:v>35779.116616618536</c:v>
                </c:pt>
                <c:pt idx="6">
                  <c:v>39998.994026037602</c:v>
                </c:pt>
                <c:pt idx="7">
                  <c:v>59301.044786547631</c:v>
                </c:pt>
                <c:pt idx="8">
                  <c:v>73676.438116863195</c:v>
                </c:pt>
                <c:pt idx="9">
                  <c:v>100043.6381439713</c:v>
                </c:pt>
                <c:pt idx="10">
                  <c:v>124295.5995333866</c:v>
                </c:pt>
                <c:pt idx="11">
                  <c:v>147087.02308169013</c:v>
                </c:pt>
                <c:pt idx="12">
                  <c:v>168778.30009754444</c:v>
                </c:pt>
                <c:pt idx="13">
                  <c:v>209692.49407603955</c:v>
                </c:pt>
                <c:pt idx="14">
                  <c:v>248142.69235601506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01-4DBC-9B75-BEDC8FB59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429599"/>
        <c:axId val="1708438335"/>
      </c:scatterChart>
      <c:valAx>
        <c:axId val="170842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438335"/>
        <c:crosses val="autoZero"/>
        <c:crossBetween val="midCat"/>
      </c:valAx>
      <c:valAx>
        <c:axId val="170843833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429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'SAF Summary'!$W$6:$W$21</c:f>
              <c:numCache>
                <c:formatCode>General</c:formatCode>
                <c:ptCount val="16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'SAF Summary'!$X$6:$X$21</c:f>
              <c:numCache>
                <c:formatCode>General</c:formatCode>
                <c:ptCount val="16"/>
                <c:pt idx="0">
                  <c:v>4310.856782680853</c:v>
                </c:pt>
                <c:pt idx="1">
                  <c:v>7798.871939738181</c:v>
                </c:pt>
                <c:pt idx="2">
                  <c:v>13798.986695028789</c:v>
                </c:pt>
                <c:pt idx="3">
                  <c:v>17603.468725420695</c:v>
                </c:pt>
                <c:pt idx="4">
                  <c:v>27289.768307617476</c:v>
                </c:pt>
                <c:pt idx="5">
                  <c:v>35779.116616618536</c:v>
                </c:pt>
                <c:pt idx="6">
                  <c:v>39998.994026037602</c:v>
                </c:pt>
                <c:pt idx="7">
                  <c:v>85258.857035245921</c:v>
                </c:pt>
                <c:pt idx="8">
                  <c:v>111703.1355049132</c:v>
                </c:pt>
                <c:pt idx="9">
                  <c:v>163091.27625397223</c:v>
                </c:pt>
                <c:pt idx="10">
                  <c:v>212348.32564167195</c:v>
                </c:pt>
                <c:pt idx="11">
                  <c:v>261863.53857265972</c:v>
                </c:pt>
                <c:pt idx="12">
                  <c:v>312620.40720350499</c:v>
                </c:pt>
                <c:pt idx="13">
                  <c:v>413637.53158661636</c:v>
                </c:pt>
                <c:pt idx="14">
                  <c:v>512548.43632808176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52-429D-B970-6B528316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361759"/>
        <c:axId val="1642363007"/>
      </c:scatterChart>
      <c:valAx>
        <c:axId val="1642361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363007"/>
        <c:crosses val="autoZero"/>
        <c:crossBetween val="midCat"/>
      </c:valAx>
      <c:valAx>
        <c:axId val="16423630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23617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7.836614173228347E-2"/>
                  <c:y val="0.175044838145231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'Wetland Summary'!$AN$6:$AN$20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'Wetland Summary'!$AO$6:$AO$20</c:f>
              <c:numCache>
                <c:formatCode>General</c:formatCode>
                <c:ptCount val="15"/>
                <c:pt idx="0">
                  <c:v>15174.676351316477</c:v>
                </c:pt>
                <c:pt idx="1">
                  <c:v>18809.278916624382</c:v>
                </c:pt>
                <c:pt idx="2">
                  <c:v>25673.088804559178</c:v>
                </c:pt>
                <c:pt idx="3">
                  <c:v>32830.571358632202</c:v>
                </c:pt>
                <c:pt idx="4">
                  <c:v>46929.008384896661</c:v>
                </c:pt>
                <c:pt idx="5">
                  <c:v>64125.390059031066</c:v>
                </c:pt>
                <c:pt idx="6">
                  <c:v>81232.27815591832</c:v>
                </c:pt>
                <c:pt idx="7">
                  <c:v>135126.6637669552</c:v>
                </c:pt>
                <c:pt idx="8">
                  <c:v>174946.96551922383</c:v>
                </c:pt>
                <c:pt idx="9">
                  <c:v>256709.54491635901</c:v>
                </c:pt>
                <c:pt idx="10">
                  <c:v>338472.12431349413</c:v>
                </c:pt>
                <c:pt idx="11">
                  <c:v>416547.28374447848</c:v>
                </c:pt>
                <c:pt idx="12">
                  <c:v>500916.11972658301</c:v>
                </c:pt>
                <c:pt idx="13">
                  <c:v>584509.26807676884</c:v>
                </c:pt>
                <c:pt idx="14">
                  <c:v>670000.52936656354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19-4432-9229-36D3B6EF1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51087"/>
        <c:axId val="170450671"/>
      </c:scatterChart>
      <c:valAx>
        <c:axId val="17045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50671"/>
        <c:crosses val="autoZero"/>
        <c:crossBetween val="midCat"/>
      </c:valAx>
      <c:valAx>
        <c:axId val="1704506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451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'Wetland Summary'!$AO$5</c:f>
              <c:strCache>
                <c:ptCount val="1"/>
                <c:pt idx="0">
                  <c:v>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'Wetland Summary'!$AN$6:$AN$20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'Wetland Summary'!$AO$6:$AO$20</c:f>
              <c:numCache>
                <c:formatCode>General</c:formatCode>
                <c:ptCount val="15"/>
                <c:pt idx="0">
                  <c:v>15174.676351316477</c:v>
                </c:pt>
                <c:pt idx="1">
                  <c:v>18809.278916624382</c:v>
                </c:pt>
                <c:pt idx="2">
                  <c:v>25673.088804559178</c:v>
                </c:pt>
                <c:pt idx="3">
                  <c:v>32830.571358632202</c:v>
                </c:pt>
                <c:pt idx="4">
                  <c:v>46929.008384896661</c:v>
                </c:pt>
                <c:pt idx="5">
                  <c:v>64125.390059031066</c:v>
                </c:pt>
                <c:pt idx="6">
                  <c:v>81232.27815591832</c:v>
                </c:pt>
                <c:pt idx="7">
                  <c:v>135126.6637669552</c:v>
                </c:pt>
                <c:pt idx="8">
                  <c:v>174946.96551922383</c:v>
                </c:pt>
                <c:pt idx="9">
                  <c:v>256709.54491635901</c:v>
                </c:pt>
                <c:pt idx="10">
                  <c:v>338472.12431349413</c:v>
                </c:pt>
                <c:pt idx="11">
                  <c:v>416547.28374447848</c:v>
                </c:pt>
                <c:pt idx="12">
                  <c:v>500916.11972658301</c:v>
                </c:pt>
                <c:pt idx="13">
                  <c:v>584509.26807676884</c:v>
                </c:pt>
                <c:pt idx="14">
                  <c:v>670000.52936656354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23-4802-A157-31C98DF67AA0}"/>
            </c:ext>
          </c:extLst>
        </c:ser>
        <c:ser>
          <c:idx val="1"/>
          <c:order val="1"/>
          <c:tx>
            <c:strRef>
              <c:f>'Wetland Summary'!$AP$5</c:f>
              <c:strCache>
                <c:ptCount val="1"/>
                <c:pt idx="0">
                  <c:v>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'Wetland Summary'!$AN$6:$AN$20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'Wetland Summary'!$AP$6:$AP$20</c:f>
              <c:numCache>
                <c:formatCode>General</c:formatCode>
                <c:ptCount val="15"/>
                <c:pt idx="0">
                  <c:v>18641.965684976672</c:v>
                </c:pt>
                <c:pt idx="1">
                  <c:v>21241.78316308817</c:v>
                </c:pt>
                <c:pt idx="2">
                  <c:v>28817.882810556133</c:v>
                </c:pt>
                <c:pt idx="3">
                  <c:v>32943.770639361595</c:v>
                </c:pt>
                <c:pt idx="4">
                  <c:v>40637.63147647259</c:v>
                </c:pt>
                <c:pt idx="5">
                  <c:v>57499.732149142415</c:v>
                </c:pt>
                <c:pt idx="6">
                  <c:v>67847.921618011911</c:v>
                </c:pt>
                <c:pt idx="7">
                  <c:v>85587.16420387369</c:v>
                </c:pt>
                <c:pt idx="8">
                  <c:v>110112.1996258017</c:v>
                </c:pt>
                <c:pt idx="9">
                  <c:v>154491.79903370343</c:v>
                </c:pt>
                <c:pt idx="10">
                  <c:v>204253.69273470232</c:v>
                </c:pt>
                <c:pt idx="11">
                  <c:v>245064.29427447217</c:v>
                </c:pt>
                <c:pt idx="12">
                  <c:v>286726.22046603024</c:v>
                </c:pt>
                <c:pt idx="13">
                  <c:v>339626.49455523933</c:v>
                </c:pt>
                <c:pt idx="14">
                  <c:v>379787.21523294691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23-4802-A157-31C98DF67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78799"/>
        <c:axId val="141963823"/>
      </c:scatterChart>
      <c:valAx>
        <c:axId val="141978799"/>
        <c:scaling>
          <c:orientation val="minMax"/>
          <c:max val="1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963823"/>
        <c:crosses val="autoZero"/>
        <c:crossBetween val="midCat"/>
      </c:valAx>
      <c:valAx>
        <c:axId val="141963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9787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48589739653873E-2"/>
          <c:y val="2.0717713808437819E-2"/>
          <c:w val="0.88958061019866363"/>
          <c:h val="0.9240350493690613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'Wetland Summary'!$AN$6:$AN$20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'Wetland Summary'!$AU$6:$AU$20</c:f>
              <c:numCache>
                <c:formatCode>General</c:formatCode>
                <c:ptCount val="15"/>
                <c:pt idx="0">
                  <c:v>18.599376225944031</c:v>
                </c:pt>
                <c:pt idx="1">
                  <c:v>11.451506814600899</c:v>
                </c:pt>
                <c:pt idx="2">
                  <c:v>10.912647631577576</c:v>
                </c:pt>
                <c:pt idx="3">
                  <c:v>0.34361361353743108</c:v>
                </c:pt>
                <c:pt idx="4">
                  <c:v>-15.48165254676937</c:v>
                </c:pt>
                <c:pt idx="5">
                  <c:v>-11.522936998563861</c:v>
                </c:pt>
                <c:pt idx="6">
                  <c:v>-19.726995637775293</c:v>
                </c:pt>
                <c:pt idx="7">
                  <c:v>-57.881926599502108</c:v>
                </c:pt>
                <c:pt idx="8">
                  <c:v>-58.880638216067318</c:v>
                </c:pt>
                <c:pt idx="9">
                  <c:v>-66.163865345600698</c:v>
                </c:pt>
                <c:pt idx="10">
                  <c:v>-65.7116303660288</c:v>
                </c:pt>
                <c:pt idx="11">
                  <c:v>-69.974693774828438</c:v>
                </c:pt>
                <c:pt idx="12">
                  <c:v>-74.701887714496223</c:v>
                </c:pt>
                <c:pt idx="13">
                  <c:v>-72.103554183020307</c:v>
                </c:pt>
                <c:pt idx="14">
                  <c:v>-76.414713948601701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F3-40C3-9348-724DAE588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914415"/>
        <c:axId val="1167901103"/>
      </c:scatterChart>
      <c:valAx>
        <c:axId val="1167914415"/>
        <c:scaling>
          <c:orientation val="minMax"/>
          <c:max val="1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901103"/>
        <c:crosses val="autoZero"/>
        <c:crossBetween val="midCat"/>
      </c:valAx>
      <c:valAx>
        <c:axId val="11679011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9144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8592554061824E-2"/>
          <c:y val="3.373862347865253E-2"/>
          <c:w val="0.91081306232916504"/>
          <c:h val="0.932522753042694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'Wetland Summary'!$AN$6:$AN$20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cat>
          <c:val>
            <c:numRef>
              <c:f>'Wetland Summary'!$AU$6:$AU$20</c:f>
              <c:numCache>
                <c:formatCode>General</c:formatCode>
                <c:ptCount val="15"/>
                <c:pt idx="0">
                  <c:v>18.599376225944031</c:v>
                </c:pt>
                <c:pt idx="1">
                  <c:v>11.451506814600899</c:v>
                </c:pt>
                <c:pt idx="2">
                  <c:v>10.912647631577576</c:v>
                </c:pt>
                <c:pt idx="3">
                  <c:v>0.34361361353743108</c:v>
                </c:pt>
                <c:pt idx="4">
                  <c:v>-15.48165254676937</c:v>
                </c:pt>
                <c:pt idx="5">
                  <c:v>-11.522936998563861</c:v>
                </c:pt>
                <c:pt idx="6">
                  <c:v>-19.726995637775293</c:v>
                </c:pt>
                <c:pt idx="7">
                  <c:v>-57.881926599502108</c:v>
                </c:pt>
                <c:pt idx="8">
                  <c:v>-58.880638216067318</c:v>
                </c:pt>
                <c:pt idx="9">
                  <c:v>-66.163865345600698</c:v>
                </c:pt>
                <c:pt idx="10">
                  <c:v>-65.7116303660288</c:v>
                </c:pt>
                <c:pt idx="11">
                  <c:v>-69.974693774828438</c:v>
                </c:pt>
                <c:pt idx="12">
                  <c:v>-74.701887714496223</c:v>
                </c:pt>
                <c:pt idx="13">
                  <c:v>-72.103554183020307</c:v>
                </c:pt>
                <c:pt idx="14">
                  <c:v>-76.414713948601701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E-4BA0-B771-DEDCBACEF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930559"/>
        <c:axId val="1048938463"/>
      </c:barChart>
      <c:catAx>
        <c:axId val="1048930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938463"/>
        <c:crosses val="autoZero"/>
        <c:auto val="1"/>
        <c:lblAlgn val="ctr"/>
        <c:lblOffset val="100"/>
        <c:noMultiLvlLbl val="0"/>
      </c:catAx>
      <c:valAx>
        <c:axId val="10489384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930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86482939632541E-2"/>
          <c:y val="5.0925925925925923E-2"/>
          <c:w val="0.87122462817147861"/>
          <c:h val="0.805215806357538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'Wetland Summary'!$BA$5</c:f>
              <c:strCache>
                <c:ptCount val="1"/>
                <c:pt idx="0">
                  <c:v>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'Wetland Summary'!$AZ$6:$AZ$20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'Wetland Summary'!$BA$6:$BA$20</c:f>
              <c:numCache>
                <c:formatCode>General</c:formatCode>
                <c:ptCount val="15"/>
                <c:pt idx="0">
                  <c:v>0.88631465798243625</c:v>
                </c:pt>
                <c:pt idx="1">
                  <c:v>0.61033480399724227</c:v>
                </c:pt>
                <c:pt idx="2">
                  <c:v>0.5767309652650231</c:v>
                </c:pt>
                <c:pt idx="3">
                  <c:v>0.56398560399201758</c:v>
                </c:pt>
                <c:pt idx="4">
                  <c:v>0.5958707132564327</c:v>
                </c:pt>
                <c:pt idx="5">
                  <c:v>0.64575907916605513</c:v>
                </c:pt>
                <c:pt idx="6">
                  <c:v>0.71887468828998713</c:v>
                </c:pt>
                <c:pt idx="7">
                  <c:v>0.68038003265635505</c:v>
                </c:pt>
                <c:pt idx="8">
                  <c:v>0.77410696929806799</c:v>
                </c:pt>
                <c:pt idx="9">
                  <c:v>0.75726053022338269</c:v>
                </c:pt>
                <c:pt idx="10">
                  <c:v>0.74883731068603987</c:v>
                </c:pt>
                <c:pt idx="11">
                  <c:v>0.92157115852732052</c:v>
                </c:pt>
                <c:pt idx="12">
                  <c:v>0.79073648586988576</c:v>
                </c:pt>
                <c:pt idx="13">
                  <c:v>0.76891250916035558</c:v>
                </c:pt>
                <c:pt idx="14">
                  <c:v>0.75546418603044352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4A-44FE-BF81-61E44FCEDCC6}"/>
            </c:ext>
          </c:extLst>
        </c:ser>
        <c:ser>
          <c:idx val="1"/>
          <c:order val="1"/>
          <c:tx>
            <c:strRef>
              <c:f>'Wetland Summary'!$BB$5</c:f>
              <c:strCache>
                <c:ptCount val="1"/>
                <c:pt idx="0">
                  <c:v>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'Wetland Summary'!$AZ$6:$AZ$20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'Wetland Summary'!$BB$6:$BB$20</c:f>
              <c:numCache>
                <c:formatCode>General</c:formatCode>
                <c:ptCount val="15"/>
                <c:pt idx="0">
                  <c:v>1.0888303023851307</c:v>
                </c:pt>
                <c:pt idx="1">
                  <c:v>0.68926616596326373</c:v>
                </c:pt>
                <c:pt idx="2">
                  <c:v>0.64737692829835292</c:v>
                </c:pt>
                <c:pt idx="3">
                  <c:v>0.56593021726165049</c:v>
                </c:pt>
                <c:pt idx="4">
                  <c:v>0.51598734527556978</c:v>
                </c:pt>
                <c:pt idx="5">
                  <c:v>0.57903700937715696</c:v>
                </c:pt>
                <c:pt idx="6">
                  <c:v>0.60042823630594266</c:v>
                </c:pt>
                <c:pt idx="7">
                  <c:v>0.43094231702800917</c:v>
                </c:pt>
                <c:pt idx="8">
                  <c:v>0.48722549077712851</c:v>
                </c:pt>
                <c:pt idx="9">
                  <c:v>0.45573117154465115</c:v>
                </c:pt>
                <c:pt idx="10">
                  <c:v>0.4518918249926005</c:v>
                </c:pt>
                <c:pt idx="11">
                  <c:v>0.54218139068875681</c:v>
                </c:pt>
                <c:pt idx="12">
                  <c:v>0.45262045889403002</c:v>
                </c:pt>
                <c:pt idx="13">
                  <c:v>0.44677317258809768</c:v>
                </c:pt>
                <c:pt idx="14">
                  <c:v>0.42823195929708413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4A-44FE-BF81-61E44FCED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544960"/>
        <c:axId val="1983563264"/>
      </c:scatterChart>
      <c:valAx>
        <c:axId val="1983544960"/>
        <c:scaling>
          <c:orientation val="minMax"/>
          <c:max val="1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3563264"/>
        <c:crosses val="autoZero"/>
        <c:crossBetween val="midCat"/>
      </c:valAx>
      <c:valAx>
        <c:axId val="1983563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3544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561679790026238"/>
          <c:y val="4.687445319335079E-2"/>
          <c:w val="0.14654396325459318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7511614173228346"/>
                  <c:y val="-9.58234908136482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'ABR-Wetland'!$Y$4:$Y$18</c:f>
              <c:numCache>
                <c:formatCode>General</c:formatCode>
                <c:ptCount val="15"/>
                <c:pt idx="0">
                  <c:v>4310.0937009069048</c:v>
                </c:pt>
                <c:pt idx="1">
                  <c:v>7780.9026922892381</c:v>
                </c:pt>
                <c:pt idx="2">
                  <c:v>13767.70314578991</c:v>
                </c:pt>
                <c:pt idx="3">
                  <c:v>17608.088680610017</c:v>
                </c:pt>
                <c:pt idx="4">
                  <c:v>27297.220756277788</c:v>
                </c:pt>
                <c:pt idx="5">
                  <c:v>35794.11134113025</c:v>
                </c:pt>
                <c:pt idx="6">
                  <c:v>40016.929668373516</c:v>
                </c:pt>
                <c:pt idx="7">
                  <c:v>59301.044786547631</c:v>
                </c:pt>
                <c:pt idx="8">
                  <c:v>73676.438116863195</c:v>
                </c:pt>
                <c:pt idx="9">
                  <c:v>100043.6381439713</c:v>
                </c:pt>
                <c:pt idx="10">
                  <c:v>124295.5995333866</c:v>
                </c:pt>
                <c:pt idx="11">
                  <c:v>147087.02308169013</c:v>
                </c:pt>
                <c:pt idx="12">
                  <c:v>168778.30009754444</c:v>
                </c:pt>
                <c:pt idx="13">
                  <c:v>209692.49407603955</c:v>
                </c:pt>
                <c:pt idx="14">
                  <c:v>248142.69235601506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EA-4886-B926-4928A8C2E595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'ABR-Wetland'!$Z$4:$Z$18</c:f>
              <c:numCache>
                <c:formatCode>General</c:formatCode>
                <c:ptCount val="15"/>
                <c:pt idx="0">
                  <c:v>3239.4713646478849</c:v>
                </c:pt>
                <c:pt idx="1">
                  <c:v>5675.4458008176243</c:v>
                </c:pt>
                <c:pt idx="2">
                  <c:v>10581.611990039552</c:v>
                </c:pt>
                <c:pt idx="3">
                  <c:v>15198.292302577785</c:v>
                </c:pt>
                <c:pt idx="4">
                  <c:v>24260.336858684434</c:v>
                </c:pt>
                <c:pt idx="5">
                  <c:v>35792.913381904538</c:v>
                </c:pt>
                <c:pt idx="6">
                  <c:v>46650.345063583591</c:v>
                </c:pt>
                <c:pt idx="7">
                  <c:v>88243.660293950074</c:v>
                </c:pt>
                <c:pt idx="8">
                  <c:v>115763.97052764827</c:v>
                </c:pt>
                <c:pt idx="9">
                  <c:v>172872.37797144463</c:v>
                </c:pt>
                <c:pt idx="10">
                  <c:v>229488.39420374922</c:v>
                </c:pt>
                <c:pt idx="11">
                  <c:v>283363.39660803089</c:v>
                </c:pt>
                <c:pt idx="12">
                  <c:v>342584.12737915176</c:v>
                </c:pt>
                <c:pt idx="13">
                  <c:v>403885.58157294738</c:v>
                </c:pt>
                <c:pt idx="14">
                  <c:v>466753.04284480138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EA-4886-B926-4928A8C2E595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'ABR-Wetland'!$AG$5:$AG$19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EA-4886-B926-4928A8C2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045440"/>
        <c:axId val="778049184"/>
      </c:scatterChart>
      <c:valAx>
        <c:axId val="7780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049184"/>
        <c:crosses val="autoZero"/>
        <c:crossBetween val="midCat"/>
      </c:valAx>
      <c:valAx>
        <c:axId val="778049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045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255752405949258"/>
          <c:y val="0.89872630504520268"/>
          <c:w val="0.71967347871528864"/>
          <c:h val="0.1012735364601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'ABR-Wetland'!$X$3</c:f>
              <c:strCache>
                <c:ptCount val="1"/>
                <c:pt idx="0">
                  <c:v>STS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'ABR-Wetland'!$X$4:$X$18</c:f>
              <c:numCache>
                <c:formatCode>General</c:formatCode>
                <c:ptCount val="1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2A-44AB-9F3B-BCA1764BCCEE}"/>
            </c:ext>
          </c:extLst>
        </c:ser>
        <c:ser>
          <c:idx val="1"/>
          <c:order val="1"/>
          <c:tx>
            <c:strRef>
              <c:f>'ABR-Wetland'!$Y$3</c:f>
              <c:strCache>
                <c:ptCount val="1"/>
                <c:pt idx="0">
                  <c:v>SAF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'ABR-Wetland'!$Z$4:$Z$18</c:f>
              <c:numCache>
                <c:formatCode>General</c:formatCode>
                <c:ptCount val="15"/>
                <c:pt idx="0">
                  <c:v>3239.4713646478849</c:v>
                </c:pt>
                <c:pt idx="1">
                  <c:v>5675.4458008176243</c:v>
                </c:pt>
                <c:pt idx="2">
                  <c:v>10581.611990039552</c:v>
                </c:pt>
                <c:pt idx="3">
                  <c:v>15198.292302577785</c:v>
                </c:pt>
                <c:pt idx="4">
                  <c:v>24260.336858684434</c:v>
                </c:pt>
                <c:pt idx="5">
                  <c:v>35792.913381904538</c:v>
                </c:pt>
                <c:pt idx="6">
                  <c:v>46650.345063583591</c:v>
                </c:pt>
                <c:pt idx="7">
                  <c:v>88243.660293950074</c:v>
                </c:pt>
                <c:pt idx="8">
                  <c:v>115763.97052764827</c:v>
                </c:pt>
                <c:pt idx="9">
                  <c:v>172872.37797144463</c:v>
                </c:pt>
                <c:pt idx="10">
                  <c:v>229488.39420374922</c:v>
                </c:pt>
                <c:pt idx="11">
                  <c:v>283363.39660803089</c:v>
                </c:pt>
                <c:pt idx="12">
                  <c:v>342584.12737915176</c:v>
                </c:pt>
                <c:pt idx="13">
                  <c:v>403885.58157294738</c:v>
                </c:pt>
                <c:pt idx="14">
                  <c:v>466753.04284480138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2A-44AB-9F3B-BCA1764BCCEE}"/>
            </c:ext>
          </c:extLst>
        </c:ser>
        <c:ser>
          <c:idx val="2"/>
          <c:order val="2"/>
          <c:tx>
            <c:strRef>
              <c:f>'ABR-Wetland'!$Z$3</c:f>
              <c:strCache>
                <c:ptCount val="1"/>
                <c:pt idx="0">
                  <c:v>ABR-VF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'ABR-Wetland'!$Y$4:$Y$18</c:f>
              <c:numCache>
                <c:formatCode>General</c:formatCode>
                <c:ptCount val="15"/>
                <c:pt idx="0">
                  <c:v>4310.0937009069048</c:v>
                </c:pt>
                <c:pt idx="1">
                  <c:v>7780.9026922892381</c:v>
                </c:pt>
                <c:pt idx="2">
                  <c:v>13767.70314578991</c:v>
                </c:pt>
                <c:pt idx="3">
                  <c:v>17608.088680610017</c:v>
                </c:pt>
                <c:pt idx="4">
                  <c:v>27297.220756277788</c:v>
                </c:pt>
                <c:pt idx="5">
                  <c:v>35794.11134113025</c:v>
                </c:pt>
                <c:pt idx="6">
                  <c:v>40016.929668373516</c:v>
                </c:pt>
                <c:pt idx="7">
                  <c:v>59301.044786547631</c:v>
                </c:pt>
                <c:pt idx="8">
                  <c:v>73676.438116863195</c:v>
                </c:pt>
                <c:pt idx="9">
                  <c:v>100043.6381439713</c:v>
                </c:pt>
                <c:pt idx="10">
                  <c:v>124295.5995333866</c:v>
                </c:pt>
                <c:pt idx="11">
                  <c:v>147087.02308169013</c:v>
                </c:pt>
                <c:pt idx="12">
                  <c:v>168778.30009754444</c:v>
                </c:pt>
                <c:pt idx="13">
                  <c:v>209692.49407603955</c:v>
                </c:pt>
                <c:pt idx="14">
                  <c:v>248142.69235601506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2A-44AB-9F3B-BCA1764BCCEE}"/>
            </c:ext>
          </c:extLst>
        </c:ser>
        <c:ser>
          <c:idx val="3"/>
          <c:order val="3"/>
          <c:tx>
            <c:strRef>
              <c:f>'ABR-Wetland'!$AA$3</c:f>
              <c:strCache>
                <c:ptCount val="1"/>
                <c:pt idx="0">
                  <c:v>ABR-AHF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'ABR-Wetland'!$AA$4:$AA$18</c:f>
              <c:numCache>
                <c:formatCode>General</c:formatCode>
                <c:ptCount val="15"/>
                <c:pt idx="0">
                  <c:v>2385.1800967987961</c:v>
                </c:pt>
                <c:pt idx="1">
                  <c:v>3354.2044095092315</c:v>
                </c:pt>
                <c:pt idx="2">
                  <c:v>5629.0510008258761</c:v>
                </c:pt>
                <c:pt idx="3">
                  <c:v>7262.2018604769191</c:v>
                </c:pt>
                <c:pt idx="4">
                  <c:v>10331.987015407074</c:v>
                </c:pt>
                <c:pt idx="5">
                  <c:v>16865.833240483887</c:v>
                </c:pt>
                <c:pt idx="6">
                  <c:v>20894.483995262468</c:v>
                </c:pt>
                <c:pt idx="7">
                  <c:v>27818.255020013163</c:v>
                </c:pt>
                <c:pt idx="8">
                  <c:v>37265.61541427506</c:v>
                </c:pt>
                <c:pt idx="9">
                  <c:v>53668.692898540779</c:v>
                </c:pt>
                <c:pt idx="10">
                  <c:v>72239.368421474865</c:v>
                </c:pt>
                <c:pt idx="11">
                  <c:v>88472.528151881736</c:v>
                </c:pt>
                <c:pt idx="12">
                  <c:v>104478.39878151803</c:v>
                </c:pt>
                <c:pt idx="13">
                  <c:v>127493.05979143649</c:v>
                </c:pt>
                <c:pt idx="14">
                  <c:v>146519.45819604062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2A-44AB-9F3B-BCA1764B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836448"/>
        <c:axId val="785831040"/>
      </c:scatterChart>
      <c:valAx>
        <c:axId val="7858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831040"/>
        <c:crosses val="autoZero"/>
        <c:crossBetween val="midCat"/>
      </c:valAx>
      <c:valAx>
        <c:axId val="78583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836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564083529962806"/>
          <c:y val="0.93661927470333817"/>
          <c:w val="0.33767455835697308"/>
          <c:h val="6.3380725296661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'Septic Tank Design'!$AU$6:$AU$20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'Septic Tank Design'!$AX$6:$AX$20</c:f>
              <c:numCache>
                <c:formatCode>General</c:formatCode>
                <c:ptCount val="15"/>
                <c:pt idx="0">
                  <c:v>3.8666666666666667</c:v>
                </c:pt>
                <c:pt idx="1">
                  <c:v>2.5333333333333332</c:v>
                </c:pt>
                <c:pt idx="2">
                  <c:v>1.8666666666666665</c:v>
                </c:pt>
                <c:pt idx="3">
                  <c:v>1.6444444444444446</c:v>
                </c:pt>
                <c:pt idx="4">
                  <c:v>1.4666666666666666</c:v>
                </c:pt>
                <c:pt idx="5">
                  <c:v>1.3777777777777778</c:v>
                </c:pt>
                <c:pt idx="6">
                  <c:v>1.3333333333333333</c:v>
                </c:pt>
                <c:pt idx="7">
                  <c:v>1.288888888888889</c:v>
                </c:pt>
                <c:pt idx="8">
                  <c:v>1.2666666666666666</c:v>
                </c:pt>
                <c:pt idx="9">
                  <c:v>1.2444444444444445</c:v>
                </c:pt>
                <c:pt idx="10">
                  <c:v>1.2333333333333334</c:v>
                </c:pt>
                <c:pt idx="11">
                  <c:v>1.2266666666666666</c:v>
                </c:pt>
                <c:pt idx="12">
                  <c:v>1.2222222222222223</c:v>
                </c:pt>
                <c:pt idx="13">
                  <c:v>1.2166666666666666</c:v>
                </c:pt>
                <c:pt idx="14">
                  <c:v>1.2133333333333334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CD-4923-A0F4-53184D47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3052576"/>
        <c:axId val="1713030528"/>
      </c:scatterChart>
      <c:valAx>
        <c:axId val="171305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030528"/>
        <c:crosses val="autoZero"/>
        <c:crossBetween val="midCat"/>
      </c:valAx>
      <c:valAx>
        <c:axId val="171303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3052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'ABR-Wetland'!$AD$3</c:f>
              <c:strCache>
                <c:ptCount val="1"/>
                <c:pt idx="0">
                  <c:v>SAF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'ABR-Wetland'!$AD$4:$AD$18</c:f>
              <c:numCache>
                <c:formatCode>General</c:formatCode>
                <c:ptCount val="15"/>
                <c:pt idx="0">
                  <c:v>862.01874018138096</c:v>
                </c:pt>
                <c:pt idx="1">
                  <c:v>778.09026922892383</c:v>
                </c:pt>
                <c:pt idx="2">
                  <c:v>688.38515728949551</c:v>
                </c:pt>
                <c:pt idx="3">
                  <c:v>586.93628935366723</c:v>
                </c:pt>
                <c:pt idx="4">
                  <c:v>545.94441512555579</c:v>
                </c:pt>
                <c:pt idx="5">
                  <c:v>477.2548178817367</c:v>
                </c:pt>
                <c:pt idx="6">
                  <c:v>400.16929668373518</c:v>
                </c:pt>
                <c:pt idx="7">
                  <c:v>395.3402985769842</c:v>
                </c:pt>
                <c:pt idx="8">
                  <c:v>368.38219058431599</c:v>
                </c:pt>
                <c:pt idx="9">
                  <c:v>333.47879381323764</c:v>
                </c:pt>
                <c:pt idx="10">
                  <c:v>310.7389988334665</c:v>
                </c:pt>
                <c:pt idx="11">
                  <c:v>294.17404616338024</c:v>
                </c:pt>
                <c:pt idx="12">
                  <c:v>281.29716682924072</c:v>
                </c:pt>
                <c:pt idx="13">
                  <c:v>262.11561759504946</c:v>
                </c:pt>
                <c:pt idx="14">
                  <c:v>248.14269235601506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60-4CE0-97F6-F122D40CF12B}"/>
            </c:ext>
          </c:extLst>
        </c:ser>
        <c:ser>
          <c:idx val="1"/>
          <c:order val="1"/>
          <c:tx>
            <c:strRef>
              <c:f>'ABR-Wetland'!$AE$3</c:f>
              <c:strCache>
                <c:ptCount val="1"/>
                <c:pt idx="0">
                  <c:v>ABR-VF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'ABR-Wetland'!$AE$4:$AE$18</c:f>
              <c:numCache>
                <c:formatCode>General</c:formatCode>
                <c:ptCount val="15"/>
                <c:pt idx="0">
                  <c:v>647.89427292957703</c:v>
                </c:pt>
                <c:pt idx="1">
                  <c:v>567.54458008176243</c:v>
                </c:pt>
                <c:pt idx="2">
                  <c:v>529.08059950197753</c:v>
                </c:pt>
                <c:pt idx="3">
                  <c:v>506.60974341925953</c:v>
                </c:pt>
                <c:pt idx="4">
                  <c:v>485.20673717368868</c:v>
                </c:pt>
                <c:pt idx="5">
                  <c:v>477.2388450920605</c:v>
                </c:pt>
                <c:pt idx="6">
                  <c:v>466.50345063583592</c:v>
                </c:pt>
                <c:pt idx="7">
                  <c:v>588.29106862633387</c:v>
                </c:pt>
                <c:pt idx="8">
                  <c:v>578.8198526382414</c:v>
                </c:pt>
                <c:pt idx="9">
                  <c:v>576.24125990481548</c:v>
                </c:pt>
                <c:pt idx="10">
                  <c:v>573.72098550937301</c:v>
                </c:pt>
                <c:pt idx="11">
                  <c:v>566.72679321606176</c:v>
                </c:pt>
                <c:pt idx="12">
                  <c:v>570.97354563191959</c:v>
                </c:pt>
                <c:pt idx="13">
                  <c:v>504.85697696618422</c:v>
                </c:pt>
                <c:pt idx="14">
                  <c:v>466.75304284480137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60-4CE0-97F6-F122D40CF12B}"/>
            </c:ext>
          </c:extLst>
        </c:ser>
        <c:ser>
          <c:idx val="2"/>
          <c:order val="2"/>
          <c:tx>
            <c:strRef>
              <c:f>'ABR-Wetland'!$AF$3</c:f>
              <c:strCache>
                <c:ptCount val="1"/>
                <c:pt idx="0">
                  <c:v>ABR-AHF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'ABR-Wetland'!$W$4:$W$18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'ABR-Wetland'!$AF$4:$AF$18</c:f>
              <c:numCache>
                <c:formatCode>General</c:formatCode>
                <c:ptCount val="15"/>
                <c:pt idx="0">
                  <c:v>477.03601935975922</c:v>
                </c:pt>
                <c:pt idx="1">
                  <c:v>335.42044095092314</c:v>
                </c:pt>
                <c:pt idx="2">
                  <c:v>281.45255004129382</c:v>
                </c:pt>
                <c:pt idx="3">
                  <c:v>242.07339534923065</c:v>
                </c:pt>
                <c:pt idx="4">
                  <c:v>206.63974030814148</c:v>
                </c:pt>
                <c:pt idx="5">
                  <c:v>224.87777653978517</c:v>
                </c:pt>
                <c:pt idx="6">
                  <c:v>208.94483995262468</c:v>
                </c:pt>
                <c:pt idx="7">
                  <c:v>185.45503346675443</c:v>
                </c:pt>
                <c:pt idx="8">
                  <c:v>186.3280770713753</c:v>
                </c:pt>
                <c:pt idx="9">
                  <c:v>178.89564299513594</c:v>
                </c:pt>
                <c:pt idx="10">
                  <c:v>180.59842105368716</c:v>
                </c:pt>
                <c:pt idx="11">
                  <c:v>176.94505630376347</c:v>
                </c:pt>
                <c:pt idx="12">
                  <c:v>174.13066463586338</c:v>
                </c:pt>
                <c:pt idx="13">
                  <c:v>159.36632473929561</c:v>
                </c:pt>
                <c:pt idx="14">
                  <c:v>146.51945819604063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60-4CE0-97F6-F122D40C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837696"/>
        <c:axId val="785838528"/>
      </c:scatterChart>
      <c:valAx>
        <c:axId val="7858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838528"/>
        <c:crosses val="autoZero"/>
        <c:crossBetween val="midCat"/>
      </c:valAx>
      <c:valAx>
        <c:axId val="785838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837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358705161854774E-2"/>
          <c:y val="5.5555555555555552E-2"/>
          <c:w val="0.85853018372703416"/>
          <c:h val="0.735771361913094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'Initial Comparison'!$B$18</c:f>
              <c:strCache>
                <c:ptCount val="1"/>
                <c:pt idx="0">
                  <c:v>ST - 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'Initial Comparison'!$C$7:$I$7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Comparison'!$C$18:$I$18</c:f>
              <c:numCache>
                <c:formatCode>General</c:formatCode>
                <c:ptCount val="7"/>
                <c:pt idx="0">
                  <c:v>2203.7524670595308</c:v>
                </c:pt>
                <c:pt idx="1">
                  <c:v>1174.9247715618887</c:v>
                </c:pt>
                <c:pt idx="2">
                  <c:v>659.06673969517726</c:v>
                </c:pt>
                <c:pt idx="3">
                  <c:v>469.16246568082533</c:v>
                </c:pt>
                <c:pt idx="4">
                  <c:v>642.37403860694883</c:v>
                </c:pt>
                <c:pt idx="5">
                  <c:v>442.32740397331355</c:v>
                </c:pt>
                <c:pt idx="6">
                  <c:v>438.70637671853439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48-4B2E-B0E1-1E103A1E1C38}"/>
            </c:ext>
          </c:extLst>
        </c:ser>
        <c:ser>
          <c:idx val="1"/>
          <c:order val="1"/>
          <c:tx>
            <c:strRef>
              <c:f>'Initial Comparison'!$B$19</c:f>
              <c:strCache>
                <c:ptCount val="1"/>
                <c:pt idx="0">
                  <c:v>ST - H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'Initial Comparison'!$C$7:$I$7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Comparison'!$C$19:$I$19</c:f>
              <c:numCache>
                <c:formatCode>General</c:formatCode>
                <c:ptCount val="7"/>
                <c:pt idx="0">
                  <c:v>2441.0443375494615</c:v>
                </c:pt>
                <c:pt idx="1">
                  <c:v>1361.2196597122834</c:v>
                </c:pt>
                <c:pt idx="2">
                  <c:v>828.36263373239342</c:v>
                </c:pt>
                <c:pt idx="3">
                  <c:v>632.79202834698185</c:v>
                </c:pt>
                <c:pt idx="4">
                  <c:v>804.87033499889333</c:v>
                </c:pt>
                <c:pt idx="5">
                  <c:v>605.39145452401237</c:v>
                </c:pt>
                <c:pt idx="6">
                  <c:v>601.20267311047905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48-4B2E-B0E1-1E103A1E1C38}"/>
            </c:ext>
          </c:extLst>
        </c:ser>
        <c:ser>
          <c:idx val="2"/>
          <c:order val="2"/>
          <c:tx>
            <c:strRef>
              <c:f>'Initial Comparison'!$B$20</c:f>
              <c:strCache>
                <c:ptCount val="1"/>
                <c:pt idx="0">
                  <c:v>SAF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'Initial Comparison'!$C$7:$I$7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Comparison'!$C$20:$I$20</c:f>
              <c:numCache>
                <c:formatCode>General</c:formatCode>
                <c:ptCount val="7"/>
                <c:pt idx="0">
                  <c:v>6682.3965079963527</c:v>
                </c:pt>
                <c:pt idx="1">
                  <c:v>3718.9577809993148</c:v>
                </c:pt>
                <c:pt idx="2">
                  <c:v>2230.7554139484973</c:v>
                </c:pt>
                <c:pt idx="3">
                  <c:v>2258.7651971469381</c:v>
                </c:pt>
                <c:pt idx="4">
                  <c:v>1641.0963654733673</c:v>
                </c:pt>
                <c:pt idx="5">
                  <c:v>1068.3540069589064</c:v>
                </c:pt>
                <c:pt idx="6">
                  <c:v>1031.4332583435144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48-4B2E-B0E1-1E103A1E1C38}"/>
            </c:ext>
          </c:extLst>
        </c:ser>
        <c:ser>
          <c:idx val="3"/>
          <c:order val="3"/>
          <c:tx>
            <c:strRef>
              <c:f>'Initial Comparison'!$B$21</c:f>
              <c:strCache>
                <c:ptCount val="1"/>
                <c:pt idx="0">
                  <c:v>ABR - 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'Initial Comparison'!$C$7:$I$7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Comparison'!$C$21:$I$21</c:f>
              <c:numCache>
                <c:formatCode>General</c:formatCode>
                <c:ptCount val="7"/>
                <c:pt idx="0">
                  <c:v>3351.6224849231867</c:v>
                </c:pt>
                <c:pt idx="1">
                  <c:v>2082.3612260414211</c:v>
                </c:pt>
                <c:pt idx="2">
                  <c:v>1464.0409248326546</c:v>
                </c:pt>
                <c:pt idx="3">
                  <c:v>1251.6793169069447</c:v>
                </c:pt>
                <c:pt idx="4">
                  <c:v>1076.9858069202421</c:v>
                </c:pt>
                <c:pt idx="5">
                  <c:v>989.83196260904344</c:v>
                </c:pt>
                <c:pt idx="6">
                  <c:v>940.57835739143627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48-4B2E-B0E1-1E103A1E1C38}"/>
            </c:ext>
          </c:extLst>
        </c:ser>
        <c:ser>
          <c:idx val="4"/>
          <c:order val="4"/>
          <c:tx>
            <c:strRef>
              <c:f>'Initial Comparison'!$B$22</c:f>
              <c:strCache>
                <c:ptCount val="1"/>
                <c:pt idx="0">
                  <c:v>ABR -AHF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'Initial Comparison'!$C$7:$I$7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Comparison'!$C$22:$I$22</c:f>
              <c:numCache>
                <c:formatCode>General</c:formatCode>
                <c:ptCount val="7"/>
                <c:pt idx="0">
                  <c:v>4048.4788041700144</c:v>
                </c:pt>
                <c:pt idx="1">
                  <c:v>2327.8436681272874</c:v>
                </c:pt>
                <c:pt idx="2">
                  <c:v>1622.8096064520669</c:v>
                </c:pt>
                <c:pt idx="3">
                  <c:v>1256.7916867378185</c:v>
                </c:pt>
                <c:pt idx="4">
                  <c:v>952.26643844624664</c:v>
                </c:pt>
                <c:pt idx="5">
                  <c:v>902.9221840556944</c:v>
                </c:pt>
                <c:pt idx="6">
                  <c:v>808.06003032640308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48-4B2E-B0E1-1E103A1E1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3607776"/>
        <c:axId val="1983616096"/>
      </c:scatterChart>
      <c:valAx>
        <c:axId val="19836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3616096"/>
        <c:crosses val="autoZero"/>
        <c:crossBetween val="midCat"/>
      </c:valAx>
      <c:valAx>
        <c:axId val="1983616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36077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4607434451315"/>
          <c:y val="3.7558680397138014E-2"/>
          <c:w val="0.83360052311800126"/>
          <c:h val="0.777111681018455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'Initial Comparison'!$K$19</c:f>
              <c:strCache>
                <c:ptCount val="1"/>
                <c:pt idx="0">
                  <c:v>ST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'Initial Comparison'!$L$18:$S$18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Comparison'!$L$19:$S$19</c:f>
              <c:numCache>
                <c:formatCode>General</c:formatCode>
                <c:ptCount val="8"/>
                <c:pt idx="0">
                  <c:v>2322.3984023044964</c:v>
                </c:pt>
                <c:pt idx="1">
                  <c:v>1268.0722156370862</c:v>
                </c:pt>
                <c:pt idx="2">
                  <c:v>743.71468671378534</c:v>
                </c:pt>
                <c:pt idx="3">
                  <c:v>550.97724701390359</c:v>
                </c:pt>
                <c:pt idx="4">
                  <c:v>723.62218680292108</c:v>
                </c:pt>
                <c:pt idx="5">
                  <c:v>523.85942924866299</c:v>
                </c:pt>
                <c:pt idx="6">
                  <c:v>519.95452491450669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E4-41E0-B8F2-0AFBCD0FD55A}"/>
            </c:ext>
          </c:extLst>
        </c:ser>
        <c:ser>
          <c:idx val="1"/>
          <c:order val="1"/>
          <c:tx>
            <c:strRef>
              <c:f>'Initial Comparison'!$K$20</c:f>
              <c:strCache>
                <c:ptCount val="1"/>
                <c:pt idx="0">
                  <c:v>SAF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'Initial Comparison'!$L$18:$S$18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Comparison'!$L$20:$S$20</c:f>
              <c:numCache>
                <c:formatCode>General</c:formatCode>
                <c:ptCount val="8"/>
                <c:pt idx="0">
                  <c:v>6682.3965079963527</c:v>
                </c:pt>
                <c:pt idx="1">
                  <c:v>3718.9577809993148</c:v>
                </c:pt>
                <c:pt idx="2">
                  <c:v>2230.7554139484973</c:v>
                </c:pt>
                <c:pt idx="3">
                  <c:v>2258.7651971469381</c:v>
                </c:pt>
                <c:pt idx="4">
                  <c:v>1641.0963654733673</c:v>
                </c:pt>
                <c:pt idx="5">
                  <c:v>1068.3540069589064</c:v>
                </c:pt>
                <c:pt idx="6">
                  <c:v>1031.4332583435144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E4-41E0-B8F2-0AFBCD0FD55A}"/>
            </c:ext>
          </c:extLst>
        </c:ser>
        <c:ser>
          <c:idx val="2"/>
          <c:order val="2"/>
          <c:tx>
            <c:strRef>
              <c:f>'Initial Comparison'!$K$21</c:f>
              <c:strCache>
                <c:ptCount val="1"/>
                <c:pt idx="0">
                  <c:v>ABR - 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'Initial Comparison'!$L$18:$S$18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Comparison'!$L$21:$S$21</c:f>
              <c:numCache>
                <c:formatCode>General</c:formatCode>
                <c:ptCount val="8"/>
                <c:pt idx="0">
                  <c:v>3351.6224849231867</c:v>
                </c:pt>
                <c:pt idx="1">
                  <c:v>2082.3612260414211</c:v>
                </c:pt>
                <c:pt idx="2">
                  <c:v>1464.0409248326546</c:v>
                </c:pt>
                <c:pt idx="3">
                  <c:v>1251.6793169069447</c:v>
                </c:pt>
                <c:pt idx="4">
                  <c:v>1076.9858069202421</c:v>
                </c:pt>
                <c:pt idx="5">
                  <c:v>989.83196260904344</c:v>
                </c:pt>
                <c:pt idx="6">
                  <c:v>940.57835739143627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7E4-41E0-B8F2-0AFBCD0FD55A}"/>
            </c:ext>
          </c:extLst>
        </c:ser>
        <c:ser>
          <c:idx val="3"/>
          <c:order val="3"/>
          <c:tx>
            <c:strRef>
              <c:f>'Initial Comparison'!$K$22</c:f>
              <c:strCache>
                <c:ptCount val="1"/>
                <c:pt idx="0">
                  <c:v>ABR -AHF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'Initial Comparison'!$L$18:$S$18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Comparison'!$L$22:$S$22</c:f>
              <c:numCache>
                <c:formatCode>General</c:formatCode>
                <c:ptCount val="8"/>
                <c:pt idx="0">
                  <c:v>4048.4788041700144</c:v>
                </c:pt>
                <c:pt idx="1">
                  <c:v>2327.8436681272874</c:v>
                </c:pt>
                <c:pt idx="2">
                  <c:v>1622.8096064520669</c:v>
                </c:pt>
                <c:pt idx="3">
                  <c:v>1256.7916867378185</c:v>
                </c:pt>
                <c:pt idx="4">
                  <c:v>952.26643844624664</c:v>
                </c:pt>
                <c:pt idx="5">
                  <c:v>902.9221840556944</c:v>
                </c:pt>
                <c:pt idx="6">
                  <c:v>808.06003032640308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7E4-41E0-B8F2-0AFBCD0FD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919439"/>
        <c:axId val="2059906543"/>
      </c:scatterChart>
      <c:valAx>
        <c:axId val="2059919439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Population (PE)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9906543"/>
        <c:crosses val="autoZero"/>
        <c:crossBetween val="midCat"/>
      </c:valAx>
      <c:valAx>
        <c:axId val="205990654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Wholelife cost per Capita  (£ PE-1)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9919439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52906792360297528"/>
          <c:y val="0.12974789979225768"/>
          <c:w val="0.352475456138916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'Initial Comparison'!$Z$51</c:f>
              <c:strCache>
                <c:ptCount val="1"/>
                <c:pt idx="0">
                  <c:v>ABR - 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'Initial Comparison'!$S$52:$S$58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Comparison'!$Z$52:$Z$58</c:f>
              <c:numCache>
                <c:formatCode>General</c:formatCode>
                <c:ptCount val="7"/>
                <c:pt idx="0">
                  <c:v>38.859526398079318</c:v>
                </c:pt>
                <c:pt idx="1">
                  <c:v>37.314008842546187</c:v>
                </c:pt>
                <c:pt idx="2">
                  <c:v>26.786260470475888</c:v>
                </c:pt>
                <c:pt idx="3">
                  <c:v>24.002581837391595</c:v>
                </c:pt>
                <c:pt idx="4">
                  <c:v>9.9998986941744992</c:v>
                </c:pt>
                <c:pt idx="5">
                  <c:v>13.914239819991874</c:v>
                </c:pt>
                <c:pt idx="6">
                  <c:v>13.508106032563701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1A-4AD8-89AB-CCCBC4A647FA}"/>
            </c:ext>
          </c:extLst>
        </c:ser>
        <c:ser>
          <c:idx val="1"/>
          <c:order val="1"/>
          <c:tx>
            <c:strRef>
              <c:f>'Initial Comparison'!$AA$51</c:f>
              <c:strCache>
                <c:ptCount val="1"/>
                <c:pt idx="0">
                  <c:v>ABR - 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'Initial Comparison'!$S$52:$S$58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'Initial Comparison'!$AA$52:$AA$58</c:f>
              <c:numCache>
                <c:formatCode>General</c:formatCode>
                <c:ptCount val="7"/>
                <c:pt idx="6">
                  <c:v>16.133019276529311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1A-4AD8-89AB-CCCBC4A64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880815"/>
        <c:axId val="31881647"/>
      </c:scatterChart>
      <c:valAx>
        <c:axId val="3188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1647"/>
        <c:crosses val="autoZero"/>
        <c:crossBetween val="midCat"/>
      </c:valAx>
      <c:valAx>
        <c:axId val="31881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880815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81714785651792"/>
          <c:y val="5.0925925925925923E-2"/>
          <c:w val="0.79962729658792653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'10 NPV'!$BT$4</c:f>
              <c:strCache>
                <c:ptCount val="1"/>
                <c:pt idx="0">
                  <c:v>STS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 NPV'!$BS$5:$BS$11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'10 NPV'!$BT$5:$BT$11</c:f>
              <c:numCache>
                <c:formatCode>General</c:formatCode>
                <c:ptCount val="7"/>
                <c:pt idx="0">
                  <c:v>1158.8717078023583</c:v>
                </c:pt>
                <c:pt idx="1">
                  <c:v>744.40845031337813</c:v>
                </c:pt>
                <c:pt idx="2">
                  <c:v>466.38695232215332</c:v>
                </c:pt>
                <c:pt idx="3">
                  <c:v>411.74960543446053</c:v>
                </c:pt>
                <c:pt idx="4">
                  <c:v>349.18944405301619</c:v>
                </c:pt>
                <c:pt idx="5">
                  <c:v>347.65674911958155</c:v>
                </c:pt>
                <c:pt idx="6">
                  <c:v>400.88279803339191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39-473F-B03F-3135D90B5605}"/>
            </c:ext>
          </c:extLst>
        </c:ser>
        <c:ser>
          <c:idx val="1"/>
          <c:order val="1"/>
          <c:tx>
            <c:strRef>
              <c:f>'10 NPV'!$BU$4</c:f>
              <c:strCache>
                <c:ptCount val="1"/>
                <c:pt idx="0">
                  <c:v>SAF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'10 NPV'!$BS$5:$BS$11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'10 NPV'!$BU$5:$BU$11</c:f>
              <c:numCache>
                <c:formatCode>General</c:formatCode>
                <c:ptCount val="7"/>
                <c:pt idx="0">
                  <c:v>786.09482050365762</c:v>
                </c:pt>
                <c:pt idx="1">
                  <c:v>696.27167577579007</c:v>
                </c:pt>
                <c:pt idx="2">
                  <c:v>567.22263914480959</c:v>
                </c:pt>
                <c:pt idx="3">
                  <c:v>606.24017732748609</c:v>
                </c:pt>
                <c:pt idx="4">
                  <c:v>558.91401117367673</c:v>
                </c:pt>
                <c:pt idx="5">
                  <c:v>489.06812785232762</c:v>
                </c:pt>
                <c:pt idx="6">
                  <c:v>414.7709622496136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39-473F-B03F-3135D90B5605}"/>
            </c:ext>
          </c:extLst>
        </c:ser>
        <c:ser>
          <c:idx val="2"/>
          <c:order val="2"/>
          <c:tx>
            <c:strRef>
              <c:f>'10 NPV'!$BV$4</c:f>
              <c:strCache>
                <c:ptCount val="1"/>
                <c:pt idx="0">
                  <c:v>ABR - 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'10 NPV'!$BS$5:$BS$11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'10 NPV'!$BV$5:$BV$11</c:f>
              <c:numCache>
                <c:formatCode>General</c:formatCode>
                <c:ptCount val="7"/>
                <c:pt idx="0">
                  <c:v>1734.1777787740866</c:v>
                </c:pt>
                <c:pt idx="1">
                  <c:v>1176.6954898026104</c:v>
                </c:pt>
                <c:pt idx="2">
                  <c:v>906.91935484616954</c:v>
                </c:pt>
                <c:pt idx="3">
                  <c:v>808.69730389848178</c:v>
                </c:pt>
                <c:pt idx="4">
                  <c:v>726.14810114035424</c:v>
                </c:pt>
                <c:pt idx="5">
                  <c:v>686.59910792724384</c:v>
                </c:pt>
                <c:pt idx="6">
                  <c:v>660.50118669043457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39-473F-B03F-3135D90B5605}"/>
            </c:ext>
          </c:extLst>
        </c:ser>
        <c:ser>
          <c:idx val="3"/>
          <c:order val="3"/>
          <c:tx>
            <c:strRef>
              <c:f>'10 NPV'!$BW$4</c:f>
              <c:strCache>
                <c:ptCount val="1"/>
                <c:pt idx="0">
                  <c:v>ABR - 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'10 NPV'!$BS$5:$BS$11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</c:numCache>
            </c:numRef>
          </c:xVal>
          <c:yVal>
            <c:numRef>
              <c:f>'10 NPV'!$BW$5:$BW$11</c:f>
              <c:numCache>
                <c:formatCode>General</c:formatCode>
                <c:ptCount val="7"/>
                <c:pt idx="0">
                  <c:v>1909.0459733250113</c:v>
                </c:pt>
                <c:pt idx="1">
                  <c:v>1134.7211761826582</c:v>
                </c:pt>
                <c:pt idx="2">
                  <c:v>821.23840528969845</c:v>
                </c:pt>
                <c:pt idx="3">
                  <c:v>651.48481879952305</c:v>
                </c:pt>
                <c:pt idx="4">
                  <c:v>508.67688775363342</c:v>
                </c:pt>
                <c:pt idx="5">
                  <c:v>499.84562460980584</c:v>
                </c:pt>
                <c:pt idx="6">
                  <c:v>452.4285941288822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39-473F-B03F-3135D90B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731024"/>
        <c:axId val="568734224"/>
      </c:scatterChart>
      <c:valAx>
        <c:axId val="568731024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Population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Equivalent, PE (-)</a:t>
                </a:r>
                <a:endParaRPr lang="en-GB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34224"/>
        <c:crosses val="autoZero"/>
        <c:crossBetween val="midCat"/>
      </c:valAx>
      <c:valAx>
        <c:axId val="568734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10 year Cost per Population Equivalent (£ PE-1)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31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916360454943133"/>
          <c:y val="0.10705963837853598"/>
          <c:w val="0.32556167979002626"/>
          <c:h val="0.14294036162146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35870516185477"/>
          <c:y val="5.0925925925925923E-2"/>
          <c:w val="0.77875240594925643"/>
          <c:h val="0.805215806357538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'10 NPV'!$BT$12</c:f>
              <c:strCache>
                <c:ptCount val="1"/>
                <c:pt idx="0">
                  <c:v>STS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 NPV'!$BS$13:$BS$20</c:f>
              <c:numCache>
                <c:formatCode>General</c:formatCode>
                <c:ptCount val="8"/>
                <c:pt idx="0">
                  <c:v>150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800</c:v>
                </c:pt>
                <c:pt idx="7">
                  <c:v>1000</c:v>
                </c:pt>
              </c:numCache>
            </c:numRef>
          </c:xVal>
          <c:yVal>
            <c:numRef>
              <c:f>'10 NPV'!$BT$13:$BT$20</c:f>
              <c:numCache>
                <c:formatCode>General</c:formatCode>
                <c:ptCount val="8"/>
                <c:pt idx="0">
                  <c:v>367.7604949878608</c:v>
                </c:pt>
                <c:pt idx="1">
                  <c:v>344.76252977469238</c:v>
                </c:pt>
                <c:pt idx="2">
                  <c:v>358.88300497530372</c:v>
                </c:pt>
                <c:pt idx="3">
                  <c:v>347.56736434338063</c:v>
                </c:pt>
                <c:pt idx="4">
                  <c:v>360.19066586567618</c:v>
                </c:pt>
                <c:pt idx="5">
                  <c:v>354.44425996902515</c:v>
                </c:pt>
                <c:pt idx="6">
                  <c:v>344.57878149207204</c:v>
                </c:pt>
                <c:pt idx="7">
                  <c:v>344.0132807310718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55-4C3D-94B3-D1491966F513}"/>
            </c:ext>
          </c:extLst>
        </c:ser>
        <c:ser>
          <c:idx val="1"/>
          <c:order val="1"/>
          <c:tx>
            <c:strRef>
              <c:f>'10 NPV'!$BU$12</c:f>
              <c:strCache>
                <c:ptCount val="1"/>
                <c:pt idx="0">
                  <c:v>ABR - 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'10 NPV'!$BS$13:$BS$20</c:f>
              <c:numCache>
                <c:formatCode>General</c:formatCode>
                <c:ptCount val="8"/>
                <c:pt idx="0">
                  <c:v>150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800</c:v>
                </c:pt>
                <c:pt idx="7">
                  <c:v>1000</c:v>
                </c:pt>
              </c:numCache>
            </c:numRef>
          </c:xVal>
          <c:yVal>
            <c:numRef>
              <c:f>'10 NPV'!$BU$13:$BU$20</c:f>
              <c:numCache>
                <c:formatCode>General</c:formatCode>
                <c:ptCount val="8"/>
                <c:pt idx="0">
                  <c:v>766.92915486594745</c:v>
                </c:pt>
                <c:pt idx="1">
                  <c:v>749.77595624616265</c:v>
                </c:pt>
                <c:pt idx="2">
                  <c:v>739.51681936384443</c:v>
                </c:pt>
                <c:pt idx="3">
                  <c:v>733.1562728939557</c:v>
                </c:pt>
                <c:pt idx="4">
                  <c:v>723.45865697158081</c:v>
                </c:pt>
                <c:pt idx="5">
                  <c:v>726.21683971586504</c:v>
                </c:pt>
                <c:pt idx="6">
                  <c:v>644.45655073016667</c:v>
                </c:pt>
                <c:pt idx="7">
                  <c:v>597.08928836606515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55-4C3D-94B3-D1491966F513}"/>
            </c:ext>
          </c:extLst>
        </c:ser>
        <c:ser>
          <c:idx val="2"/>
          <c:order val="2"/>
          <c:tx>
            <c:strRef>
              <c:f>'10 NPV'!$BV$12</c:f>
              <c:strCache>
                <c:ptCount val="1"/>
                <c:pt idx="0">
                  <c:v>ABR - 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'10 NPV'!$BS$13:$BS$20</c:f>
              <c:numCache>
                <c:formatCode>General</c:formatCode>
                <c:ptCount val="8"/>
                <c:pt idx="0">
                  <c:v>150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800</c:v>
                </c:pt>
                <c:pt idx="7">
                  <c:v>1000</c:v>
                </c:pt>
              </c:numCache>
            </c:numRef>
          </c:xVal>
          <c:yVal>
            <c:numRef>
              <c:f>'10 NPV'!$BV$13:$BV$20</c:f>
              <c:numCache>
                <c:formatCode>General</c:formatCode>
                <c:ptCount val="8"/>
                <c:pt idx="0">
                  <c:v>393.12220160198251</c:v>
                </c:pt>
                <c:pt idx="1">
                  <c:v>384.61135911919877</c:v>
                </c:pt>
                <c:pt idx="2">
                  <c:v>364.81912137449592</c:v>
                </c:pt>
                <c:pt idx="3">
                  <c:v>363.06430264175242</c:v>
                </c:pt>
                <c:pt idx="4">
                  <c:v>352.40322324819675</c:v>
                </c:pt>
                <c:pt idx="5">
                  <c:v>345.31784494452933</c:v>
                </c:pt>
                <c:pt idx="6">
                  <c:v>314.72077263326872</c:v>
                </c:pt>
                <c:pt idx="7">
                  <c:v>288.86381192336205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55-4C3D-94B3-D1491966F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814152"/>
        <c:axId val="667814792"/>
      </c:scatterChart>
      <c:valAx>
        <c:axId val="667814152"/>
        <c:scaling>
          <c:orientation val="minMax"/>
          <c:max val="1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Population Equivalent</a:t>
                </a:r>
                <a:r>
                  <a:rPr lang="en-GB" baseline="0"/>
                  <a:t>, PE (-)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792"/>
        <c:crosses val="autoZero"/>
        <c:crossBetween val="midCat"/>
      </c:valAx>
      <c:valAx>
        <c:axId val="6678147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10-year Cost per Population</a:t>
                </a:r>
                <a:r>
                  <a:rPr lang="en-GB" baseline="0"/>
                  <a:t> Equivalent (£ PE-1)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814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199671916010486"/>
          <c:y val="2.8355934674832269E-2"/>
          <c:w val="0.31711745406824154"/>
          <c:h val="9.66440653251676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'10 NPV'!$BS$25</c:f>
              <c:strCache>
                <c:ptCount val="1"/>
                <c:pt idx="0">
                  <c:v>STS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'10 NPV'!$BK$26:$BK$40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'10 NPV'!$BS$26:$BS$40</c:f>
              <c:numCache>
                <c:formatCode>General</c:formatCode>
                <c:ptCount val="15"/>
                <c:pt idx="0">
                  <c:v>92.794868312094351</c:v>
                </c:pt>
                <c:pt idx="1">
                  <c:v>55.180338012535117</c:v>
                </c:pt>
                <c:pt idx="2">
                  <c:v>31.357478092886137</c:v>
                </c:pt>
                <c:pt idx="3">
                  <c:v>24.937984217378418</c:v>
                </c:pt>
                <c:pt idx="4">
                  <c:v>21.985977762120651</c:v>
                </c:pt>
                <c:pt idx="5">
                  <c:v>21.699869964783261</c:v>
                </c:pt>
                <c:pt idx="6">
                  <c:v>23.716511921335677</c:v>
                </c:pt>
                <c:pt idx="7">
                  <c:v>22.279219799514433</c:v>
                </c:pt>
                <c:pt idx="8">
                  <c:v>21.303101190987693</c:v>
                </c:pt>
                <c:pt idx="9">
                  <c:v>21.811720199012147</c:v>
                </c:pt>
                <c:pt idx="10">
                  <c:v>21.330994573735222</c:v>
                </c:pt>
                <c:pt idx="11">
                  <c:v>21.819066634627045</c:v>
                </c:pt>
                <c:pt idx="12">
                  <c:v>21.577970398761007</c:v>
                </c:pt>
                <c:pt idx="13">
                  <c:v>21.169301259682879</c:v>
                </c:pt>
                <c:pt idx="14">
                  <c:v>21.138251229242872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BA-449C-8B6B-352F702FDF7F}"/>
            </c:ext>
          </c:extLst>
        </c:ser>
        <c:ser>
          <c:idx val="1"/>
          <c:order val="1"/>
          <c:tx>
            <c:strRef>
              <c:f>'10 NPV'!$BT$25</c:f>
              <c:strCache>
                <c:ptCount val="1"/>
                <c:pt idx="0">
                  <c:v>ABR - VF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'10 NPV'!$BK$26:$BK$40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'10 NPV'!$BT$26:$BT$40</c:f>
              <c:numCache>
                <c:formatCode>General</c:formatCode>
                <c:ptCount val="15"/>
                <c:pt idx="0">
                  <c:v>134.54412150163404</c:v>
                </c:pt>
                <c:pt idx="1">
                  <c:v>83.616874175355292</c:v>
                </c:pt>
                <c:pt idx="2">
                  <c:v>58.947099514498305</c:v>
                </c:pt>
                <c:pt idx="3">
                  <c:v>50.473145784692605</c:v>
                </c:pt>
                <c:pt idx="4">
                  <c:v>43.502405883614117</c:v>
                </c:pt>
                <c:pt idx="5">
                  <c:v>40.025580087200751</c:v>
                </c:pt>
                <c:pt idx="6">
                  <c:v>38.059911630893303</c:v>
                </c:pt>
                <c:pt idx="7">
                  <c:v>41.395451369014715</c:v>
                </c:pt>
                <c:pt idx="8">
                  <c:v>40.248404466321787</c:v>
                </c:pt>
                <c:pt idx="9">
                  <c:v>39.377206342095512</c:v>
                </c:pt>
                <c:pt idx="10">
                  <c:v>38.892368158833193</c:v>
                </c:pt>
                <c:pt idx="11">
                  <c:v>38.342258104194372</c:v>
                </c:pt>
                <c:pt idx="12">
                  <c:v>38.36327123367132</c:v>
                </c:pt>
                <c:pt idx="13">
                  <c:v>34.15423645504562</c:v>
                </c:pt>
                <c:pt idx="14">
                  <c:v>31.703746265918426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BA-449C-8B6B-352F702FDF7F}"/>
            </c:ext>
          </c:extLst>
        </c:ser>
        <c:ser>
          <c:idx val="2"/>
          <c:order val="2"/>
          <c:tx>
            <c:strRef>
              <c:f>'10 NPV'!$BU$25</c:f>
              <c:strCache>
                <c:ptCount val="1"/>
                <c:pt idx="0">
                  <c:v>ABR - AHF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'10 NPV'!$BK$26:$BK$40</c:f>
              <c:numCache>
                <c:formatCode>General</c:formatCode>
                <c:ptCount val="15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150</c:v>
                </c:pt>
                <c:pt idx="8">
                  <c:v>200</c:v>
                </c:pt>
                <c:pt idx="9">
                  <c:v>300</c:v>
                </c:pt>
                <c:pt idx="10">
                  <c:v>400</c:v>
                </c:pt>
                <c:pt idx="11">
                  <c:v>500</c:v>
                </c:pt>
                <c:pt idx="12">
                  <c:v>600</c:v>
                </c:pt>
                <c:pt idx="13">
                  <c:v>800</c:v>
                </c:pt>
                <c:pt idx="14">
                  <c:v>1000</c:v>
                </c:pt>
              </c:numCache>
            </c:numRef>
          </c:xVal>
          <c:yVal>
            <c:numRef>
              <c:f>'10 NPV'!$BU$26:$BU$40</c:f>
              <c:numCache>
                <c:formatCode>General</c:formatCode>
                <c:ptCount val="15"/>
                <c:pt idx="0">
                  <c:v>162.28243617091559</c:v>
                </c:pt>
                <c:pt idx="1">
                  <c:v>93.346891161210422</c:v>
                </c:pt>
                <c:pt idx="2">
                  <c:v>65.236687526492219</c:v>
                </c:pt>
                <c:pt idx="3">
                  <c:v>50.624078158998472</c:v>
                </c:pt>
                <c:pt idx="4">
                  <c:v>38.469304356874851</c:v>
                </c:pt>
                <c:pt idx="5">
                  <c:v>36.491895868593467</c:v>
                </c:pt>
                <c:pt idx="6">
                  <c:v>32.70616901573073</c:v>
                </c:pt>
                <c:pt idx="7">
                  <c:v>28.184918152192989</c:v>
                </c:pt>
                <c:pt idx="8">
                  <c:v>27.28145128763736</c:v>
                </c:pt>
                <c:pt idx="9">
                  <c:v>25.748173557741435</c:v>
                </c:pt>
                <c:pt idx="10">
                  <c:v>25.470525000954012</c:v>
                </c:pt>
                <c:pt idx="11">
                  <c:v>24.623618946593869</c:v>
                </c:pt>
                <c:pt idx="12">
                  <c:v>24.083944616301135</c:v>
                </c:pt>
                <c:pt idx="13">
                  <c:v>21.910097778969135</c:v>
                </c:pt>
                <c:pt idx="14">
                  <c:v>20.095213700573765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BA-449C-8B6B-352F702FD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967344"/>
        <c:axId val="429968304"/>
      </c:scatterChart>
      <c:valAx>
        <c:axId val="42996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968304"/>
        <c:crosses val="autoZero"/>
        <c:crossBetween val="midCat"/>
      </c:valAx>
      <c:valAx>
        <c:axId val="429968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967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602932768780529"/>
          <c:y val="0.3622922922024252"/>
          <c:w val="0.23752837387282841"/>
          <c:h val="4.0937282182710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969597550306212"/>
                  <c:y val="7.40740740740740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'SAF - Design'!$E$319:$E$325</c:f>
              <c:numCache>
                <c:formatCode>General</c:formatCode>
                <c:ptCount val="7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</c:numCache>
            </c:numRef>
          </c:xVal>
          <c:yVal>
            <c:numRef>
              <c:f>'SAF - Design'!$F$319:$F$325</c:f>
              <c:numCache>
                <c:formatCode>General</c:formatCode>
                <c:ptCount val="7"/>
                <c:pt idx="0">
                  <c:v>86</c:v>
                </c:pt>
                <c:pt idx="1">
                  <c:v>215</c:v>
                </c:pt>
                <c:pt idx="2">
                  <c:v>450</c:v>
                </c:pt>
                <c:pt idx="3">
                  <c:v>700</c:v>
                </c:pt>
                <c:pt idx="4">
                  <c:v>1100</c:v>
                </c:pt>
                <c:pt idx="5">
                  <c:v>1700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5-4383-80BC-EC04E8D6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7987839"/>
        <c:axId val="687974943"/>
      </c:scatterChart>
      <c:valAx>
        <c:axId val="687987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974943"/>
        <c:crosses val="autoZero"/>
        <c:crossBetween val="midCat"/>
      </c:valAx>
      <c:valAx>
        <c:axId val="6879749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79878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'ABR Design'!$B$23:$B$36</c:f>
              <c:numCache>
                <c:formatCode>General</c:formatCode>
                <c:ptCount val="14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200</c:v>
                </c:pt>
                <c:pt idx="8">
                  <c:v>300</c:v>
                </c:pt>
                <c:pt idx="9">
                  <c:v>400</c:v>
                </c:pt>
                <c:pt idx="10">
                  <c:v>500</c:v>
                </c:pt>
                <c:pt idx="11">
                  <c:v>600</c:v>
                </c:pt>
                <c:pt idx="12">
                  <c:v>800</c:v>
                </c:pt>
                <c:pt idx="13">
                  <c:v>1000</c:v>
                </c:pt>
              </c:numCache>
            </c:numRef>
          </c:xVal>
          <c:yVal>
            <c:numRef>
              <c:f>'ABR Design'!$AF$23:$AF$36</c:f>
              <c:numCache>
                <c:formatCode>General</c:formatCode>
                <c:ptCount val="14"/>
                <c:pt idx="0">
                  <c:v>7.3599999999999994</c:v>
                </c:pt>
                <c:pt idx="1">
                  <c:v>14.310563498826877</c:v>
                </c:pt>
                <c:pt idx="2">
                  <c:v>28.226189861972866</c:v>
                </c:pt>
                <c:pt idx="3">
                  <c:v>42.076839325333189</c:v>
                </c:pt>
                <c:pt idx="4">
                  <c:v>69.68937490470698</c:v>
                </c:pt>
                <c:pt idx="5">
                  <c:v>104.11909963741726</c:v>
                </c:pt>
                <c:pt idx="6">
                  <c:v>138.49564352719247</c:v>
                </c:pt>
                <c:pt idx="7">
                  <c:v>275.74238617305031</c:v>
                </c:pt>
                <c:pt idx="8">
                  <c:v>412.78365382028909</c:v>
                </c:pt>
                <c:pt idx="9">
                  <c:v>549.71855978165775</c:v>
                </c:pt>
                <c:pt idx="10">
                  <c:v>686.58549476440976</c:v>
                </c:pt>
                <c:pt idx="11">
                  <c:v>823.40414786048905</c:v>
                </c:pt>
                <c:pt idx="12">
                  <c:v>1096.939317800646</c:v>
                </c:pt>
                <c:pt idx="13">
                  <c:v>1370.378362260996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7-4CEC-8F85-374DD574A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630351"/>
        <c:axId val="1096630767"/>
      </c:scatterChart>
      <c:valAx>
        <c:axId val="1096630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630767"/>
        <c:crosses val="autoZero"/>
        <c:crossBetween val="midCat"/>
      </c:valAx>
      <c:valAx>
        <c:axId val="1096630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63035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'ABR Design'!$B$23:$B$36</c:f>
              <c:numCache>
                <c:formatCode>General</c:formatCode>
                <c:ptCount val="14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200</c:v>
                </c:pt>
                <c:pt idx="8">
                  <c:v>300</c:v>
                </c:pt>
                <c:pt idx="9">
                  <c:v>400</c:v>
                </c:pt>
                <c:pt idx="10">
                  <c:v>500</c:v>
                </c:pt>
                <c:pt idx="11">
                  <c:v>600</c:v>
                </c:pt>
                <c:pt idx="12">
                  <c:v>800</c:v>
                </c:pt>
                <c:pt idx="13">
                  <c:v>1000</c:v>
                </c:pt>
              </c:numCache>
            </c:numRef>
          </c:xVal>
          <c:yVal>
            <c:numRef>
              <c:f>'ABR Design'!$D$23:$D$36</c:f>
              <c:numCache>
                <c:formatCode>General</c:formatCode>
                <c:ptCount val="14"/>
                <c:pt idx="0">
                  <c:v>6</c:v>
                </c:pt>
                <c:pt idx="1">
                  <c:v>12</c:v>
                </c:pt>
                <c:pt idx="2">
                  <c:v>24</c:v>
                </c:pt>
                <c:pt idx="3">
                  <c:v>36</c:v>
                </c:pt>
                <c:pt idx="4">
                  <c:v>60</c:v>
                </c:pt>
                <c:pt idx="5">
                  <c:v>90</c:v>
                </c:pt>
                <c:pt idx="6">
                  <c:v>120</c:v>
                </c:pt>
                <c:pt idx="7">
                  <c:v>240</c:v>
                </c:pt>
                <c:pt idx="8">
                  <c:v>360</c:v>
                </c:pt>
                <c:pt idx="9">
                  <c:v>480</c:v>
                </c:pt>
                <c:pt idx="10">
                  <c:v>600</c:v>
                </c:pt>
                <c:pt idx="11">
                  <c:v>720</c:v>
                </c:pt>
                <c:pt idx="12">
                  <c:v>960</c:v>
                </c:pt>
                <c:pt idx="13">
                  <c:v>1200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4B-4C1E-9B2E-767BFB21F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632015"/>
        <c:axId val="1096644079"/>
      </c:scatterChart>
      <c:valAx>
        <c:axId val="1096632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644079"/>
        <c:crosses val="autoZero"/>
        <c:crossBetween val="midCat"/>
      </c:valAx>
      <c:valAx>
        <c:axId val="1096644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663201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'ABR Design'!$B$23:$B$36</c:f>
              <c:numCache>
                <c:formatCode>General</c:formatCode>
                <c:ptCount val="14"/>
                <c:pt idx="0">
                  <c:v>5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50</c:v>
                </c:pt>
                <c:pt idx="5">
                  <c:v>75</c:v>
                </c:pt>
                <c:pt idx="6">
                  <c:v>100</c:v>
                </c:pt>
                <c:pt idx="7">
                  <c:v>200</c:v>
                </c:pt>
                <c:pt idx="8">
                  <c:v>300</c:v>
                </c:pt>
                <c:pt idx="9">
                  <c:v>400</c:v>
                </c:pt>
                <c:pt idx="10">
                  <c:v>500</c:v>
                </c:pt>
                <c:pt idx="11">
                  <c:v>600</c:v>
                </c:pt>
                <c:pt idx="12">
                  <c:v>800</c:v>
                </c:pt>
                <c:pt idx="13">
                  <c:v>1000</c:v>
                </c:pt>
              </c:numCache>
            </c:numRef>
          </c:xVal>
          <c:yVal>
            <c:numRef>
              <c:f>'ABR Design'!$L$23:$L$36</c:f>
              <c:numCache>
                <c:formatCode>General</c:formatCode>
                <c:ptCount val="14"/>
                <c:pt idx="0">
                  <c:v>6</c:v>
                </c:pt>
                <c:pt idx="1">
                  <c:v>12</c:v>
                </c:pt>
                <c:pt idx="2">
                  <c:v>24.000000000000004</c:v>
                </c:pt>
                <c:pt idx="3">
                  <c:v>36</c:v>
                </c:pt>
                <c:pt idx="4">
                  <c:v>59.999999999999993</c:v>
                </c:pt>
                <c:pt idx="5">
                  <c:v>90</c:v>
                </c:pt>
                <c:pt idx="6">
                  <c:v>120.00000000000001</c:v>
                </c:pt>
                <c:pt idx="7">
                  <c:v>239.99999999999997</c:v>
                </c:pt>
                <c:pt idx="8">
                  <c:v>360</c:v>
                </c:pt>
                <c:pt idx="9">
                  <c:v>480.00000000000006</c:v>
                </c:pt>
                <c:pt idx="10">
                  <c:v>600</c:v>
                </c:pt>
                <c:pt idx="11">
                  <c:v>720</c:v>
                </c:pt>
                <c:pt idx="12">
                  <c:v>959.99999999999989</c:v>
                </c:pt>
                <c:pt idx="13">
                  <c:v>1200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F7-4D00-894F-89FE8FBF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606767"/>
        <c:axId val="1253613007"/>
      </c:scatterChart>
      <c:valAx>
        <c:axId val="125360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613007"/>
        <c:crosses val="autoZero"/>
        <c:crossBetween val="midCat"/>
      </c:valAx>
      <c:valAx>
        <c:axId val="12536130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606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2307961504811898"/>
                  <c:y val="0.331710411198600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'Sectional GRP Tanks'!$C$11:$C$22</c:f>
              <c:numCache>
                <c:formatCode>General</c:formatCode>
                <c:ptCount val="12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2.25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'Sectional GRP Tanks'!$F$11:$F$22</c:f>
              <c:numCache>
                <c:formatCode>General</c:formatCode>
                <c:ptCount val="12"/>
                <c:pt idx="0">
                  <c:v>1187</c:v>
                </c:pt>
                <c:pt idx="1">
                  <c:v>1645</c:v>
                </c:pt>
                <c:pt idx="2">
                  <c:v>1709</c:v>
                </c:pt>
                <c:pt idx="3">
                  <c:v>1878</c:v>
                </c:pt>
                <c:pt idx="4">
                  <c:v>2189</c:v>
                </c:pt>
                <c:pt idx="5">
                  <c:v>2414</c:v>
                </c:pt>
                <c:pt idx="6">
                  <c:v>2515</c:v>
                </c:pt>
                <c:pt idx="7">
                  <c:v>3184</c:v>
                </c:pt>
                <c:pt idx="8">
                  <c:v>3230</c:v>
                </c:pt>
                <c:pt idx="9">
                  <c:v>3878</c:v>
                </c:pt>
                <c:pt idx="10">
                  <c:v>4916</c:v>
                </c:pt>
                <c:pt idx="11">
                  <c:v>5184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2E-4B66-A1BC-1B46FAC2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227375"/>
        <c:axId val="1715228623"/>
      </c:scatterChart>
      <c:valAx>
        <c:axId val="171522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228623"/>
        <c:crosses val="autoZero"/>
        <c:crossBetween val="midCat"/>
      </c:valAx>
      <c:valAx>
        <c:axId val="17152286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52273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476251</xdr:colOff>
      <xdr:row>3</xdr:row>
      <xdr:rowOff>98652</xdr:rowOff>
    </xdr:from>
    <xdr:to>
      <xdr:col>29</xdr:col>
      <xdr:colOff>166689</xdr:colOff>
      <xdr:row>43</xdr:row>
      <xdr:rowOff>74839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0B97A2-23D4-44FE-B047-CAC554755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709" t="16560" r="57397" b="18064"/>
        <a:stretch/>
      </xdr:blipFill>
      <xdr:spPr>
        <a:xfrm>
          <a:off x="16192501" y="710973"/>
          <a:ext cx="3364366" cy="81404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11206</xdr:colOff>
      <xdr:row>27</xdr:row>
      <xdr:rowOff>166686</xdr:rowOff>
    </xdr:from>
    <xdr:to>
      <xdr:col>12</xdr:col>
      <xdr:colOff>210670</xdr:colOff>
      <xdr:row>42</xdr:row>
      <xdr:rowOff>52386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135ED7-7B27-403C-A8D2-CA76AAD315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466725</xdr:colOff>
      <xdr:row>10</xdr:row>
      <xdr:rowOff>66675</xdr:rowOff>
    </xdr:from>
    <xdr:to>
      <xdr:col>27</xdr:col>
      <xdr:colOff>161925</xdr:colOff>
      <xdr:row>20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C76629-95A6-4364-A7BA-AF2BCE0D3B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404813</xdr:colOff>
      <xdr:row>14</xdr:row>
      <xdr:rowOff>136526</xdr:rowOff>
    </xdr:from>
    <xdr:to>
      <xdr:col>18</xdr:col>
      <xdr:colOff>87313</xdr:colOff>
      <xdr:row>29</xdr:row>
      <xdr:rowOff>22226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11BAA-0BCA-F841-2DDB-8BECCC10F6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222250</xdr:colOff>
      <xdr:row>13</xdr:row>
      <xdr:rowOff>112713</xdr:rowOff>
    </xdr:from>
    <xdr:to>
      <xdr:col>15</xdr:col>
      <xdr:colOff>515937</xdr:colOff>
      <xdr:row>27</xdr:row>
      <xdr:rowOff>188913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D440A1-4D43-C33A-D8B1-D3F00A8F4E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294408</xdr:colOff>
      <xdr:row>4</xdr:row>
      <xdr:rowOff>69274</xdr:rowOff>
    </xdr:from>
    <xdr:to>
      <xdr:col>69</xdr:col>
      <xdr:colOff>398317</xdr:colOff>
      <xdr:row>38</xdr:row>
      <xdr:rowOff>86592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0DCE6-AA56-4812-8C21-D6275955D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574" t="16837" r="13911" b="17330"/>
        <a:stretch/>
      </xdr:blipFill>
      <xdr:spPr>
        <a:xfrm rot="5400000">
          <a:off x="35346409" y="848592"/>
          <a:ext cx="6494318" cy="6771409"/>
        </a:xfrm>
        <a:prstGeom prst="rect">
          <a:avLst/>
        </a:prstGeom>
      </xdr:spPr>
    </xdr:pic>
    <xdr:clientData/>
  </xdr:twoCellAnchor>
  <xdr:twoCellAnchor>
    <xdr:from>
      <xdr:col>60</xdr:col>
      <xdr:colOff>130967</xdr:colOff>
      <xdr:row>5</xdr:row>
      <xdr:rowOff>178589</xdr:rowOff>
    </xdr:from>
    <xdr:to>
      <xdr:col>68</xdr:col>
      <xdr:colOff>440530</xdr:colOff>
      <xdr:row>5</xdr:row>
      <xdr:rowOff>190495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C0A2BFE8-C074-4F3F-A412-6B58EA8EBBA5}"/>
            </a:ext>
          </a:extLst>
        </xdr:cNvPr>
        <xdr:cNvCxnSpPr/>
      </xdr:nvCxnSpPr>
      <xdr:spPr>
        <a:xfrm flipV="1">
          <a:off x="36290248" y="1285870"/>
          <a:ext cx="5167313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45247</xdr:colOff>
      <xdr:row>7</xdr:row>
      <xdr:rowOff>57143</xdr:rowOff>
    </xdr:from>
    <xdr:to>
      <xdr:col>68</xdr:col>
      <xdr:colOff>354810</xdr:colOff>
      <xdr:row>7</xdr:row>
      <xdr:rowOff>69049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3982902D-EF28-4837-9291-ACA631CC30F7}"/>
            </a:ext>
          </a:extLst>
        </xdr:cNvPr>
        <xdr:cNvCxnSpPr/>
      </xdr:nvCxnSpPr>
      <xdr:spPr>
        <a:xfrm flipV="1">
          <a:off x="36204528" y="1545424"/>
          <a:ext cx="5167313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130963</xdr:colOff>
      <xdr:row>8</xdr:row>
      <xdr:rowOff>119063</xdr:rowOff>
    </xdr:from>
    <xdr:to>
      <xdr:col>68</xdr:col>
      <xdr:colOff>440526</xdr:colOff>
      <xdr:row>8</xdr:row>
      <xdr:rowOff>130969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3A9511D0-CC9A-4214-AEAF-F02DB211BC9C}"/>
            </a:ext>
          </a:extLst>
        </xdr:cNvPr>
        <xdr:cNvCxnSpPr/>
      </xdr:nvCxnSpPr>
      <xdr:spPr>
        <a:xfrm flipV="1">
          <a:off x="36290244" y="1797844"/>
          <a:ext cx="5167313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57137</xdr:colOff>
      <xdr:row>11</xdr:row>
      <xdr:rowOff>69057</xdr:rowOff>
    </xdr:from>
    <xdr:to>
      <xdr:col>68</xdr:col>
      <xdr:colOff>366700</xdr:colOff>
      <xdr:row>11</xdr:row>
      <xdr:rowOff>80963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7CAD75D4-AA43-4A92-B8F9-A2DFFD34A203}"/>
            </a:ext>
          </a:extLst>
        </xdr:cNvPr>
        <xdr:cNvCxnSpPr/>
      </xdr:nvCxnSpPr>
      <xdr:spPr>
        <a:xfrm flipV="1">
          <a:off x="36216418" y="2319338"/>
          <a:ext cx="5167313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65</xdr:col>
      <xdr:colOff>477429</xdr:colOff>
      <xdr:row>5</xdr:row>
      <xdr:rowOff>71436</xdr:rowOff>
    </xdr:from>
    <xdr:to>
      <xdr:col>65</xdr:col>
      <xdr:colOff>489335</xdr:colOff>
      <xdr:row>31</xdr:row>
      <xdr:rowOff>179783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E792AB35-D2D6-4808-9644-92D39F74E134}"/>
            </a:ext>
          </a:extLst>
        </xdr:cNvPr>
        <xdr:cNvCxnSpPr/>
      </xdr:nvCxnSpPr>
      <xdr:spPr>
        <a:xfrm rot="16200000" flipV="1">
          <a:off x="37148083" y="3703438"/>
          <a:ext cx="5061347" cy="119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323452</xdr:colOff>
      <xdr:row>25</xdr:row>
      <xdr:rowOff>134540</xdr:rowOff>
    </xdr:from>
    <xdr:to>
      <xdr:col>35</xdr:col>
      <xdr:colOff>45640</xdr:colOff>
      <xdr:row>40</xdr:row>
      <xdr:rowOff>20240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3BCF2A-C531-41A4-A2D2-089F8DC202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96371</xdr:colOff>
      <xdr:row>25</xdr:row>
      <xdr:rowOff>96372</xdr:rowOff>
    </xdr:from>
    <xdr:to>
      <xdr:col>34</xdr:col>
      <xdr:colOff>437030</xdr:colOff>
      <xdr:row>39</xdr:row>
      <xdr:rowOff>172572</xdr:rowOff>
    </xdr:to>
    <xdr:graphicFrame macro="">
      <xdr:nvGraphicFramePr>
        <xdr:cNvPr id="34" name="Chart 2">
          <a:extLst>
            <a:ext uri="{FF2B5EF4-FFF2-40B4-BE49-F238E27FC236}">
              <a16:creationId xmlns:a16="http://schemas.microsoft.com/office/drawing/2014/main" id="{46F107E2-FECE-44CD-80AE-CAC4738D65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268942</xdr:colOff>
      <xdr:row>25</xdr:row>
      <xdr:rowOff>68917</xdr:rowOff>
    </xdr:from>
    <xdr:to>
      <xdr:col>43</xdr:col>
      <xdr:colOff>1</xdr:colOff>
      <xdr:row>39</xdr:row>
      <xdr:rowOff>145117</xdr:rowOff>
    </xdr:to>
    <xdr:graphicFrame macro="">
      <xdr:nvGraphicFramePr>
        <xdr:cNvPr id="35" name="Chart 3">
          <a:extLst>
            <a:ext uri="{FF2B5EF4-FFF2-40B4-BE49-F238E27FC236}">
              <a16:creationId xmlns:a16="http://schemas.microsoft.com/office/drawing/2014/main" id="{E1987E0B-EB61-46EA-B370-731D8F90E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430867</xdr:colOff>
      <xdr:row>6</xdr:row>
      <xdr:rowOff>143995</xdr:rowOff>
    </xdr:from>
    <xdr:to>
      <xdr:col>36</xdr:col>
      <xdr:colOff>126066</xdr:colOff>
      <xdr:row>21</xdr:row>
      <xdr:rowOff>29695</xdr:rowOff>
    </xdr:to>
    <xdr:graphicFrame macro="">
      <xdr:nvGraphicFramePr>
        <xdr:cNvPr id="62" name="Chart 5">
          <a:extLst>
            <a:ext uri="{FF2B5EF4-FFF2-40B4-BE49-F238E27FC236}">
              <a16:creationId xmlns:a16="http://schemas.microsoft.com/office/drawing/2014/main" id="{B6295FA0-63A4-4BD0-A256-9831C183EB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465045</xdr:colOff>
      <xdr:row>39</xdr:row>
      <xdr:rowOff>152399</xdr:rowOff>
    </xdr:from>
    <xdr:to>
      <xdr:col>28</xdr:col>
      <xdr:colOff>196104</xdr:colOff>
      <xdr:row>54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07BEEC-0466-4439-B768-78111570A8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336177</xdr:colOff>
      <xdr:row>34</xdr:row>
      <xdr:rowOff>62752</xdr:rowOff>
    </xdr:from>
    <xdr:to>
      <xdr:col>31</xdr:col>
      <xdr:colOff>67236</xdr:colOff>
      <xdr:row>48</xdr:row>
      <xdr:rowOff>100852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7E8C45-FCA5-4A9F-8678-4FBBD88D59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330572</xdr:colOff>
      <xdr:row>13</xdr:row>
      <xdr:rowOff>85165</xdr:rowOff>
    </xdr:from>
    <xdr:to>
      <xdr:col>28</xdr:col>
      <xdr:colOff>61631</xdr:colOff>
      <xdr:row>27</xdr:row>
      <xdr:rowOff>161365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3031CA1-C222-4BA4-A3F8-A785014CE0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314325</xdr:colOff>
      <xdr:row>43</xdr:row>
      <xdr:rowOff>143933</xdr:rowOff>
    </xdr:from>
    <xdr:to>
      <xdr:col>48</xdr:col>
      <xdr:colOff>426508</xdr:colOff>
      <xdr:row>58</xdr:row>
      <xdr:rowOff>29633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F0194AB0-072B-46DD-93B6-0708641828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415924</xdr:colOff>
      <xdr:row>38</xdr:row>
      <xdr:rowOff>187324</xdr:rowOff>
    </xdr:from>
    <xdr:to>
      <xdr:col>64</xdr:col>
      <xdr:colOff>158749</xdr:colOff>
      <xdr:row>69</xdr:row>
      <xdr:rowOff>171449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7579B11C-4B20-42F3-B7E7-9D4679048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334130</xdr:colOff>
      <xdr:row>24</xdr:row>
      <xdr:rowOff>41272</xdr:rowOff>
    </xdr:from>
    <xdr:to>
      <xdr:col>67</xdr:col>
      <xdr:colOff>121708</xdr:colOff>
      <xdr:row>43</xdr:row>
      <xdr:rowOff>89201</xdr:rowOff>
    </xdr:to>
    <xdr:graphicFrame macro="">
      <xdr:nvGraphicFramePr>
        <xdr:cNvPr id="10" name="Chart 2">
          <a:extLst>
            <a:ext uri="{FF2B5EF4-FFF2-40B4-BE49-F238E27FC236}">
              <a16:creationId xmlns:a16="http://schemas.microsoft.com/office/drawing/2014/main" id="{2F9FC50D-1B47-417E-86FF-F9CD238C9B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523874</xdr:colOff>
      <xdr:row>51</xdr:row>
      <xdr:rowOff>170542</xdr:rowOff>
    </xdr:from>
    <xdr:to>
      <xdr:col>59</xdr:col>
      <xdr:colOff>421822</xdr:colOff>
      <xdr:row>73</xdr:row>
      <xdr:rowOff>120197</xdr:rowOff>
    </xdr:to>
    <xdr:graphicFrame macro="">
      <xdr:nvGraphicFramePr>
        <xdr:cNvPr id="8" name="Chart 4">
          <a:extLst>
            <a:ext uri="{FF2B5EF4-FFF2-40B4-BE49-F238E27FC236}">
              <a16:creationId xmlns:a16="http://schemas.microsoft.com/office/drawing/2014/main" id="{216659AC-B5ED-4648-AE3D-A52A3F5BB9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269875</xdr:colOff>
      <xdr:row>39</xdr:row>
      <xdr:rowOff>33337</xdr:rowOff>
    </xdr:from>
    <xdr:to>
      <xdr:col>59</xdr:col>
      <xdr:colOff>15875</xdr:colOff>
      <xdr:row>53</xdr:row>
      <xdr:rowOff>109537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EC7020-91A0-4F21-AC1A-88BE4C327D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38100</xdr:colOff>
      <xdr:row>18</xdr:row>
      <xdr:rowOff>152400</xdr:rowOff>
    </xdr:from>
    <xdr:to>
      <xdr:col>40</xdr:col>
      <xdr:colOff>581026</xdr:colOff>
      <xdr:row>28</xdr:row>
      <xdr:rowOff>0</xdr:rowOff>
    </xdr:to>
    <xdr:graphicFrame macro="">
      <xdr:nvGraphicFramePr>
        <xdr:cNvPr id="49" name="Chart 1">
          <a:extLst>
            <a:ext uri="{FF2B5EF4-FFF2-40B4-BE49-F238E27FC236}">
              <a16:creationId xmlns:a16="http://schemas.microsoft.com/office/drawing/2014/main" id="{3301CD6C-83D2-4AB9-98E7-62EEA0C5C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323850</xdr:colOff>
      <xdr:row>20</xdr:row>
      <xdr:rowOff>66674</xdr:rowOff>
    </xdr:from>
    <xdr:to>
      <xdr:col>22</xdr:col>
      <xdr:colOff>495300</xdr:colOff>
      <xdr:row>38</xdr:row>
      <xdr:rowOff>19049</xdr:rowOff>
    </xdr:to>
    <xdr:graphicFrame macro="">
      <xdr:nvGraphicFramePr>
        <xdr:cNvPr id="30" name="Chart 2">
          <a:extLst>
            <a:ext uri="{FF2B5EF4-FFF2-40B4-BE49-F238E27FC236}">
              <a16:creationId xmlns:a16="http://schemas.microsoft.com/office/drawing/2014/main" id="{BF45370A-2367-4524-9406-97A30B185F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523875</xdr:colOff>
      <xdr:row>2</xdr:row>
      <xdr:rowOff>95250</xdr:rowOff>
    </xdr:from>
    <xdr:to>
      <xdr:col>40</xdr:col>
      <xdr:colOff>219075</xdr:colOff>
      <xdr:row>16</xdr:row>
      <xdr:rowOff>171450</xdr:rowOff>
    </xdr:to>
    <xdr:graphicFrame macro="">
      <xdr:nvGraphicFramePr>
        <xdr:cNvPr id="44" name="Chart 4">
          <a:extLst>
            <a:ext uri="{FF2B5EF4-FFF2-40B4-BE49-F238E27FC236}">
              <a16:creationId xmlns:a16="http://schemas.microsoft.com/office/drawing/2014/main" id="{540B1713-8A8C-4B06-B376-FE72C437C7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</xdr:colOff>
      <xdr:row>14</xdr:row>
      <xdr:rowOff>4762</xdr:rowOff>
    </xdr:from>
    <xdr:to>
      <xdr:col>25</xdr:col>
      <xdr:colOff>333375</xdr:colOff>
      <xdr:row>28</xdr:row>
      <xdr:rowOff>80962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F13CB8-CCB9-4158-A98E-1231857670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561975</xdr:colOff>
      <xdr:row>33</xdr:row>
      <xdr:rowOff>4761</xdr:rowOff>
    </xdr:from>
    <xdr:to>
      <xdr:col>37</xdr:col>
      <xdr:colOff>581025</xdr:colOff>
      <xdr:row>52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4D689C-629B-42B8-893D-C8ED6B1E66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447675</xdr:colOff>
      <xdr:row>60</xdr:row>
      <xdr:rowOff>119062</xdr:rowOff>
    </xdr:from>
    <xdr:to>
      <xdr:col>14</xdr:col>
      <xdr:colOff>142875</xdr:colOff>
      <xdr:row>75</xdr:row>
      <xdr:rowOff>4762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837374-9C73-419F-8EF5-31B99536E7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527121</xdr:colOff>
      <xdr:row>4</xdr:row>
      <xdr:rowOff>125340</xdr:rowOff>
    </xdr:from>
    <xdr:to>
      <xdr:col>64</xdr:col>
      <xdr:colOff>248948</xdr:colOff>
      <xdr:row>18</xdr:row>
      <xdr:rowOff>201540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8116A0-0914-41BD-8621-304456E720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70</xdr:col>
      <xdr:colOff>17858</xdr:colOff>
      <xdr:row>5</xdr:row>
      <xdr:rowOff>164305</xdr:rowOff>
    </xdr:from>
    <xdr:to>
      <xdr:col>77</xdr:col>
      <xdr:colOff>339327</xdr:colOff>
      <xdr:row>20</xdr:row>
      <xdr:rowOff>14287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46A0FD3-CF81-4764-97D6-4CF8D5F6EA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101203</xdr:colOff>
      <xdr:row>22</xdr:row>
      <xdr:rowOff>15475</xdr:rowOff>
    </xdr:from>
    <xdr:to>
      <xdr:col>62</xdr:col>
      <xdr:colOff>488156</xdr:colOff>
      <xdr:row>49</xdr:row>
      <xdr:rowOff>71435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C01667-B050-4C7B-8E25-BB26A9722F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370115</xdr:colOff>
      <xdr:row>55</xdr:row>
      <xdr:rowOff>19050</xdr:rowOff>
    </xdr:from>
    <xdr:to>
      <xdr:col>32</xdr:col>
      <xdr:colOff>13607</xdr:colOff>
      <xdr:row>87</xdr:row>
      <xdr:rowOff>166963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73CCBE-2520-40AC-81CD-1957CEB71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02544" y="9748157"/>
          <a:ext cx="7603670" cy="624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124</xdr:row>
      <xdr:rowOff>0</xdr:rowOff>
    </xdr:from>
    <xdr:to>
      <xdr:col>27</xdr:col>
      <xdr:colOff>340219</xdr:colOff>
      <xdr:row>148</xdr:row>
      <xdr:rowOff>86796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64B72C-B50E-4207-BD5A-913A1EAD1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342900</xdr:colOff>
      <xdr:row>49</xdr:row>
      <xdr:rowOff>161925</xdr:rowOff>
    </xdr:from>
    <xdr:to>
      <xdr:col>27</xdr:col>
      <xdr:colOff>38100</xdr:colOff>
      <xdr:row>64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A178CD-81B5-4E26-BC80-617B8FC2E4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</xdr:row>
      <xdr:rowOff>119062</xdr:rowOff>
    </xdr:from>
    <xdr:to>
      <xdr:col>17</xdr:col>
      <xdr:colOff>495300</xdr:colOff>
      <xdr:row>23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2C59A0-1B4E-482E-AEBF-342D053D30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304800</xdr:colOff>
      <xdr:row>5</xdr:row>
      <xdr:rowOff>185737</xdr:rowOff>
    </xdr:from>
    <xdr:to>
      <xdr:col>46</xdr:col>
      <xdr:colOff>0</xdr:colOff>
      <xdr:row>20</xdr:row>
      <xdr:rowOff>71437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A23222-C0E7-8113-9B8A-B502EEB15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274543</xdr:colOff>
      <xdr:row>303</xdr:row>
      <xdr:rowOff>174812</xdr:rowOff>
    </xdr:from>
    <xdr:to>
      <xdr:col>19</xdr:col>
      <xdr:colOff>5602</xdr:colOff>
      <xdr:row>318</xdr:row>
      <xdr:rowOff>60512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5043DA-CFB0-B266-5BE6-C3FAB9C4B7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3</xdr:row>
      <xdr:rowOff>41275</xdr:rowOff>
    </xdr:from>
    <xdr:to>
      <xdr:col>19</xdr:col>
      <xdr:colOff>539750</xdr:colOff>
      <xdr:row>17</xdr:row>
      <xdr:rowOff>117475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E16772-E3DD-4BE9-B409-BADA61BC22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246063</xdr:colOff>
      <xdr:row>4</xdr:row>
      <xdr:rowOff>88900</xdr:rowOff>
    </xdr:from>
    <xdr:to>
      <xdr:col>27</xdr:col>
      <xdr:colOff>599282</xdr:colOff>
      <xdr:row>18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95E657-83F9-4155-A26A-00F70932EA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255983</xdr:colOff>
      <xdr:row>20</xdr:row>
      <xdr:rowOff>33338</xdr:rowOff>
    </xdr:from>
    <xdr:to>
      <xdr:col>30</xdr:col>
      <xdr:colOff>577452</xdr:colOff>
      <xdr:row>34</xdr:row>
      <xdr:rowOff>109538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30D8AF-DCDA-4200-B29E-6E379D2B09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400050</xdr:colOff>
      <xdr:row>16</xdr:row>
      <xdr:rowOff>95250</xdr:rowOff>
    </xdr:from>
    <xdr:to>
      <xdr:col>17</xdr:col>
      <xdr:colOff>95250</xdr:colOff>
      <xdr:row>30</xdr:row>
      <xdr:rowOff>171450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15FBDB-854A-46CC-8094-2C2CCF09FA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381000</xdr:colOff>
      <xdr:row>31</xdr:row>
      <xdr:rowOff>9524</xdr:rowOff>
    </xdr:from>
    <xdr:to>
      <xdr:col>20</xdr:col>
      <xdr:colOff>266700</xdr:colOff>
      <xdr:row>51</xdr:row>
      <xdr:rowOff>152399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9CE07F-38E8-4EB0-949F-13AF6BF668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399030</xdr:colOff>
      <xdr:row>14</xdr:row>
      <xdr:rowOff>37417</xdr:rowOff>
    </xdr:from>
    <xdr:to>
      <xdr:col>33</xdr:col>
      <xdr:colOff>476251</xdr:colOff>
      <xdr:row>35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321540-3584-4E2F-912C-17A0882287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547802</xdr:colOff>
      <xdr:row>68</xdr:row>
      <xdr:rowOff>23813</xdr:rowOff>
    </xdr:from>
    <xdr:to>
      <xdr:col>30</xdr:col>
      <xdr:colOff>23812</xdr:colOff>
      <xdr:row>88</xdr:row>
      <xdr:rowOff>178595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FAB163-C719-44E8-8C00-5B1A42B28E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174624</xdr:colOff>
      <xdr:row>31</xdr:row>
      <xdr:rowOff>88899</xdr:rowOff>
    </xdr:from>
    <xdr:to>
      <xdr:col>51</xdr:col>
      <xdr:colOff>222249</xdr:colOff>
      <xdr:row>62</xdr:row>
      <xdr:rowOff>174624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FDA73F-B340-44FA-9DBE-579941C78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370796</xdr:colOff>
      <xdr:row>70</xdr:row>
      <xdr:rowOff>183886</xdr:rowOff>
    </xdr:from>
    <xdr:to>
      <xdr:col>44</xdr:col>
      <xdr:colOff>370795</xdr:colOff>
      <xdr:row>90</xdr:row>
      <xdr:rowOff>141902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E5D08F-2C5D-4424-BF04-E0F24F7DE8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299357</xdr:colOff>
      <xdr:row>142</xdr:row>
      <xdr:rowOff>60930</xdr:rowOff>
    </xdr:from>
    <xdr:to>
      <xdr:col>31</xdr:col>
      <xdr:colOff>577547</xdr:colOff>
      <xdr:row>156</xdr:row>
      <xdr:rowOff>137130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AB6A45B-DFBB-4309-8306-97FCC45E82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565833</xdr:colOff>
      <xdr:row>139</xdr:row>
      <xdr:rowOff>87518</xdr:rowOff>
    </xdr:from>
    <xdr:to>
      <xdr:col>34</xdr:col>
      <xdr:colOff>581710</xdr:colOff>
      <xdr:row>176</xdr:row>
      <xdr:rowOff>50778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057371-D50B-47E2-8E7A-2BB6ADAC53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37</xdr:col>
      <xdr:colOff>187910</xdr:colOff>
      <xdr:row>139</xdr:row>
      <xdr:rowOff>59735</xdr:rowOff>
    </xdr:from>
    <xdr:to>
      <xdr:col>51</xdr:col>
      <xdr:colOff>516454</xdr:colOff>
      <xdr:row>169</xdr:row>
      <xdr:rowOff>144771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5D9570-A014-499E-8B38-2D5D746596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1734190</xdr:colOff>
      <xdr:row>234</xdr:row>
      <xdr:rowOff>149651</xdr:rowOff>
    </xdr:from>
    <xdr:to>
      <xdr:col>10</xdr:col>
      <xdr:colOff>556386</xdr:colOff>
      <xdr:row>249</xdr:row>
      <xdr:rowOff>35351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620657-8AC4-45CD-82A2-BF28F2D037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10</xdr:row>
      <xdr:rowOff>128587</xdr:rowOff>
    </xdr:from>
    <xdr:to>
      <xdr:col>16</xdr:col>
      <xdr:colOff>304800</xdr:colOff>
      <xdr:row>25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A1DBC9-A4BD-4807-B06F-712BC240A9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360589</xdr:colOff>
      <xdr:row>37</xdr:row>
      <xdr:rowOff>111579</xdr:rowOff>
    </xdr:from>
    <xdr:to>
      <xdr:col>17</xdr:col>
      <xdr:colOff>428625</xdr:colOff>
      <xdr:row>51</xdr:row>
      <xdr:rowOff>187779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8A045-01BB-46FD-9311-C99CF87D0F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134</xdr:col>
      <xdr:colOff>88445</xdr:colOff>
      <xdr:row>66</xdr:row>
      <xdr:rowOff>9523</xdr:rowOff>
    </xdr:from>
    <xdr:to>
      <xdr:col>141</xdr:col>
      <xdr:colOff>374195</xdr:colOff>
      <xdr:row>80</xdr:row>
      <xdr:rowOff>85723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4A09A923-8293-4D88-AE07-9F6BCCFB6A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rite%20ups/Life%20Cycle/Gaby%20Carbon%20and%20Cost%20Benchmark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ret\OneDrive%20-%20Cranfield%20University\s294313\Write%20ups\Life%20Cycle\Data\LCA%20Data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TF_input"/>
      <sheetName val="Itemised list"/>
      <sheetName val="summary of SW package data"/>
      <sheetName val="SAF curves_calc from SW"/>
      <sheetName val="Chart1"/>
      <sheetName val="costs_AP vs septic"/>
      <sheetName val="outputs Ap vs Septic"/>
      <sheetName val="Chart2"/>
      <sheetName val="refurbishment analysis"/>
      <sheetName val="costs_AHF vs VF vs SAF"/>
      <sheetName val="WLC calculations_100 pe"/>
      <sheetName val="pond and CW auxiliary calcs"/>
      <sheetName val="Chart3"/>
      <sheetName val="Chart4"/>
      <sheetName val="Chart5"/>
      <sheetName val="SAF auxiliary and curves_SW"/>
      <sheetName val="CW reference costs"/>
      <sheetName val="septic curves_calc from SW"/>
      <sheetName val="blower curves_calc from SW"/>
      <sheetName val="old_Benchmarking"/>
    </sheetNames>
    <sheetDataSet>
      <sheetData sheetId="0" refreshError="1"/>
      <sheetData sheetId="1" refreshError="1">
        <row r="6">
          <cell r="H6">
            <v>42.548814755102455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 READ"/>
      <sheetName val="Uk Grid Decarbonisation"/>
      <sheetName val="Conversions"/>
      <sheetName val="Wetland Flow"/>
      <sheetName val="Tankering"/>
      <sheetName val="Operational Emission Factors"/>
      <sheetName val="Septic Tank - British "/>
      <sheetName val="Septic Tank - SW"/>
      <sheetName val="SAF"/>
      <sheetName val="ABR - Excavation"/>
      <sheetName val="ABR - Tank"/>
      <sheetName val="AHF - Wetland"/>
      <sheetName val="VF - Wetland"/>
      <sheetName val="Fences"/>
      <sheetName val="Capital Carbon (legacy)"/>
      <sheetName val="Operational Emissions (Legacy)"/>
      <sheetName val="Initial Comparison"/>
      <sheetName val="Operational Emiss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9">
          <cell r="D69">
            <v>3600</v>
          </cell>
          <cell r="E69">
            <v>1640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ukseptictanks.co.uk/septic-tank/cylindrical-septic-tanks/conder-Millennium-Septic-Tank-8000" TargetMode="External"/><Relationship Id="rId18" Type="http://schemas.openxmlformats.org/officeDocument/2006/relationships/hyperlink" Target="https://www.tanksforeverything.co.uk/index.php?route=product/search&amp;search=Tricel" TargetMode="External"/><Relationship Id="rId26" Type="http://schemas.openxmlformats.org/officeDocument/2006/relationships/hyperlink" Target="https://www.ukseptictanks.co.uk/cesspit-27500" TargetMode="External"/><Relationship Id="rId3" Type="http://schemas.openxmlformats.org/officeDocument/2006/relationships/hyperlink" Target="https://www.ukseptictanks.co.uk/septic-tank/onion-shape/Septic-tank-2800" TargetMode="External"/><Relationship Id="rId21" Type="http://schemas.openxmlformats.org/officeDocument/2006/relationships/hyperlink" Target="https://www.drainstore.com/sewage-treatment-plants/cl-fabrications-sewage-treatment-plant/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www.tanks-direct.co.uk/clearwater-alpha-2800-litre-septic-tank/p5903?gclid=Cj0KCQiA1KiBBhCcARIsAPWqoSqes-jY5bGN199PoX-6oGIxI4VFfODGtrH2BOmhNh7BrH1_f0qJKoUaAjWgEALw_wcB" TargetMode="External"/><Relationship Id="rId12" Type="http://schemas.openxmlformats.org/officeDocument/2006/relationships/hyperlink" Target="https://www.tanks-direct.co.uk/klargester-sigma-5700-litre-shallow-dig-septic-tank/p5895" TargetMode="External"/><Relationship Id="rId17" Type="http://schemas.openxmlformats.org/officeDocument/2006/relationships/hyperlink" Target="https://www.tanksforeverything.co.uk/waste-water/septic-tanks/clearwater-22000-litre-septic-tank-p?mfp=price%5B3056%2C8119%5D" TargetMode="External"/><Relationship Id="rId25" Type="http://schemas.openxmlformats.org/officeDocument/2006/relationships/hyperlink" Target="https://www.tanks-direct.co.uk/clearwater-alpha-3800-litre-septic-tank/p5905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s://www.tanks-direct.co.uk/klargester-alpha-2800-litre-septic-tank/p5902" TargetMode="External"/><Relationship Id="rId16" Type="http://schemas.openxmlformats.org/officeDocument/2006/relationships/hyperlink" Target="https://www.tanksforeverything.co.uk/waste-water/septic-tanks/clearwater-sts150-shallow-dig-septic-tank-p?mfp=price%5B2398%2C4935%5D" TargetMode="External"/><Relationship Id="rId20" Type="http://schemas.openxmlformats.org/officeDocument/2006/relationships/hyperlink" Target="https://www.drainstore.com/sewage-treatment-plants/tricel-sewage-treatment-plant/?gclid=EAIaIQobChMI8-ud0bn48AIVA57VCh1DcwuuEAAYASAAEgK6NPD_BwE" TargetMode="External"/><Relationship Id="rId29" Type="http://schemas.openxmlformats.org/officeDocument/2006/relationships/hyperlink" Target="https://www.drainstore.com/sewage-treatment-plants/cl-fabrications-sewage-treatment-plant/" TargetMode="External"/><Relationship Id="rId1" Type="http://schemas.openxmlformats.org/officeDocument/2006/relationships/hyperlink" Target="https://www.tanksforeverything.co.uk/tricel-vento-6-shallow-dig-septic-tank-3000-litres-p" TargetMode="External"/><Relationship Id="rId6" Type="http://schemas.openxmlformats.org/officeDocument/2006/relationships/hyperlink" Target="https://www.ukseptictanks.co.uk/septic-tank/klargester-low-profile-septic-tank-3800" TargetMode="External"/><Relationship Id="rId11" Type="http://schemas.openxmlformats.org/officeDocument/2006/relationships/hyperlink" Target="https://www.ukseptictanks.co.uk/septic-tank/clearwatershalow5700" TargetMode="External"/><Relationship Id="rId24" Type="http://schemas.openxmlformats.org/officeDocument/2006/relationships/hyperlink" Target="https://www.tanks-direct.co.uk/klargester-alpha-3800-litre-septic-tank/p5904" TargetMode="External"/><Relationship Id="rId32" Type="http://schemas.openxmlformats.org/officeDocument/2006/relationships/hyperlink" Target="https://www.xoli.co.uk/product/clenviro-matrix-sewage-treatment-plant/" TargetMode="External"/><Relationship Id="rId5" Type="http://schemas.openxmlformats.org/officeDocument/2006/relationships/hyperlink" Target="https://www.tanks-direct.co.uk/clearwater-5700-litre-shallow-dig-septic-tank/p5896" TargetMode="External"/><Relationship Id="rId15" Type="http://schemas.openxmlformats.org/officeDocument/2006/relationships/hyperlink" Target="https://www.drainstore.com/septic-sewage-storage/septic-tanks-and-cesspools/septic-tanks-up-to-4600-litres/premier-tech-aqua-septic-tank-8000-litre-low-profile-hdpe/" TargetMode="External"/><Relationship Id="rId23" Type="http://schemas.openxmlformats.org/officeDocument/2006/relationships/hyperlink" Target="https://www.wastewater-supplies.com/collections/shallow-septic-tanks/products/clearwater-shallow-septic-tank-9-150-litre" TargetMode="External"/><Relationship Id="rId28" Type="http://schemas.openxmlformats.org/officeDocument/2006/relationships/hyperlink" Target="https://www.gabion1.co.uk/gabion-component-prices/" TargetMode="External"/><Relationship Id="rId10" Type="http://schemas.openxmlformats.org/officeDocument/2006/relationships/hyperlink" Target="https://www.wastewater-supplies.com/collections/septic-tanks/products/clearwater-shallow-septic-tank-5-700-litre" TargetMode="External"/><Relationship Id="rId19" Type="http://schemas.openxmlformats.org/officeDocument/2006/relationships/hyperlink" Target="https://www.ukseptictanks.co.uk/tricel-uk24?search=Tricel&amp;description=true" TargetMode="External"/><Relationship Id="rId31" Type="http://schemas.openxmlformats.org/officeDocument/2006/relationships/hyperlink" Target="https://www.ukseptictanks.co.uk/tricel-p42?search=Tricel&amp;description=true" TargetMode="External"/><Relationship Id="rId4" Type="http://schemas.openxmlformats.org/officeDocument/2006/relationships/hyperlink" Target="https://www.wastewater-supplies.com/collections/septic-tanks/products/clearwater-septic-tank-2-800-litre" TargetMode="External"/><Relationship Id="rId9" Type="http://schemas.openxmlformats.org/officeDocument/2006/relationships/hyperlink" Target="https://www.ukseptictanks.co.uk/septic-tank/onion-shape/septic-tank-2800-4-6-population" TargetMode="External"/><Relationship Id="rId14" Type="http://schemas.openxmlformats.org/officeDocument/2006/relationships/hyperlink" Target="https://www.wastewater-supplies.com/collections/shallow-septic-tanks/products/marsh-horizontal-septic-tank-12-000l" TargetMode="External"/><Relationship Id="rId22" Type="http://schemas.openxmlformats.org/officeDocument/2006/relationships/hyperlink" Target="https://www.drainstore.com/sewage-treatment-plants/cl-fabrications-sewage-treatment-plant/" TargetMode="External"/><Relationship Id="rId27" Type="http://schemas.openxmlformats.org/officeDocument/2006/relationships/hyperlink" Target="https://www.drainstore.com/septic-sewage-storage/septic-tanks-and-cesspools/septic-tanks-up-to-25000-litres/klargester-clearwater-kingspan-26000-litre-septic-tank/?attribute_inlet-invert-depth-options=1.0m+deep&amp;gclid=EAIaIQobChMIra-UsKuF8QIVQBoGAB1aAQU2EAYYCCABEgLnAfD_BwE" TargetMode="External"/><Relationship Id="rId30" Type="http://schemas.openxmlformats.org/officeDocument/2006/relationships/hyperlink" Target="https://www.drainstore.com/sewage-treatment-plants/tricel-sewage-treatment-plant/?gclid=EAIaIQobChMI8-ud0bn48AIVA57VCh1DcwuuEAAYASAAEgK6NPD_BwE" TargetMode="External"/><Relationship Id="rId8" Type="http://schemas.openxmlformats.org/officeDocument/2006/relationships/hyperlink" Target="https://www.tanksforeverything.co.uk/clearwater-2800-litre-septic-tank-free-lid--frame-409-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nksforeverything.co.uk/waste-water/cesspools/premier-tech-3000-litre-cesspool-cp3-p" TargetMode="External"/><Relationship Id="rId2" Type="http://schemas.openxmlformats.org/officeDocument/2006/relationships/hyperlink" Target="https://www.tanksforeverything.co.uk/waste-water/cesspools" TargetMode="External"/><Relationship Id="rId1" Type="http://schemas.openxmlformats.org/officeDocument/2006/relationships/hyperlink" Target="https://www.tanksforeverything.co.uk/waste-water/cesspools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rionairsales.co.uk/air-blowers-and-pumps-349-c.asp" TargetMode="External"/><Relationship Id="rId3" Type="http://schemas.openxmlformats.org/officeDocument/2006/relationships/hyperlink" Target="https://www.koi-zone.co.uk/Enviro-ET30-Airpump" TargetMode="External"/><Relationship Id="rId7" Type="http://schemas.openxmlformats.org/officeDocument/2006/relationships/hyperlink" Target="https://www.orionairsales.co.uk/air-blowers-and-pumps-349-c.asp" TargetMode="External"/><Relationship Id="rId2" Type="http://schemas.openxmlformats.org/officeDocument/2006/relationships/hyperlink" Target="https://www.orionairsales.co.uk/air-blowers-and-pumps-349-c.asp" TargetMode="External"/><Relationship Id="rId1" Type="http://schemas.openxmlformats.org/officeDocument/2006/relationships/hyperlink" Target="https://www.koi-zone.co.uk/Enviro-ET30-Airpump" TargetMode="External"/><Relationship Id="rId6" Type="http://schemas.openxmlformats.org/officeDocument/2006/relationships/hyperlink" Target="https://www.drainstore.com/plant-and-pump-spares/air-pumps/charles-austen/charles-austen-enviro-et-air-pumps/charles-austen-et-30-air-blower-compressor/" TargetMode="External"/><Relationship Id="rId5" Type="http://schemas.openxmlformats.org/officeDocument/2006/relationships/hyperlink" Target="https://www.hg-hydroponics.co.uk/enviro-et30-air-pump---blower-8972-p.asp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www.koi-zone.co.uk/Enviro-ET-60-Airpump" TargetMode="External"/><Relationship Id="rId9" Type="http://schemas.openxmlformats.org/officeDocument/2006/relationships/hyperlink" Target="https://www.koi-zone.co.uk/Enviro-ET-60-Airpump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drainstore.com/plant-and-pump-spares/air-pumps/charles-austen/charles-austen-serivce-kits-spares/charles-austen-et-60-air-blowercompressor-service-kit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wastewater-supplies.com/collections/shallow-septic-tanks/products/clearwater-shallow-septic-tank-15-000-litre" TargetMode="External"/><Relationship Id="rId18" Type="http://schemas.openxmlformats.org/officeDocument/2006/relationships/hyperlink" Target="http://www.geosynthetic.co.uk/" TargetMode="External"/><Relationship Id="rId26" Type="http://schemas.openxmlformats.org/officeDocument/2006/relationships/hyperlink" Target="https://www.garden-fence-panels.co.uk/product/concrete-base-panel-plain/" TargetMode="External"/><Relationship Id="rId3" Type="http://schemas.openxmlformats.org/officeDocument/2006/relationships/hyperlink" Target="https://www.wastewater-supplies.com/collections/septic-tanks/products/clearwater-septic-tank-3-800-litre" TargetMode="External"/><Relationship Id="rId21" Type="http://schemas.openxmlformats.org/officeDocument/2006/relationships/hyperlink" Target="https://www.growell.co.uk/growing-systems/irrigation-pipes/13mm-19mm-piping.html" TargetMode="External"/><Relationship Id="rId34" Type="http://schemas.openxmlformats.org/officeDocument/2006/relationships/hyperlink" Target="https://www.drainagesuperstore.co.uk/product/aco-multidrain-m100d-135mm-x-150mm-x-1000mm.html" TargetMode="External"/><Relationship Id="rId7" Type="http://schemas.openxmlformats.org/officeDocument/2006/relationships/hyperlink" Target="https://www.wastewater-supplies.com/collections/shallow-septic-tanks/products/conder-shallow-septic-tank-8-000-litre" TargetMode="External"/><Relationship Id="rId12" Type="http://schemas.openxmlformats.org/officeDocument/2006/relationships/hyperlink" Target="https://www.ofgem.gov.uk/data-portal/all-charts/policy-area/electricity-wholesale-markets" TargetMode="External"/><Relationship Id="rId17" Type="http://schemas.openxmlformats.org/officeDocument/2006/relationships/hyperlink" Target="http://www.geosynthetic.co.uk/" TargetMode="External"/><Relationship Id="rId25" Type="http://schemas.openxmlformats.org/officeDocument/2006/relationships/hyperlink" Target="https://www.garden-fence-panels.co.uk/product/fence-concrete-posts-intermediate/" TargetMode="External"/><Relationship Id="rId33" Type="http://schemas.openxmlformats.org/officeDocument/2006/relationships/hyperlink" Target="https://www.tanksforeverything.co.uk/waste-water/cesspools/atlantis-1800-litre-underground-cesspool-ces.1800?sort=p.price&amp;order=ASC" TargetMode="External"/><Relationship Id="rId2" Type="http://schemas.openxmlformats.org/officeDocument/2006/relationships/hyperlink" Target="https://www.tanksforeverything.co.uk/tricel-vento-6-shallow-dig-septic-tank-3000-litres-p" TargetMode="External"/><Relationship Id="rId16" Type="http://schemas.openxmlformats.org/officeDocument/2006/relationships/hyperlink" Target="https://www.wastewater-supplies.com/collections/shallow-septic-tanks/products/clearwater-shallow-septic-tank-12-000-litre" TargetMode="External"/><Relationship Id="rId20" Type="http://schemas.openxmlformats.org/officeDocument/2006/relationships/hyperlink" Target="https://www.plasticpipeshop.co.uk/3-Plain-90-Degree-PVC-Tee_p_677.html" TargetMode="External"/><Relationship Id="rId29" Type="http://schemas.openxmlformats.org/officeDocument/2006/relationships/hyperlink" Target="https://www.drainstore.com/septic-sewage-storage/septic-tanks-and-cesspools/septic-tanks-up-to-4600-litres/klargester-clearwater-kingspan-9150-litre-shallow-dig-septic-tank/" TargetMode="External"/><Relationship Id="rId1" Type="http://schemas.openxmlformats.org/officeDocument/2006/relationships/hyperlink" Target="https://www.tanks-direct.co.uk/clearwater-alpha-2800-litre-septic-tank/p5903?gclid=Cj0KCQiA1KiBBhCcARIsAPWqoSqes-jY5bGN199PoX-6oGIxI4VFfODGtrH2BOmhNh7BrH1_f0qJKoUaAjWgEALw_wcB" TargetMode="External"/><Relationship Id="rId6" Type="http://schemas.openxmlformats.org/officeDocument/2006/relationships/hyperlink" Target="https://www.ukseptictanks.co.uk/septic-tank/clearwatershalow5700" TargetMode="External"/><Relationship Id="rId11" Type="http://schemas.openxmlformats.org/officeDocument/2006/relationships/hyperlink" Target="https://www.drainstore.com/septic-sewage-storage/septic-tanks-and-cesspools/septic-tanks-up-to-25000-litres/premier-tech-aqua-septic-tank-20000-litre/" TargetMode="External"/><Relationship Id="rId24" Type="http://schemas.openxmlformats.org/officeDocument/2006/relationships/hyperlink" Target="https://www.travisperkins.co.uk/commercial-paving-slabs/marshalls-bss-pressed-concrete-slab-natural-450mm-x-450mm-x-50mm/p/809365" TargetMode="External"/><Relationship Id="rId32" Type="http://schemas.openxmlformats.org/officeDocument/2006/relationships/hyperlink" Target="https://www.drainstore.com/septic-sewage-storage/septic-tanks-and-cesspools/septic-tanks-up-to-4600-litres/premier-tech-aqua-septic-tank-4000-litre-low-profile-hdpe/" TargetMode="External"/><Relationship Id="rId5" Type="http://schemas.openxmlformats.org/officeDocument/2006/relationships/hyperlink" Target="https://www.scottishwater.co.uk/help-and-resources/document-hub/your-home/charges" TargetMode="External"/><Relationship Id="rId15" Type="http://schemas.openxmlformats.org/officeDocument/2006/relationships/hyperlink" Target="https://www.drainageshop.co.uk/landrainage.html?kw=%2Bperforated%20%2Bpvc%20%2Bpipe&amp;ci=289641794806&amp;network=g&amp;pm=&amp;cid=331631403&amp;aid=19830406443&amp;tid=kwd-20739667723&amp;dev=c&amp;mt=b&amp;lim=&amp;lpm=1006870&amp;pos=&amp;dm=&amp;fid=&amp;mid=&amp;pid=&amp;country=&amp;source=google&amp;gclid=CjwKCAiAyc2BBhAaEiwA44-wW2qEmmhgdm0AxZyGHtRYs0niBaHVgadmJqJNBCNGIrxJMPmWZovRBRoCa_EQAvD_BwE" TargetMode="External"/><Relationship Id="rId23" Type="http://schemas.openxmlformats.org/officeDocument/2006/relationships/hyperlink" Target="https://www.plasticpipeshop.co.uk/1-Grey-PVC-Pipe-Class-E-5m-Length_p_564.html" TargetMode="External"/><Relationship Id="rId28" Type="http://schemas.openxmlformats.org/officeDocument/2006/relationships/hyperlink" Target="https://www.drainstore.com/septic-sewage-storage/septic-tanks-and-cesspools/septic-tanks-up-to-4600-litres/graf-6500-litre-carat-septic-tank/" TargetMode="External"/><Relationship Id="rId36" Type="http://schemas.openxmlformats.org/officeDocument/2006/relationships/drawing" Target="../drawings/drawing2.xml"/><Relationship Id="rId10" Type="http://schemas.openxmlformats.org/officeDocument/2006/relationships/hyperlink" Target="https://www.drainstore.com/septic-sewage-storage/septic-tanks-and-cesspools/septic-tanks-up-to-25000-litres/premier-tech-aqua-septic-tank-20000-litre/" TargetMode="External"/><Relationship Id="rId19" Type="http://schemas.openxmlformats.org/officeDocument/2006/relationships/hyperlink" Target="https://www.gabion1.co.uk/gabion-component-prices/" TargetMode="External"/><Relationship Id="rId31" Type="http://schemas.openxmlformats.org/officeDocument/2006/relationships/hyperlink" Target="https://www.tanksforeverything.co.uk/waste-water/septic-tanks/clearwater-34000-litre-septic-tank-p?sort=p.price&amp;order=DESC" TargetMode="External"/><Relationship Id="rId4" Type="http://schemas.openxmlformats.org/officeDocument/2006/relationships/hyperlink" Target="https://www.wastewater-supplies.com/collections/septic-tanks/products/clearwater-shallow-septic-tank-3-800-litre" TargetMode="External"/><Relationship Id="rId9" Type="http://schemas.openxmlformats.org/officeDocument/2006/relationships/hyperlink" Target="https://www.drainstore.com/septic-sewage-storage/septic-tanks-and-cesspools/septic-tanks-up-to-25000-litres/klargester-clearwater-kingspan-22000-litre-septic-tank/" TargetMode="External"/><Relationship Id="rId14" Type="http://schemas.openxmlformats.org/officeDocument/2006/relationships/hyperlink" Target="https://www.scottishwater.co.uk/help-and-resources/document-hub/your-home/charges" TargetMode="External"/><Relationship Id="rId22" Type="http://schemas.openxmlformats.org/officeDocument/2006/relationships/hyperlink" Target="https://www.plasticpipeshop.co.uk/Inch-PVC-Tee-Equal_c_511.html" TargetMode="External"/><Relationship Id="rId27" Type="http://schemas.openxmlformats.org/officeDocument/2006/relationships/hyperlink" Target="https://www.drainstore.com/septic-sewage-storage/septic-tanks-and-cesspools/septic-tanks-up-to-4600-litres/premier-tech-aqua-septic-tank-6000-litre-low-profile-hdpe/" TargetMode="External"/><Relationship Id="rId30" Type="http://schemas.openxmlformats.org/officeDocument/2006/relationships/hyperlink" Target="https://www.tanksforeverything.co.uk/waste-water/septic-tanks/clearwater-34000-litre-septic-tank-p?sort=p.price&amp;order=DESC" TargetMode="External"/><Relationship Id="rId35" Type="http://schemas.openxmlformats.org/officeDocument/2006/relationships/printerSettings" Target="../printerSettings/printerSettings3.bin"/><Relationship Id="rId8" Type="http://schemas.openxmlformats.org/officeDocument/2006/relationships/hyperlink" Target="https://www.wastewater-supplies.com/collections/shallow-septic-tanks/products/conder-shallow-septic-tank-8-000-litre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umpsalesdirect.co.uk/tt-pumps-dgo-200-2-80-submersible-sewage-pump-manual-230v.html" TargetMode="External"/><Relationship Id="rId2" Type="http://schemas.openxmlformats.org/officeDocument/2006/relationships/hyperlink" Target="https://www.pumpsalesdirect.co.uk/pedrollo-vxm-8-50.html" TargetMode="External"/><Relationship Id="rId1" Type="http://schemas.openxmlformats.org/officeDocument/2006/relationships/hyperlink" Target="https://floodandwaterpumps.co.uk/app-sv-submersible-stainless-steel-pump-4354-p.asp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encing-direct.co.uk/security-fencing/palisade/palisade-corner-end-posts/?Page_ID=3610&amp;refpid=89754&amp;id=827964" TargetMode="External"/><Relationship Id="rId7" Type="http://schemas.openxmlformats.org/officeDocument/2006/relationships/hyperlink" Target="https://www.water.org.uk/wp-content/uploads/2020/03/SSG-App-C-Des-Con-Guide-v-2-100320-C.pdf" TargetMode="External"/><Relationship Id="rId2" Type="http://schemas.openxmlformats.org/officeDocument/2006/relationships/hyperlink" Target="https://allsteelfencing.co.uk/product/1-8m-high-w-section-palisade-security-fencing/" TargetMode="External"/><Relationship Id="rId1" Type="http://schemas.openxmlformats.org/officeDocument/2006/relationships/hyperlink" Target="https://safefence.co.uk/1-8m-palisade-security-fencing.html" TargetMode="External"/><Relationship Id="rId6" Type="http://schemas.openxmlformats.org/officeDocument/2006/relationships/hyperlink" Target="https://www.firstfence.co.uk/1-8m-x-3-0m-double-leaf-palisade-security-gate" TargetMode="External"/><Relationship Id="rId5" Type="http://schemas.openxmlformats.org/officeDocument/2006/relationships/hyperlink" Target="https://www.firstfence.co.uk/1-8m-high-dig-in-post-for-palisade-fencing" TargetMode="External"/><Relationship Id="rId4" Type="http://schemas.openxmlformats.org/officeDocument/2006/relationships/hyperlink" Target="https://www.firstfence.co.uk/1-8m-high-w-section-palisade-security-fencing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nksforeverything.co.uk/waste-water/septic-tanks?sort=p.price&amp;order=DESC" TargetMode="External"/><Relationship Id="rId2" Type="http://schemas.openxmlformats.org/officeDocument/2006/relationships/hyperlink" Target="https://www.tanksforeverything.co.uk/waste-water/septic-tanks?sort=p.price&amp;order=DESC" TargetMode="External"/><Relationship Id="rId1" Type="http://schemas.openxmlformats.org/officeDocument/2006/relationships/hyperlink" Target="https://www.tanksforeverything.co.uk/waste-water/cesspools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anksforeverything.co.uk/waste-water/cesspools/premier-tech-50000-litre-cesspool-cp50-p?sort=p.price&amp;order=DESC" TargetMode="External"/><Relationship Id="rId3" Type="http://schemas.openxmlformats.org/officeDocument/2006/relationships/hyperlink" Target="https://www.tanksforeverything.co.uk/waste-water/cesspools/clearwater-2800-litre-cesspool" TargetMode="External"/><Relationship Id="rId7" Type="http://schemas.openxmlformats.org/officeDocument/2006/relationships/hyperlink" Target="https://www.tanksforeverything.co.uk/waste-water/cesspools/premier-tech-18000-litre-cesspool-cp18-p?sort=p.price&amp;order=DESC" TargetMode="External"/><Relationship Id="rId2" Type="http://schemas.openxmlformats.org/officeDocument/2006/relationships/hyperlink" Target="https://www.wateractionplan.com/documents/177327/558166/Submerged+aerated+filters.pdf/5ad7cbaf-aaa9-0eee-8390-f82004921909" TargetMode="External"/><Relationship Id="rId1" Type="http://schemas.openxmlformats.org/officeDocument/2006/relationships/hyperlink" Target="https://www.tanksforeverything.co.uk/waste-water/cesspools" TargetMode="External"/><Relationship Id="rId6" Type="http://schemas.openxmlformats.org/officeDocument/2006/relationships/hyperlink" Target="https://www.drainstore.com/septic-sewage-storage/cesspool-tanks/cesspool-silage-tanks-up-to-10000-litres/klargester-clearwater-kingspan-5700-litre-shallow-dig-cesspool-copy/" TargetMode="External"/><Relationship Id="rId11" Type="http://schemas.openxmlformats.org/officeDocument/2006/relationships/drawing" Target="../drawings/drawing4.xml"/><Relationship Id="rId5" Type="http://schemas.openxmlformats.org/officeDocument/2006/relationships/hyperlink" Target="https://www.tanksforeverything.co.uk/waste-water/cesspools/atlantis-5200-litre-underground-cesspool-ces.5200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www.tanksforeverything.co.uk/waste-water/cesspools/clearwater-3800-litre-cesspool-with-lid-and-frame" TargetMode="External"/><Relationship Id="rId9" Type="http://schemas.openxmlformats.org/officeDocument/2006/relationships/hyperlink" Target="https://www.tanksforeverything.co.uk/waste-water/cesspools/clearwater-59000-litre-cesspool-p?sort=p.price&amp;order=DESC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www.lawsons.co.uk/product/category/30/3040mm-%2810ft%29-concrete-slotted-intermediate-fence-post/f00002064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www.avsfencing.co.uk/concrete-slotted-intermediate-fence-post-3000-x-94-x-109mm/" TargetMode="External"/><Relationship Id="rId1" Type="http://schemas.openxmlformats.org/officeDocument/2006/relationships/hyperlink" Target="https://www.garden-fence-panels.co.uk/product/fence-concrete-posts-intermediate/" TargetMode="External"/><Relationship Id="rId6" Type="http://schemas.openxmlformats.org/officeDocument/2006/relationships/hyperlink" Target="https://www.garden-fence-panels.co.uk/product/concrete-base-panel-plain/" TargetMode="External"/><Relationship Id="rId5" Type="http://schemas.openxmlformats.org/officeDocument/2006/relationships/hyperlink" Target="https://www.mickgeorge.co.uk/product/timber/fencing/gravel-board/concrete-gravel-board-smooth?attribute_pa_size=50-x-150-x-1830mm&amp;gclid=EAIaIQobChMIlY2a-cvJ8wIVAtN3Ch2KjwlZEAYYAiABEgKiVvD_BwE" TargetMode="External"/><Relationship Id="rId4" Type="http://schemas.openxmlformats.org/officeDocument/2006/relationships/hyperlink" Target="https://www.travisperkins.co.uk/gravel-boards/supreme-concrete-recessed-gravel-board-50mm-x-305mm-x-1830mm-gbr305-12/p/8053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C2200-0D69-41C3-982C-2E085995EC15}">
  <sheetPr>
    <tabColor rgb="FFFF0000"/>
  </sheetPr>
  <dimension ref="A2:M234"/>
  <sheetViews>
    <sheetView tabSelected="1" zoomScale="82" zoomScaleNormal="82" workbookViewId="0">
      <selection activeCell="L184" sqref="L184"/>
    </sheetView>
  </sheetViews>
  <sheetFormatPr defaultRowHeight="15" x14ac:dyDescent="0.25"/>
  <cols>
    <col min="1" max="1" width="18.5703125" customWidth="1"/>
    <col min="5" max="5" width="22.140625" customWidth="1"/>
    <col min="6" max="6" width="13.140625" customWidth="1"/>
    <col min="8" max="8" width="11.28515625" bestFit="1" customWidth="1"/>
  </cols>
  <sheetData>
    <row r="2" spans="2:6" x14ac:dyDescent="0.25">
      <c r="B2" t="s">
        <v>31</v>
      </c>
    </row>
    <row r="3" spans="2:6" x14ac:dyDescent="0.25">
      <c r="B3" t="s">
        <v>46</v>
      </c>
    </row>
    <row r="5" spans="2:6" x14ac:dyDescent="0.25">
      <c r="B5" t="s">
        <v>32</v>
      </c>
      <c r="C5" t="s">
        <v>34</v>
      </c>
      <c r="D5" t="s">
        <v>306</v>
      </c>
      <c r="E5" t="s">
        <v>3</v>
      </c>
      <c r="F5" t="s">
        <v>35</v>
      </c>
    </row>
    <row r="6" spans="2:6" x14ac:dyDescent="0.25">
      <c r="B6" t="s">
        <v>33</v>
      </c>
      <c r="C6">
        <v>582</v>
      </c>
      <c r="D6">
        <v>698.4</v>
      </c>
      <c r="E6" t="s">
        <v>29</v>
      </c>
      <c r="F6" s="4" t="s">
        <v>36</v>
      </c>
    </row>
    <row r="7" spans="2:6" x14ac:dyDescent="0.25">
      <c r="B7" t="s">
        <v>33</v>
      </c>
      <c r="C7">
        <v>497</v>
      </c>
      <c r="D7">
        <v>596.4</v>
      </c>
      <c r="E7" t="s">
        <v>29</v>
      </c>
      <c r="F7" s="4" t="s">
        <v>28</v>
      </c>
    </row>
    <row r="8" spans="2:6" x14ac:dyDescent="0.25">
      <c r="B8" t="s">
        <v>33</v>
      </c>
      <c r="C8">
        <v>498</v>
      </c>
      <c r="D8">
        <v>597.6</v>
      </c>
      <c r="E8" t="s">
        <v>41</v>
      </c>
      <c r="F8" s="4" t="s">
        <v>42</v>
      </c>
    </row>
    <row r="9" spans="2:6" x14ac:dyDescent="0.25">
      <c r="B9" t="s">
        <v>33</v>
      </c>
      <c r="D9">
        <v>595</v>
      </c>
      <c r="E9" t="s">
        <v>48</v>
      </c>
      <c r="F9" s="4" t="s">
        <v>49</v>
      </c>
    </row>
    <row r="10" spans="2:6" x14ac:dyDescent="0.25">
      <c r="B10" t="s">
        <v>33</v>
      </c>
      <c r="C10">
        <v>599</v>
      </c>
      <c r="D10">
        <v>718</v>
      </c>
      <c r="E10" t="s">
        <v>50</v>
      </c>
      <c r="F10" s="4" t="s">
        <v>52</v>
      </c>
    </row>
    <row r="11" spans="2:6" x14ac:dyDescent="0.25">
      <c r="B11" t="s">
        <v>33</v>
      </c>
      <c r="C11">
        <v>558</v>
      </c>
      <c r="D11">
        <v>669</v>
      </c>
      <c r="E11" t="s">
        <v>50</v>
      </c>
      <c r="F11" s="4" t="s">
        <v>51</v>
      </c>
    </row>
    <row r="13" spans="2:6" x14ac:dyDescent="0.25">
      <c r="B13" t="s">
        <v>37</v>
      </c>
      <c r="C13">
        <v>809</v>
      </c>
      <c r="D13">
        <v>970.8</v>
      </c>
      <c r="E13" t="s">
        <v>29</v>
      </c>
      <c r="F13" t="s">
        <v>38</v>
      </c>
    </row>
    <row r="14" spans="2:6" x14ac:dyDescent="0.25">
      <c r="B14" t="s">
        <v>37</v>
      </c>
      <c r="C14">
        <v>815</v>
      </c>
      <c r="D14">
        <v>978</v>
      </c>
      <c r="E14" t="s">
        <v>29</v>
      </c>
      <c r="F14" t="s">
        <v>39</v>
      </c>
    </row>
    <row r="15" spans="2:6" x14ac:dyDescent="0.25">
      <c r="B15" t="s">
        <v>37</v>
      </c>
      <c r="C15">
        <v>808</v>
      </c>
      <c r="D15">
        <v>969.6</v>
      </c>
      <c r="E15" t="s">
        <v>29</v>
      </c>
      <c r="F15" t="s">
        <v>40</v>
      </c>
    </row>
    <row r="16" spans="2:6" x14ac:dyDescent="0.25">
      <c r="B16" t="s">
        <v>37</v>
      </c>
      <c r="C16">
        <v>779</v>
      </c>
      <c r="D16">
        <v>934.8</v>
      </c>
      <c r="E16" t="s">
        <v>41</v>
      </c>
      <c r="F16" t="s">
        <v>43</v>
      </c>
    </row>
    <row r="17" spans="2:6" x14ac:dyDescent="0.25">
      <c r="B17" t="s">
        <v>37</v>
      </c>
      <c r="C17">
        <v>695</v>
      </c>
      <c r="D17">
        <v>834</v>
      </c>
      <c r="E17" t="s">
        <v>41</v>
      </c>
      <c r="F17" s="4" t="s">
        <v>44</v>
      </c>
    </row>
    <row r="18" spans="2:6" x14ac:dyDescent="0.25">
      <c r="B18" t="s">
        <v>37</v>
      </c>
      <c r="C18">
        <v>795</v>
      </c>
      <c r="D18">
        <v>954</v>
      </c>
      <c r="E18" t="s">
        <v>41</v>
      </c>
      <c r="F18" t="s">
        <v>45</v>
      </c>
    </row>
    <row r="19" spans="2:6" x14ac:dyDescent="0.25">
      <c r="B19" t="s">
        <v>37</v>
      </c>
      <c r="C19">
        <v>699</v>
      </c>
      <c r="D19">
        <v>838.8</v>
      </c>
      <c r="E19" t="s">
        <v>41</v>
      </c>
      <c r="F19" t="s">
        <v>47</v>
      </c>
    </row>
    <row r="22" spans="2:6" x14ac:dyDescent="0.25">
      <c r="B22" t="s">
        <v>157</v>
      </c>
      <c r="D22" t="s">
        <v>158</v>
      </c>
    </row>
    <row r="24" spans="2:6" x14ac:dyDescent="0.25">
      <c r="B24" t="s">
        <v>32</v>
      </c>
    </row>
    <row r="25" spans="2:6" x14ac:dyDescent="0.25">
      <c r="B25" t="s">
        <v>33</v>
      </c>
      <c r="C25">
        <v>724</v>
      </c>
      <c r="D25">
        <v>868.8</v>
      </c>
      <c r="E25" t="s">
        <v>29</v>
      </c>
      <c r="F25" s="4" t="s">
        <v>159</v>
      </c>
    </row>
    <row r="26" spans="2:6" x14ac:dyDescent="0.25">
      <c r="B26" t="s">
        <v>33</v>
      </c>
      <c r="C26">
        <v>638</v>
      </c>
      <c r="D26">
        <v>765.6</v>
      </c>
      <c r="E26" t="s">
        <v>29</v>
      </c>
      <c r="F26" s="4" t="s">
        <v>160</v>
      </c>
    </row>
    <row r="27" spans="2:6" x14ac:dyDescent="0.25">
      <c r="B27" t="s">
        <v>33</v>
      </c>
      <c r="C27">
        <v>998</v>
      </c>
      <c r="D27">
        <v>1197.5999999999999</v>
      </c>
      <c r="E27" t="s">
        <v>29</v>
      </c>
      <c r="F27" t="s">
        <v>161</v>
      </c>
    </row>
    <row r="28" spans="2:6" x14ac:dyDescent="0.25">
      <c r="B28" t="s">
        <v>33</v>
      </c>
      <c r="C28">
        <v>686</v>
      </c>
      <c r="D28">
        <v>823</v>
      </c>
      <c r="E28" t="s">
        <v>50</v>
      </c>
      <c r="F28" t="s">
        <v>167</v>
      </c>
    </row>
    <row r="29" spans="2:6" x14ac:dyDescent="0.25">
      <c r="B29" t="s">
        <v>33</v>
      </c>
      <c r="C29">
        <v>749</v>
      </c>
      <c r="D29">
        <v>898</v>
      </c>
      <c r="E29" t="s">
        <v>50</v>
      </c>
      <c r="F29" t="s">
        <v>168</v>
      </c>
    </row>
    <row r="30" spans="2:6" x14ac:dyDescent="0.25">
      <c r="B30" t="s">
        <v>33</v>
      </c>
      <c r="D30">
        <v>795</v>
      </c>
      <c r="E30" t="s">
        <v>48</v>
      </c>
      <c r="F30" t="s">
        <v>174</v>
      </c>
    </row>
    <row r="31" spans="2:6" x14ac:dyDescent="0.25">
      <c r="B31" t="s">
        <v>33</v>
      </c>
      <c r="D31">
        <v>765</v>
      </c>
      <c r="E31" t="s">
        <v>48</v>
      </c>
      <c r="F31" t="s">
        <v>173</v>
      </c>
    </row>
    <row r="33" spans="2:6" x14ac:dyDescent="0.25">
      <c r="B33" t="s">
        <v>37</v>
      </c>
      <c r="C33">
        <v>974</v>
      </c>
      <c r="D33">
        <v>11680</v>
      </c>
      <c r="E33" t="s">
        <v>29</v>
      </c>
      <c r="F33" t="s">
        <v>162</v>
      </c>
    </row>
    <row r="34" spans="2:6" x14ac:dyDescent="0.25">
      <c r="B34" t="s">
        <v>37</v>
      </c>
      <c r="C34">
        <v>911</v>
      </c>
      <c r="D34">
        <v>1093.2</v>
      </c>
      <c r="E34" t="s">
        <v>29</v>
      </c>
      <c r="F34" t="s">
        <v>163</v>
      </c>
    </row>
    <row r="35" spans="2:6" x14ac:dyDescent="0.25">
      <c r="B35" t="s">
        <v>37</v>
      </c>
      <c r="C35">
        <v>917</v>
      </c>
      <c r="D35">
        <v>1100.4000000000001</v>
      </c>
      <c r="E35" t="s">
        <v>50</v>
      </c>
      <c r="F35" t="s">
        <v>169</v>
      </c>
    </row>
    <row r="36" spans="2:6" x14ac:dyDescent="0.25">
      <c r="B36" t="s">
        <v>37</v>
      </c>
      <c r="D36">
        <v>1078.8</v>
      </c>
      <c r="E36" t="s">
        <v>50</v>
      </c>
      <c r="F36" t="s">
        <v>171</v>
      </c>
    </row>
    <row r="37" spans="2:6" x14ac:dyDescent="0.25">
      <c r="B37" s="6" t="s">
        <v>37</v>
      </c>
      <c r="C37" s="6"/>
      <c r="D37" s="6">
        <v>930</v>
      </c>
      <c r="E37" s="6" t="s">
        <v>50</v>
      </c>
      <c r="F37" s="6" t="s">
        <v>170</v>
      </c>
    </row>
    <row r="38" spans="2:6" x14ac:dyDescent="0.25">
      <c r="B38" t="s">
        <v>37</v>
      </c>
      <c r="D38">
        <v>1162.8</v>
      </c>
      <c r="E38" t="s">
        <v>50</v>
      </c>
      <c r="F38" s="4" t="s">
        <v>172</v>
      </c>
    </row>
    <row r="39" spans="2:6" x14ac:dyDescent="0.25">
      <c r="B39" t="s">
        <v>37</v>
      </c>
      <c r="D39">
        <v>1090</v>
      </c>
      <c r="E39" t="s">
        <v>48</v>
      </c>
      <c r="F39" t="s">
        <v>175</v>
      </c>
    </row>
    <row r="43" spans="2:6" x14ac:dyDescent="0.25">
      <c r="B43" t="s">
        <v>164</v>
      </c>
      <c r="D43" t="s">
        <v>165</v>
      </c>
    </row>
    <row r="45" spans="2:6" x14ac:dyDescent="0.25">
      <c r="B45" t="s">
        <v>37</v>
      </c>
      <c r="C45">
        <v>1428</v>
      </c>
      <c r="D45">
        <v>1713.6</v>
      </c>
      <c r="E45" t="s">
        <v>29</v>
      </c>
      <c r="F45" s="4" t="s">
        <v>166</v>
      </c>
    </row>
    <row r="46" spans="2:6" x14ac:dyDescent="0.25">
      <c r="B46" t="s">
        <v>37</v>
      </c>
      <c r="D46">
        <v>1710</v>
      </c>
      <c r="E46" t="s">
        <v>48</v>
      </c>
      <c r="F46" s="4" t="s">
        <v>193</v>
      </c>
    </row>
    <row r="47" spans="2:6" x14ac:dyDescent="0.25">
      <c r="B47" t="s">
        <v>37</v>
      </c>
      <c r="D47">
        <v>1718</v>
      </c>
      <c r="E47" t="s">
        <v>29</v>
      </c>
      <c r="F47" s="4" t="s">
        <v>194</v>
      </c>
    </row>
    <row r="48" spans="2:6" x14ac:dyDescent="0.25">
      <c r="B48" t="s">
        <v>37</v>
      </c>
      <c r="D48">
        <v>1678.8</v>
      </c>
      <c r="E48" t="s">
        <v>195</v>
      </c>
      <c r="F48" s="4" t="s">
        <v>196</v>
      </c>
    </row>
    <row r="49" spans="2:6" x14ac:dyDescent="0.25">
      <c r="B49" t="s">
        <v>37</v>
      </c>
      <c r="D49">
        <v>1748.8</v>
      </c>
      <c r="E49" t="s">
        <v>195</v>
      </c>
      <c r="F49" t="s">
        <v>197</v>
      </c>
    </row>
    <row r="50" spans="2:6" x14ac:dyDescent="0.25">
      <c r="B50" t="s">
        <v>37</v>
      </c>
    </row>
    <row r="51" spans="2:6" x14ac:dyDescent="0.25">
      <c r="B51" t="s">
        <v>37</v>
      </c>
    </row>
    <row r="54" spans="2:6" x14ac:dyDescent="0.25">
      <c r="B54">
        <v>7150</v>
      </c>
    </row>
    <row r="56" spans="2:6" x14ac:dyDescent="0.25">
      <c r="B56" t="s">
        <v>37</v>
      </c>
      <c r="D56">
        <v>1789</v>
      </c>
      <c r="E56" t="s">
        <v>29</v>
      </c>
      <c r="F56" t="s">
        <v>199</v>
      </c>
    </row>
    <row r="57" spans="2:6" x14ac:dyDescent="0.25">
      <c r="B57" t="s">
        <v>37</v>
      </c>
      <c r="D57">
        <v>1999</v>
      </c>
      <c r="E57" t="s">
        <v>29</v>
      </c>
      <c r="F57" t="s">
        <v>200</v>
      </c>
    </row>
    <row r="58" spans="2:6" x14ac:dyDescent="0.25">
      <c r="B58" t="s">
        <v>37</v>
      </c>
    </row>
    <row r="59" spans="2:6" x14ac:dyDescent="0.25">
      <c r="B59" t="s">
        <v>37</v>
      </c>
    </row>
    <row r="60" spans="2:6" x14ac:dyDescent="0.25">
      <c r="B60" t="s">
        <v>37</v>
      </c>
    </row>
    <row r="61" spans="2:6" x14ac:dyDescent="0.25">
      <c r="B61" t="s">
        <v>37</v>
      </c>
    </row>
    <row r="62" spans="2:6" x14ac:dyDescent="0.25">
      <c r="B62" t="s">
        <v>37</v>
      </c>
    </row>
    <row r="64" spans="2:6" x14ac:dyDescent="0.25">
      <c r="B64">
        <v>9150</v>
      </c>
    </row>
    <row r="66" spans="1:6" x14ac:dyDescent="0.25">
      <c r="B66" t="s">
        <v>37</v>
      </c>
      <c r="D66">
        <v>2250</v>
      </c>
      <c r="E66" t="s">
        <v>29</v>
      </c>
      <c r="F66" t="s">
        <v>201</v>
      </c>
    </row>
    <row r="67" spans="1:6" x14ac:dyDescent="0.25">
      <c r="B67" t="s">
        <v>37</v>
      </c>
      <c r="D67">
        <v>2252</v>
      </c>
      <c r="E67" t="s">
        <v>29</v>
      </c>
      <c r="F67" t="s">
        <v>202</v>
      </c>
    </row>
    <row r="68" spans="1:6" x14ac:dyDescent="0.25">
      <c r="B68" t="s">
        <v>37</v>
      </c>
      <c r="D68">
        <v>2660</v>
      </c>
      <c r="E68" t="s">
        <v>48</v>
      </c>
      <c r="F68" s="4" t="s">
        <v>282</v>
      </c>
    </row>
    <row r="69" spans="1:6" x14ac:dyDescent="0.25">
      <c r="B69" t="s">
        <v>37</v>
      </c>
    </row>
    <row r="70" spans="1:6" x14ac:dyDescent="0.25">
      <c r="B70" t="s">
        <v>37</v>
      </c>
    </row>
    <row r="71" spans="1:6" x14ac:dyDescent="0.25">
      <c r="B71" t="s">
        <v>37</v>
      </c>
    </row>
    <row r="72" spans="1:6" x14ac:dyDescent="0.25">
      <c r="B72" t="s">
        <v>37</v>
      </c>
    </row>
    <row r="74" spans="1:6" x14ac:dyDescent="0.25">
      <c r="A74" t="s">
        <v>267</v>
      </c>
    </row>
    <row r="75" spans="1:6" x14ac:dyDescent="0.25">
      <c r="B75" t="s">
        <v>276</v>
      </c>
      <c r="D75" t="s">
        <v>277</v>
      </c>
    </row>
    <row r="77" spans="1:6" x14ac:dyDescent="0.25">
      <c r="A77" t="s">
        <v>32</v>
      </c>
      <c r="B77" t="s">
        <v>278</v>
      </c>
      <c r="C77" t="s">
        <v>34</v>
      </c>
      <c r="D77" t="s">
        <v>306</v>
      </c>
      <c r="E77" t="s">
        <v>3</v>
      </c>
      <c r="F77" t="s">
        <v>35</v>
      </c>
    </row>
    <row r="78" spans="1:6" x14ac:dyDescent="0.25">
      <c r="A78" t="s">
        <v>37</v>
      </c>
      <c r="B78">
        <v>8</v>
      </c>
      <c r="D78">
        <v>1745</v>
      </c>
      <c r="E78" t="s">
        <v>280</v>
      </c>
      <c r="F78" t="s">
        <v>279</v>
      </c>
    </row>
    <row r="79" spans="1:6" x14ac:dyDescent="0.25">
      <c r="A79" t="s">
        <v>37</v>
      </c>
      <c r="B79">
        <v>8</v>
      </c>
      <c r="D79">
        <v>1975</v>
      </c>
      <c r="E79" t="s">
        <v>280</v>
      </c>
      <c r="F79" t="s">
        <v>281</v>
      </c>
    </row>
    <row r="80" spans="1:6" x14ac:dyDescent="0.25">
      <c r="A80" t="s">
        <v>37</v>
      </c>
      <c r="B80">
        <v>8</v>
      </c>
      <c r="D80">
        <v>1746</v>
      </c>
      <c r="E80" t="s">
        <v>50</v>
      </c>
      <c r="F80" s="4" t="s">
        <v>285</v>
      </c>
    </row>
    <row r="81" spans="1:6" x14ac:dyDescent="0.25">
      <c r="A81" t="s">
        <v>37</v>
      </c>
      <c r="B81">
        <v>8</v>
      </c>
      <c r="D81">
        <v>2183</v>
      </c>
      <c r="E81" t="s">
        <v>41</v>
      </c>
      <c r="F81" t="s">
        <v>286</v>
      </c>
    </row>
    <row r="82" spans="1:6" x14ac:dyDescent="0.25">
      <c r="A82" t="s">
        <v>37</v>
      </c>
      <c r="B82">
        <v>8</v>
      </c>
      <c r="C82">
        <v>1475</v>
      </c>
      <c r="D82">
        <f>C82*1.2</f>
        <v>1770</v>
      </c>
      <c r="E82" t="s">
        <v>287</v>
      </c>
      <c r="F82" s="4" t="s">
        <v>288</v>
      </c>
    </row>
    <row r="84" spans="1:6" x14ac:dyDescent="0.25">
      <c r="B84" t="s">
        <v>295</v>
      </c>
      <c r="D84" t="s">
        <v>296</v>
      </c>
    </row>
    <row r="86" spans="1:6" x14ac:dyDescent="0.25">
      <c r="A86" t="s">
        <v>32</v>
      </c>
      <c r="B86" t="s">
        <v>278</v>
      </c>
      <c r="C86" t="s">
        <v>34</v>
      </c>
      <c r="D86" t="s">
        <v>306</v>
      </c>
      <c r="E86" t="s">
        <v>3</v>
      </c>
      <c r="F86" t="s">
        <v>35</v>
      </c>
    </row>
    <row r="87" spans="1:6" x14ac:dyDescent="0.25">
      <c r="A87" t="s">
        <v>37</v>
      </c>
      <c r="B87">
        <v>12</v>
      </c>
      <c r="D87">
        <v>2950</v>
      </c>
      <c r="E87" t="s">
        <v>48</v>
      </c>
      <c r="F87" s="4" t="s">
        <v>283</v>
      </c>
    </row>
    <row r="88" spans="1:6" x14ac:dyDescent="0.25">
      <c r="A88" t="s">
        <v>37</v>
      </c>
      <c r="B88">
        <v>12</v>
      </c>
      <c r="D88">
        <v>2910</v>
      </c>
      <c r="E88" t="s">
        <v>48</v>
      </c>
      <c r="F88" t="s">
        <v>297</v>
      </c>
    </row>
    <row r="89" spans="1:6" x14ac:dyDescent="0.25">
      <c r="A89" t="s">
        <v>37</v>
      </c>
      <c r="B89">
        <v>12</v>
      </c>
      <c r="D89">
        <v>2937.6</v>
      </c>
      <c r="E89" t="s">
        <v>41</v>
      </c>
      <c r="F89" t="s">
        <v>298</v>
      </c>
    </row>
    <row r="90" spans="1:6" x14ac:dyDescent="0.25">
      <c r="A90" t="s">
        <v>37</v>
      </c>
      <c r="B90">
        <v>12</v>
      </c>
      <c r="D90">
        <v>2914</v>
      </c>
      <c r="E90" t="s">
        <v>299</v>
      </c>
      <c r="F90" t="s">
        <v>300</v>
      </c>
    </row>
    <row r="91" spans="1:6" x14ac:dyDescent="0.25">
      <c r="A91" t="s">
        <v>37</v>
      </c>
      <c r="B91">
        <v>12</v>
      </c>
    </row>
    <row r="94" spans="1:6" x14ac:dyDescent="0.25">
      <c r="B94" t="s">
        <v>304</v>
      </c>
      <c r="D94" t="s">
        <v>305</v>
      </c>
    </row>
    <row r="95" spans="1:6" x14ac:dyDescent="0.25">
      <c r="A95" t="s">
        <v>32</v>
      </c>
      <c r="B95" t="s">
        <v>278</v>
      </c>
      <c r="C95" t="s">
        <v>34</v>
      </c>
      <c r="D95" t="s">
        <v>306</v>
      </c>
      <c r="E95" t="s">
        <v>3</v>
      </c>
      <c r="F95" t="s">
        <v>35</v>
      </c>
    </row>
    <row r="96" spans="1:6" x14ac:dyDescent="0.25">
      <c r="A96" t="s">
        <v>37</v>
      </c>
      <c r="B96">
        <v>15</v>
      </c>
      <c r="C96">
        <v>2612</v>
      </c>
      <c r="D96">
        <v>3134</v>
      </c>
      <c r="E96" t="s">
        <v>41</v>
      </c>
      <c r="F96" s="4" t="s">
        <v>307</v>
      </c>
    </row>
    <row r="97" spans="1:7" x14ac:dyDescent="0.25">
      <c r="A97" t="s">
        <v>37</v>
      </c>
      <c r="B97">
        <v>15</v>
      </c>
      <c r="D97">
        <v>3114</v>
      </c>
      <c r="E97" t="s">
        <v>308</v>
      </c>
      <c r="F97" t="s">
        <v>284</v>
      </c>
    </row>
    <row r="98" spans="1:7" x14ac:dyDescent="0.25">
      <c r="A98" t="s">
        <v>37</v>
      </c>
      <c r="B98">
        <v>15</v>
      </c>
      <c r="C98">
        <v>2623</v>
      </c>
      <c r="D98">
        <f>C98*1.2</f>
        <v>3147.6</v>
      </c>
      <c r="E98" t="s">
        <v>299</v>
      </c>
      <c r="F98" t="s">
        <v>309</v>
      </c>
    </row>
    <row r="100" spans="1:7" x14ac:dyDescent="0.25">
      <c r="B100" t="s">
        <v>312</v>
      </c>
      <c r="D100" t="s">
        <v>313</v>
      </c>
    </row>
    <row r="101" spans="1:7" x14ac:dyDescent="0.25">
      <c r="A101" t="s">
        <v>32</v>
      </c>
      <c r="B101" t="s">
        <v>278</v>
      </c>
      <c r="C101" t="s">
        <v>34</v>
      </c>
      <c r="D101" t="s">
        <v>306</v>
      </c>
      <c r="E101" t="s">
        <v>3</v>
      </c>
      <c r="F101" t="s">
        <v>35</v>
      </c>
    </row>
    <row r="102" spans="1:7" x14ac:dyDescent="0.25">
      <c r="A102" t="s">
        <v>37</v>
      </c>
      <c r="B102">
        <v>20</v>
      </c>
      <c r="C102">
        <v>4320</v>
      </c>
      <c r="D102">
        <f>C102*1.2</f>
        <v>5184</v>
      </c>
      <c r="E102" t="s">
        <v>299</v>
      </c>
      <c r="F102" t="s">
        <v>314</v>
      </c>
    </row>
    <row r="103" spans="1:7" x14ac:dyDescent="0.25">
      <c r="A103" t="s">
        <v>37</v>
      </c>
      <c r="B103">
        <v>22</v>
      </c>
      <c r="C103">
        <v>4085</v>
      </c>
      <c r="D103">
        <v>4902</v>
      </c>
      <c r="E103" t="s">
        <v>41</v>
      </c>
      <c r="F103" s="4" t="s">
        <v>315</v>
      </c>
    </row>
    <row r="104" spans="1:7" x14ac:dyDescent="0.25">
      <c r="A104" t="s">
        <v>37</v>
      </c>
      <c r="B104">
        <v>22</v>
      </c>
      <c r="D104">
        <v>4861</v>
      </c>
      <c r="E104" t="s">
        <v>299</v>
      </c>
      <c r="F104" t="s">
        <v>316</v>
      </c>
    </row>
    <row r="106" spans="1:7" x14ac:dyDescent="0.25">
      <c r="A106" t="s">
        <v>406</v>
      </c>
    </row>
    <row r="107" spans="1:7" x14ac:dyDescent="0.25">
      <c r="A107" t="s">
        <v>55</v>
      </c>
      <c r="B107" t="s">
        <v>485</v>
      </c>
    </row>
    <row r="108" spans="1:7" x14ac:dyDescent="0.25">
      <c r="A108" t="s">
        <v>32</v>
      </c>
      <c r="B108" t="s">
        <v>278</v>
      </c>
      <c r="C108" t="s">
        <v>34</v>
      </c>
      <c r="D108" t="s">
        <v>306</v>
      </c>
      <c r="E108" t="s">
        <v>3</v>
      </c>
      <c r="F108" t="s">
        <v>35</v>
      </c>
      <c r="G108" t="s">
        <v>492</v>
      </c>
    </row>
    <row r="109" spans="1:7" x14ac:dyDescent="0.25">
      <c r="A109" t="s">
        <v>37</v>
      </c>
      <c r="B109">
        <v>6</v>
      </c>
      <c r="C109">
        <v>1525</v>
      </c>
      <c r="D109">
        <v>1830</v>
      </c>
      <c r="E109" t="s">
        <v>486</v>
      </c>
      <c r="F109" t="s">
        <v>487</v>
      </c>
      <c r="G109" s="44">
        <v>44354</v>
      </c>
    </row>
    <row r="110" spans="1:7" x14ac:dyDescent="0.25">
      <c r="A110" t="s">
        <v>488</v>
      </c>
      <c r="B110">
        <v>6</v>
      </c>
      <c r="C110">
        <v>1245</v>
      </c>
      <c r="D110">
        <v>1494</v>
      </c>
      <c r="E110" t="s">
        <v>490</v>
      </c>
      <c r="F110" t="s">
        <v>491</v>
      </c>
      <c r="G110" s="44">
        <v>44354</v>
      </c>
    </row>
    <row r="111" spans="1:7" x14ac:dyDescent="0.25">
      <c r="A111" t="s">
        <v>489</v>
      </c>
      <c r="B111">
        <v>6</v>
      </c>
      <c r="C111">
        <v>1620</v>
      </c>
      <c r="D111">
        <v>1944</v>
      </c>
      <c r="E111" t="s">
        <v>490</v>
      </c>
      <c r="F111" t="s">
        <v>491</v>
      </c>
      <c r="G111" s="44">
        <v>44354</v>
      </c>
    </row>
    <row r="112" spans="1:7" x14ac:dyDescent="0.25">
      <c r="A112" t="s">
        <v>488</v>
      </c>
      <c r="B112">
        <v>6</v>
      </c>
      <c r="C112">
        <v>1526</v>
      </c>
      <c r="D112">
        <v>1831</v>
      </c>
      <c r="E112" t="s">
        <v>299</v>
      </c>
      <c r="F112" t="s">
        <v>493</v>
      </c>
      <c r="G112" s="44">
        <v>44354</v>
      </c>
    </row>
    <row r="113" spans="1:7" x14ac:dyDescent="0.25">
      <c r="A113" t="s">
        <v>489</v>
      </c>
      <c r="B113">
        <v>6</v>
      </c>
      <c r="C113">
        <v>1228</v>
      </c>
      <c r="D113">
        <v>1473.6</v>
      </c>
      <c r="E113" t="s">
        <v>299</v>
      </c>
      <c r="F113" t="s">
        <v>493</v>
      </c>
      <c r="G113" s="44">
        <v>44354</v>
      </c>
    </row>
    <row r="115" spans="1:7" x14ac:dyDescent="0.25">
      <c r="A115" t="s">
        <v>494</v>
      </c>
      <c r="B115" t="s">
        <v>495</v>
      </c>
    </row>
    <row r="116" spans="1:7" x14ac:dyDescent="0.25">
      <c r="A116" t="s">
        <v>32</v>
      </c>
      <c r="B116" t="s">
        <v>278</v>
      </c>
      <c r="C116" t="s">
        <v>34</v>
      </c>
      <c r="D116" t="s">
        <v>306</v>
      </c>
      <c r="E116" t="s">
        <v>3</v>
      </c>
      <c r="F116" t="s">
        <v>35</v>
      </c>
      <c r="G116" t="s">
        <v>492</v>
      </c>
    </row>
    <row r="117" spans="1:7" x14ac:dyDescent="0.25">
      <c r="A117" t="s">
        <v>37</v>
      </c>
      <c r="B117">
        <v>12</v>
      </c>
      <c r="C117">
        <v>2540</v>
      </c>
      <c r="D117">
        <v>3048</v>
      </c>
      <c r="E117" t="s">
        <v>299</v>
      </c>
      <c r="F117" t="s">
        <v>300</v>
      </c>
      <c r="G117" s="44">
        <v>44354</v>
      </c>
    </row>
    <row r="118" spans="1:7" x14ac:dyDescent="0.25">
      <c r="A118" t="s">
        <v>37</v>
      </c>
      <c r="B118">
        <v>12</v>
      </c>
      <c r="C118">
        <v>2538</v>
      </c>
      <c r="D118">
        <v>3045.6</v>
      </c>
      <c r="E118" t="s">
        <v>486</v>
      </c>
      <c r="F118" t="s">
        <v>496</v>
      </c>
      <c r="G118" s="44">
        <v>44354</v>
      </c>
    </row>
    <row r="119" spans="1:7" x14ac:dyDescent="0.25">
      <c r="A119" t="s">
        <v>37</v>
      </c>
      <c r="B119">
        <v>12</v>
      </c>
      <c r="D119">
        <v>2910</v>
      </c>
      <c r="E119" t="s">
        <v>497</v>
      </c>
      <c r="F119" t="s">
        <v>297</v>
      </c>
      <c r="G119" s="44">
        <v>44354</v>
      </c>
    </row>
    <row r="120" spans="1:7" x14ac:dyDescent="0.25">
      <c r="A120" t="s">
        <v>37</v>
      </c>
      <c r="D120">
        <v>2950</v>
      </c>
      <c r="E120" t="s">
        <v>497</v>
      </c>
      <c r="F120" t="s">
        <v>283</v>
      </c>
      <c r="G120" s="44">
        <v>44354</v>
      </c>
    </row>
    <row r="122" spans="1:7" x14ac:dyDescent="0.25">
      <c r="A122" t="s">
        <v>165</v>
      </c>
      <c r="B122" t="s">
        <v>498</v>
      </c>
    </row>
    <row r="123" spans="1:7" x14ac:dyDescent="0.25">
      <c r="A123" t="s">
        <v>32</v>
      </c>
      <c r="B123" t="s">
        <v>278</v>
      </c>
      <c r="C123" t="s">
        <v>34</v>
      </c>
      <c r="D123" t="s">
        <v>306</v>
      </c>
      <c r="E123" t="s">
        <v>3</v>
      </c>
      <c r="F123" t="s">
        <v>35</v>
      </c>
      <c r="G123" t="s">
        <v>492</v>
      </c>
    </row>
    <row r="124" spans="1:7" x14ac:dyDescent="0.25">
      <c r="A124" t="s">
        <v>37</v>
      </c>
      <c r="B124">
        <v>26</v>
      </c>
      <c r="C124">
        <v>4587</v>
      </c>
      <c r="D124">
        <v>5504</v>
      </c>
      <c r="E124" t="s">
        <v>486</v>
      </c>
      <c r="F124" t="s">
        <v>499</v>
      </c>
      <c r="G124" s="44">
        <v>44354</v>
      </c>
    </row>
    <row r="125" spans="1:7" x14ac:dyDescent="0.25">
      <c r="A125" t="s">
        <v>37</v>
      </c>
      <c r="B125">
        <v>26</v>
      </c>
      <c r="C125">
        <v>4495</v>
      </c>
      <c r="D125">
        <v>5394</v>
      </c>
      <c r="E125" t="s">
        <v>299</v>
      </c>
      <c r="F125" s="4" t="s">
        <v>500</v>
      </c>
      <c r="G125" s="44">
        <v>44354</v>
      </c>
    </row>
    <row r="126" spans="1:7" x14ac:dyDescent="0.25">
      <c r="A126" t="s">
        <v>37</v>
      </c>
      <c r="B126">
        <v>26</v>
      </c>
      <c r="C126">
        <v>4369</v>
      </c>
      <c r="D126">
        <v>5242.8</v>
      </c>
      <c r="E126" t="s">
        <v>501</v>
      </c>
      <c r="F126" s="4" t="s">
        <v>502</v>
      </c>
      <c r="G126" s="44">
        <v>44354</v>
      </c>
    </row>
    <row r="128" spans="1:7" x14ac:dyDescent="0.25">
      <c r="A128" t="s">
        <v>275</v>
      </c>
      <c r="B128" t="s">
        <v>504</v>
      </c>
    </row>
    <row r="129" spans="1:7" x14ac:dyDescent="0.25">
      <c r="A129" t="s">
        <v>32</v>
      </c>
      <c r="B129" t="s">
        <v>278</v>
      </c>
      <c r="C129" t="s">
        <v>34</v>
      </c>
      <c r="D129" t="s">
        <v>306</v>
      </c>
      <c r="E129" t="s">
        <v>3</v>
      </c>
      <c r="F129" t="s">
        <v>35</v>
      </c>
      <c r="G129" t="s">
        <v>492</v>
      </c>
    </row>
    <row r="139" spans="1:7" x14ac:dyDescent="0.25">
      <c r="A139" t="s">
        <v>294</v>
      </c>
      <c r="B139" t="s">
        <v>503</v>
      </c>
    </row>
    <row r="140" spans="1:7" x14ac:dyDescent="0.25">
      <c r="A140" t="s">
        <v>32</v>
      </c>
      <c r="B140" t="s">
        <v>278</v>
      </c>
      <c r="C140" t="s">
        <v>34</v>
      </c>
      <c r="D140" t="s">
        <v>306</v>
      </c>
      <c r="E140" t="s">
        <v>3</v>
      </c>
      <c r="F140" t="s">
        <v>35</v>
      </c>
      <c r="G140" t="s">
        <v>492</v>
      </c>
    </row>
    <row r="142" spans="1:7" x14ac:dyDescent="0.25">
      <c r="A142" t="s">
        <v>317</v>
      </c>
    </row>
    <row r="143" spans="1:7" x14ac:dyDescent="0.25">
      <c r="A143" t="s">
        <v>37</v>
      </c>
      <c r="B143">
        <v>20</v>
      </c>
      <c r="C143">
        <v>5069</v>
      </c>
      <c r="D143">
        <v>6083</v>
      </c>
      <c r="E143" t="s">
        <v>299</v>
      </c>
      <c r="F143" t="s">
        <v>314</v>
      </c>
    </row>
    <row r="145" spans="1:6" x14ac:dyDescent="0.25">
      <c r="A145" t="s">
        <v>410</v>
      </c>
    </row>
    <row r="146" spans="1:6" x14ac:dyDescent="0.25">
      <c r="A146" t="s">
        <v>55</v>
      </c>
      <c r="B146" t="s">
        <v>34</v>
      </c>
      <c r="C146" t="s">
        <v>306</v>
      </c>
      <c r="D146" t="s">
        <v>3</v>
      </c>
      <c r="E146" t="s">
        <v>35</v>
      </c>
      <c r="F146" t="s">
        <v>412</v>
      </c>
    </row>
    <row r="147" spans="1:6" x14ac:dyDescent="0.25">
      <c r="A147" s="25" t="s">
        <v>378</v>
      </c>
      <c r="B147" s="25">
        <v>2510</v>
      </c>
      <c r="C147" s="25">
        <v>3012</v>
      </c>
      <c r="D147" s="25" t="s">
        <v>299</v>
      </c>
      <c r="E147" s="4" t="s">
        <v>411</v>
      </c>
      <c r="F147" s="36">
        <v>44349</v>
      </c>
    </row>
    <row r="148" spans="1:6" x14ac:dyDescent="0.25">
      <c r="A148" s="25" t="s">
        <v>378</v>
      </c>
      <c r="B148" s="25">
        <v>2534</v>
      </c>
      <c r="C148" s="25">
        <v>3040.8</v>
      </c>
      <c r="D148" s="25" t="s">
        <v>413</v>
      </c>
      <c r="E148" s="25" t="s">
        <v>414</v>
      </c>
      <c r="F148" s="36">
        <v>44349</v>
      </c>
    </row>
    <row r="149" spans="1:6" x14ac:dyDescent="0.25">
      <c r="A149" s="25" t="s">
        <v>378</v>
      </c>
      <c r="B149" s="25">
        <v>2475</v>
      </c>
      <c r="C149" s="25">
        <v>2970</v>
      </c>
      <c r="D149" s="25" t="s">
        <v>415</v>
      </c>
      <c r="E149" s="37" t="s">
        <v>416</v>
      </c>
      <c r="F149" s="36">
        <v>44349</v>
      </c>
    </row>
    <row r="150" spans="1:6" x14ac:dyDescent="0.25">
      <c r="A150" s="25" t="s">
        <v>439</v>
      </c>
      <c r="C150">
        <v>4285</v>
      </c>
      <c r="D150" t="s">
        <v>48</v>
      </c>
      <c r="E150" t="s">
        <v>440</v>
      </c>
      <c r="F150" s="35">
        <v>44349</v>
      </c>
    </row>
    <row r="151" spans="1:6" x14ac:dyDescent="0.25">
      <c r="A151" s="25" t="s">
        <v>439</v>
      </c>
      <c r="B151">
        <v>3595</v>
      </c>
      <c r="C151">
        <v>4314</v>
      </c>
      <c r="D151" t="s">
        <v>299</v>
      </c>
      <c r="E151" t="s">
        <v>438</v>
      </c>
      <c r="F151" s="35">
        <v>44349</v>
      </c>
    </row>
    <row r="152" spans="1:6" x14ac:dyDescent="0.25">
      <c r="A152" s="25" t="s">
        <v>439</v>
      </c>
      <c r="B152">
        <v>3799.99</v>
      </c>
      <c r="C152">
        <v>4559.99</v>
      </c>
      <c r="D152" t="s">
        <v>441</v>
      </c>
      <c r="E152" t="s">
        <v>442</v>
      </c>
      <c r="F152" s="35">
        <v>44349</v>
      </c>
    </row>
    <row r="153" spans="1:6" x14ac:dyDescent="0.25">
      <c r="A153" s="25" t="s">
        <v>439</v>
      </c>
      <c r="B153">
        <v>3357</v>
      </c>
      <c r="C153">
        <f>B153*1.2</f>
        <v>4028.3999999999996</v>
      </c>
      <c r="D153" t="s">
        <v>444</v>
      </c>
      <c r="E153" t="s">
        <v>445</v>
      </c>
      <c r="F153" s="35">
        <v>44349</v>
      </c>
    </row>
    <row r="155" spans="1:6" x14ac:dyDescent="0.25">
      <c r="A155" t="s">
        <v>135</v>
      </c>
      <c r="B155" t="s">
        <v>34</v>
      </c>
      <c r="C155" t="s">
        <v>306</v>
      </c>
      <c r="D155" t="s">
        <v>3</v>
      </c>
      <c r="E155" t="s">
        <v>35</v>
      </c>
      <c r="F155" t="s">
        <v>412</v>
      </c>
    </row>
    <row r="156" spans="1:6" x14ac:dyDescent="0.25">
      <c r="A156" s="25" t="s">
        <v>381</v>
      </c>
      <c r="B156" s="25">
        <v>4670</v>
      </c>
      <c r="C156" s="25">
        <v>5604</v>
      </c>
      <c r="D156" s="25" t="s">
        <v>299</v>
      </c>
      <c r="E156" s="4" t="s">
        <v>411</v>
      </c>
      <c r="F156" s="36">
        <v>44349</v>
      </c>
    </row>
    <row r="157" spans="1:6" x14ac:dyDescent="0.25">
      <c r="A157" s="25" t="s">
        <v>381</v>
      </c>
      <c r="B157" s="25">
        <v>4725</v>
      </c>
      <c r="C157" s="25">
        <v>5670</v>
      </c>
      <c r="D157" s="25" t="s">
        <v>413</v>
      </c>
      <c r="E157" s="37" t="s">
        <v>417</v>
      </c>
      <c r="F157" s="36">
        <v>44349</v>
      </c>
    </row>
    <row r="158" spans="1:6" x14ac:dyDescent="0.25">
      <c r="A158" s="25" t="s">
        <v>381</v>
      </c>
      <c r="B158" s="25">
        <v>4745</v>
      </c>
      <c r="C158" s="25">
        <v>5694</v>
      </c>
      <c r="D158" s="25" t="s">
        <v>415</v>
      </c>
      <c r="E158" s="25" t="s">
        <v>416</v>
      </c>
      <c r="F158" s="36">
        <v>44349</v>
      </c>
    </row>
    <row r="159" spans="1:6" x14ac:dyDescent="0.25">
      <c r="A159" s="25" t="s">
        <v>424</v>
      </c>
      <c r="C159">
        <v>7700</v>
      </c>
      <c r="D159" t="s">
        <v>48</v>
      </c>
      <c r="E159" t="s">
        <v>443</v>
      </c>
      <c r="F159" s="35">
        <v>44349</v>
      </c>
    </row>
    <row r="160" spans="1:6" x14ac:dyDescent="0.25">
      <c r="A160" s="25" t="s">
        <v>424</v>
      </c>
      <c r="B160">
        <v>6445</v>
      </c>
      <c r="C160">
        <v>7734</v>
      </c>
      <c r="D160" t="s">
        <v>299</v>
      </c>
      <c r="E160" t="s">
        <v>438</v>
      </c>
      <c r="F160" s="35">
        <v>44349</v>
      </c>
    </row>
    <row r="161" spans="1:6" x14ac:dyDescent="0.25">
      <c r="A161" s="25" t="s">
        <v>424</v>
      </c>
      <c r="B161">
        <v>6800</v>
      </c>
      <c r="C161">
        <f>B161*1.2</f>
        <v>8160</v>
      </c>
      <c r="D161" t="s">
        <v>444</v>
      </c>
      <c r="E161" t="s">
        <v>445</v>
      </c>
      <c r="F161" s="35">
        <v>44349</v>
      </c>
    </row>
    <row r="166" spans="1:6" x14ac:dyDescent="0.25">
      <c r="A166" s="25" t="s">
        <v>165</v>
      </c>
      <c r="B166" t="s">
        <v>34</v>
      </c>
      <c r="C166" t="s">
        <v>306</v>
      </c>
      <c r="D166" t="s">
        <v>3</v>
      </c>
      <c r="E166" t="s">
        <v>35</v>
      </c>
      <c r="F166" t="s">
        <v>412</v>
      </c>
    </row>
    <row r="167" spans="1:6" x14ac:dyDescent="0.25">
      <c r="A167" s="25" t="s">
        <v>384</v>
      </c>
      <c r="B167" s="25">
        <v>7377</v>
      </c>
      <c r="C167" s="25">
        <v>8852.4</v>
      </c>
      <c r="D167" s="25" t="s">
        <v>413</v>
      </c>
      <c r="E167" s="4" t="s">
        <v>418</v>
      </c>
      <c r="F167" s="36">
        <v>44349</v>
      </c>
    </row>
    <row r="168" spans="1:6" x14ac:dyDescent="0.25">
      <c r="A168" s="25" t="s">
        <v>384</v>
      </c>
      <c r="B168" s="25">
        <v>7595</v>
      </c>
      <c r="C168" s="25">
        <v>9114</v>
      </c>
      <c r="D168" s="25" t="s">
        <v>415</v>
      </c>
      <c r="E168" s="25" t="s">
        <v>416</v>
      </c>
      <c r="F168" s="36">
        <v>44349</v>
      </c>
    </row>
    <row r="169" spans="1:6" x14ac:dyDescent="0.25">
      <c r="A169" s="25" t="s">
        <v>384</v>
      </c>
      <c r="B169" s="25">
        <v>7960</v>
      </c>
      <c r="C169" s="25">
        <f>B169*1.2</f>
        <v>9552</v>
      </c>
      <c r="D169" s="25" t="s">
        <v>444</v>
      </c>
      <c r="E169" s="25" t="s">
        <v>446</v>
      </c>
      <c r="F169" s="36">
        <v>44349</v>
      </c>
    </row>
    <row r="170" spans="1:6" x14ac:dyDescent="0.25">
      <c r="A170" s="25" t="s">
        <v>427</v>
      </c>
      <c r="B170">
        <v>10215</v>
      </c>
      <c r="C170">
        <f>B170*1.2</f>
        <v>12258</v>
      </c>
      <c r="D170" t="s">
        <v>444</v>
      </c>
      <c r="E170" t="s">
        <v>445</v>
      </c>
      <c r="F170" s="35">
        <v>44351</v>
      </c>
    </row>
    <row r="171" spans="1:6" x14ac:dyDescent="0.25">
      <c r="A171" s="25" t="s">
        <v>427</v>
      </c>
      <c r="C171">
        <v>13000</v>
      </c>
      <c r="D171" t="s">
        <v>48</v>
      </c>
      <c r="E171" t="s">
        <v>453</v>
      </c>
      <c r="F171" s="35">
        <v>44351</v>
      </c>
    </row>
    <row r="172" spans="1:6" x14ac:dyDescent="0.25">
      <c r="A172" s="25" t="s">
        <v>427</v>
      </c>
      <c r="C172" s="25">
        <v>13062</v>
      </c>
      <c r="D172" t="s">
        <v>299</v>
      </c>
      <c r="E172" s="4" t="s">
        <v>438</v>
      </c>
      <c r="F172" s="35">
        <v>44351</v>
      </c>
    </row>
    <row r="176" spans="1:6" x14ac:dyDescent="0.25">
      <c r="A176" t="s">
        <v>275</v>
      </c>
      <c r="B176" t="s">
        <v>34</v>
      </c>
      <c r="C176" t="s">
        <v>306</v>
      </c>
      <c r="D176" t="s">
        <v>3</v>
      </c>
      <c r="E176" t="s">
        <v>35</v>
      </c>
      <c r="F176" t="s">
        <v>412</v>
      </c>
    </row>
    <row r="177" spans="1:13" x14ac:dyDescent="0.25">
      <c r="A177" s="25" t="s">
        <v>343</v>
      </c>
      <c r="B177">
        <v>19258</v>
      </c>
      <c r="C177">
        <f>B177*1.2</f>
        <v>23109.599999999999</v>
      </c>
      <c r="D177" t="s">
        <v>522</v>
      </c>
      <c r="E177" t="s">
        <v>452</v>
      </c>
      <c r="F177" s="44">
        <v>44354</v>
      </c>
    </row>
    <row r="178" spans="1:13" x14ac:dyDescent="0.25">
      <c r="A178" s="25" t="s">
        <v>343</v>
      </c>
      <c r="F178" s="44"/>
    </row>
    <row r="179" spans="1:13" x14ac:dyDescent="0.25">
      <c r="A179" s="25" t="s">
        <v>343</v>
      </c>
    </row>
    <row r="180" spans="1:13" x14ac:dyDescent="0.25">
      <c r="A180" s="25" t="s">
        <v>430</v>
      </c>
      <c r="B180">
        <v>13275</v>
      </c>
      <c r="C180">
        <f>B180*1.2</f>
        <v>15930</v>
      </c>
      <c r="D180" t="s">
        <v>444</v>
      </c>
      <c r="E180" s="4" t="s">
        <v>445</v>
      </c>
      <c r="F180" s="35">
        <v>44351</v>
      </c>
    </row>
    <row r="181" spans="1:13" x14ac:dyDescent="0.25">
      <c r="A181" s="25" t="s">
        <v>430</v>
      </c>
      <c r="F181" s="35"/>
      <c r="M181" s="25"/>
    </row>
    <row r="182" spans="1:13" x14ac:dyDescent="0.25">
      <c r="A182" s="25" t="s">
        <v>430</v>
      </c>
      <c r="C182">
        <v>17052</v>
      </c>
      <c r="D182" t="s">
        <v>299</v>
      </c>
      <c r="E182" s="4" t="s">
        <v>438</v>
      </c>
      <c r="F182" s="35">
        <v>44351</v>
      </c>
      <c r="M182" s="25"/>
    </row>
    <row r="183" spans="1:13" x14ac:dyDescent="0.25">
      <c r="M183" s="25"/>
    </row>
    <row r="184" spans="1:13" x14ac:dyDescent="0.25">
      <c r="A184" s="25" t="s">
        <v>294</v>
      </c>
      <c r="M184" s="25"/>
    </row>
    <row r="185" spans="1:13" x14ac:dyDescent="0.25">
      <c r="A185" s="25" t="s">
        <v>349</v>
      </c>
      <c r="B185">
        <v>22914</v>
      </c>
      <c r="C185">
        <f>B185*1.2</f>
        <v>27496.799999999999</v>
      </c>
      <c r="D185" t="s">
        <v>413</v>
      </c>
      <c r="E185" t="s">
        <v>452</v>
      </c>
      <c r="F185" s="35">
        <v>44350</v>
      </c>
      <c r="M185" s="25"/>
    </row>
    <row r="186" spans="1:13" x14ac:dyDescent="0.25">
      <c r="A186" s="25" t="s">
        <v>349</v>
      </c>
      <c r="B186">
        <v>23309</v>
      </c>
      <c r="C186">
        <f>B186*1.2</f>
        <v>27970.799999999999</v>
      </c>
      <c r="D186" t="s">
        <v>522</v>
      </c>
      <c r="E186" t="s">
        <v>452</v>
      </c>
      <c r="F186" s="44">
        <v>44354</v>
      </c>
      <c r="M186" s="25"/>
    </row>
    <row r="187" spans="1:13" x14ac:dyDescent="0.25">
      <c r="A187" s="25" t="s">
        <v>349</v>
      </c>
      <c r="M187" s="25"/>
    </row>
    <row r="188" spans="1:13" x14ac:dyDescent="0.25">
      <c r="A188" s="25" t="s">
        <v>433</v>
      </c>
      <c r="B188">
        <v>21950</v>
      </c>
      <c r="C188">
        <v>26340</v>
      </c>
      <c r="D188" t="s">
        <v>299</v>
      </c>
      <c r="E188" s="4" t="s">
        <v>438</v>
      </c>
      <c r="F188" s="35">
        <v>44349</v>
      </c>
    </row>
    <row r="189" spans="1:13" x14ac:dyDescent="0.25">
      <c r="A189" s="25" t="s">
        <v>433</v>
      </c>
      <c r="B189">
        <v>20695</v>
      </c>
      <c r="C189">
        <f>B189*1.2</f>
        <v>24834</v>
      </c>
      <c r="D189" t="s">
        <v>444</v>
      </c>
      <c r="E189" t="s">
        <v>445</v>
      </c>
      <c r="F189" s="35">
        <v>44349</v>
      </c>
    </row>
    <row r="190" spans="1:13" x14ac:dyDescent="0.25">
      <c r="A190" s="25"/>
    </row>
    <row r="195" spans="1:6" x14ac:dyDescent="0.25">
      <c r="A195" t="s">
        <v>303</v>
      </c>
    </row>
    <row r="196" spans="1:6" x14ac:dyDescent="0.25">
      <c r="A196" s="25" t="s">
        <v>355</v>
      </c>
      <c r="B196">
        <v>22446</v>
      </c>
      <c r="C196">
        <f>B196*1.2</f>
        <v>26935.200000000001</v>
      </c>
      <c r="D196" t="s">
        <v>413</v>
      </c>
      <c r="E196" t="s">
        <v>452</v>
      </c>
      <c r="F196" s="35">
        <v>44350</v>
      </c>
    </row>
    <row r="197" spans="1:6" x14ac:dyDescent="0.25">
      <c r="A197" s="25" t="s">
        <v>355</v>
      </c>
      <c r="B197">
        <v>25111</v>
      </c>
      <c r="C197">
        <f>B197*1.2</f>
        <v>30133.199999999997</v>
      </c>
      <c r="D197" t="s">
        <v>522</v>
      </c>
      <c r="E197" t="s">
        <v>452</v>
      </c>
      <c r="F197" s="44">
        <v>44354</v>
      </c>
    </row>
    <row r="198" spans="1:6" x14ac:dyDescent="0.25">
      <c r="A198" s="25" t="s">
        <v>355</v>
      </c>
    </row>
    <row r="199" spans="1:6" x14ac:dyDescent="0.25">
      <c r="A199" s="25" t="s">
        <v>435</v>
      </c>
      <c r="C199">
        <v>40200</v>
      </c>
      <c r="D199" t="s">
        <v>299</v>
      </c>
      <c r="E199" t="s">
        <v>438</v>
      </c>
      <c r="F199" s="35">
        <v>44351</v>
      </c>
    </row>
    <row r="200" spans="1:6" x14ac:dyDescent="0.25">
      <c r="A200" s="25" t="s">
        <v>435</v>
      </c>
      <c r="B200">
        <v>31915</v>
      </c>
      <c r="C200">
        <f>B200*1.2</f>
        <v>38298</v>
      </c>
      <c r="D200" t="s">
        <v>444</v>
      </c>
      <c r="E200" t="s">
        <v>445</v>
      </c>
      <c r="F200" s="35">
        <v>44351</v>
      </c>
    </row>
    <row r="201" spans="1:6" x14ac:dyDescent="0.25">
      <c r="A201" s="25" t="s">
        <v>435</v>
      </c>
    </row>
    <row r="204" spans="1:6" x14ac:dyDescent="0.25">
      <c r="A204" t="s">
        <v>311</v>
      </c>
    </row>
    <row r="205" spans="1:6" x14ac:dyDescent="0.25">
      <c r="A205" s="25" t="s">
        <v>451</v>
      </c>
      <c r="B205">
        <v>37368</v>
      </c>
      <c r="C205">
        <f>B205*1.2</f>
        <v>44841.599999999999</v>
      </c>
      <c r="D205" t="s">
        <v>444</v>
      </c>
      <c r="E205" t="s">
        <v>445</v>
      </c>
      <c r="F205" s="35">
        <v>44351</v>
      </c>
    </row>
    <row r="206" spans="1:6" x14ac:dyDescent="0.25">
      <c r="A206" s="25" t="s">
        <v>451</v>
      </c>
      <c r="C206">
        <v>46620</v>
      </c>
      <c r="D206" t="s">
        <v>299</v>
      </c>
      <c r="E206" t="s">
        <v>438</v>
      </c>
      <c r="F206" s="35">
        <v>44351</v>
      </c>
    </row>
    <row r="207" spans="1:6" x14ac:dyDescent="0.25">
      <c r="A207" s="25" t="s">
        <v>451</v>
      </c>
    </row>
    <row r="208" spans="1:6" x14ac:dyDescent="0.25">
      <c r="A208" s="25" t="s">
        <v>391</v>
      </c>
      <c r="B208">
        <v>24565</v>
      </c>
      <c r="C208">
        <f>B208*1.2</f>
        <v>29478</v>
      </c>
      <c r="D208" t="s">
        <v>413</v>
      </c>
      <c r="E208" t="s">
        <v>452</v>
      </c>
      <c r="F208" s="35">
        <v>44350</v>
      </c>
    </row>
    <row r="209" spans="1:8" x14ac:dyDescent="0.25">
      <c r="A209" s="25" t="s">
        <v>391</v>
      </c>
      <c r="B209">
        <v>27527</v>
      </c>
      <c r="C209">
        <f>B209*1.2</f>
        <v>33032.400000000001</v>
      </c>
      <c r="D209" t="s">
        <v>522</v>
      </c>
      <c r="E209" t="s">
        <v>452</v>
      </c>
      <c r="F209" s="44">
        <v>44354</v>
      </c>
    </row>
    <row r="210" spans="1:8" x14ac:dyDescent="0.25">
      <c r="A210" s="25" t="s">
        <v>391</v>
      </c>
    </row>
    <row r="215" spans="1:8" x14ac:dyDescent="0.25">
      <c r="A215" t="s">
        <v>708</v>
      </c>
    </row>
    <row r="216" spans="1:8" x14ac:dyDescent="0.25">
      <c r="B216" t="s">
        <v>709</v>
      </c>
      <c r="C216" t="s">
        <v>710</v>
      </c>
      <c r="D216" t="s">
        <v>34</v>
      </c>
      <c r="E216" t="s">
        <v>306</v>
      </c>
      <c r="F216" t="s">
        <v>3</v>
      </c>
      <c r="G216" t="s">
        <v>35</v>
      </c>
      <c r="H216" t="s">
        <v>412</v>
      </c>
    </row>
    <row r="217" spans="1:8" x14ac:dyDescent="0.25">
      <c r="A217" t="s">
        <v>712</v>
      </c>
      <c r="B217">
        <v>1</v>
      </c>
      <c r="C217">
        <v>1</v>
      </c>
      <c r="D217">
        <v>1.25</v>
      </c>
      <c r="E217">
        <f>D217*1.2</f>
        <v>1.5</v>
      </c>
      <c r="F217" t="s">
        <v>712</v>
      </c>
      <c r="G217" t="s">
        <v>711</v>
      </c>
      <c r="H217" s="35">
        <v>44473</v>
      </c>
    </row>
    <row r="218" spans="1:8" x14ac:dyDescent="0.25">
      <c r="A218" t="s">
        <v>713</v>
      </c>
      <c r="B218">
        <v>1</v>
      </c>
      <c r="C218">
        <v>1</v>
      </c>
      <c r="D218" t="s">
        <v>369</v>
      </c>
      <c r="E218">
        <v>1.56</v>
      </c>
      <c r="F218" t="s">
        <v>713</v>
      </c>
      <c r="G218" t="s">
        <v>714</v>
      </c>
      <c r="H218" s="35">
        <v>44473</v>
      </c>
    </row>
    <row r="220" spans="1:8" x14ac:dyDescent="0.25">
      <c r="A220" t="s">
        <v>713</v>
      </c>
      <c r="B220">
        <v>1.2</v>
      </c>
      <c r="E220">
        <v>1.73</v>
      </c>
      <c r="F220" t="s">
        <v>713</v>
      </c>
      <c r="G220" t="s">
        <v>714</v>
      </c>
      <c r="H220" s="35">
        <v>44473</v>
      </c>
    </row>
    <row r="224" spans="1:8" x14ac:dyDescent="0.25">
      <c r="A224" t="s">
        <v>715</v>
      </c>
    </row>
    <row r="225" spans="1:8" x14ac:dyDescent="0.25">
      <c r="A225" t="s">
        <v>3</v>
      </c>
      <c r="B225" t="s">
        <v>34</v>
      </c>
      <c r="C225" t="s">
        <v>306</v>
      </c>
      <c r="E225" t="s">
        <v>35</v>
      </c>
      <c r="F225" t="s">
        <v>412</v>
      </c>
      <c r="H225" t="s">
        <v>710</v>
      </c>
    </row>
    <row r="226" spans="1:8" x14ac:dyDescent="0.25">
      <c r="A226" t="s">
        <v>713</v>
      </c>
      <c r="C226">
        <v>5.93</v>
      </c>
      <c r="E226" s="4" t="s">
        <v>714</v>
      </c>
      <c r="F226" s="35">
        <v>44473</v>
      </c>
    </row>
    <row r="231" spans="1:8" x14ac:dyDescent="0.25">
      <c r="A231" t="s">
        <v>716</v>
      </c>
    </row>
    <row r="232" spans="1:8" x14ac:dyDescent="0.25">
      <c r="A232" t="s">
        <v>3</v>
      </c>
      <c r="B232" t="s">
        <v>34</v>
      </c>
      <c r="C232" t="s">
        <v>306</v>
      </c>
      <c r="E232" t="s">
        <v>35</v>
      </c>
      <c r="F232" t="s">
        <v>412</v>
      </c>
      <c r="H232" t="s">
        <v>710</v>
      </c>
    </row>
    <row r="233" spans="1:8" x14ac:dyDescent="0.25">
      <c r="A233" t="s">
        <v>713</v>
      </c>
      <c r="C233">
        <v>6.29</v>
      </c>
      <c r="E233" t="s">
        <v>714</v>
      </c>
      <c r="F233" s="35">
        <v>44473</v>
      </c>
    </row>
    <row r="234" spans="1:8" x14ac:dyDescent="0.25">
      <c r="A234" t="s">
        <v>717</v>
      </c>
      <c r="B234">
        <v>4.24</v>
      </c>
      <c r="C234">
        <f>B234*1.2</f>
        <v>5.0880000000000001</v>
      </c>
      <c r="E234" t="s">
        <v>718</v>
      </c>
      <c r="F234" s="35">
        <v>44473</v>
      </c>
    </row>
  </sheetData>
  <phoneticPr fontId="10" type="noConversion"/>
  <hyperlinks>
    <hyperlink ref="F17" r:id="rId1" xr:uid="{F24886BB-DB1E-4EA8-B84D-3C58490AA2A0}"/>
    <hyperlink ref="F6" r:id="rId2" xr:uid="{179EAD6E-0331-43E5-97ED-07CF815E2A62}"/>
    <hyperlink ref="F10" r:id="rId3" xr:uid="{52660AC8-C978-4F00-B2DC-1B22B177E117}"/>
    <hyperlink ref="F9" r:id="rId4" xr:uid="{0C672278-2C1F-4273-982B-C3B7E544E1F1}"/>
    <hyperlink ref="F45" r:id="rId5" xr:uid="{28510E36-04E7-4FB5-A748-E373D4547784}"/>
    <hyperlink ref="F38" r:id="rId6" xr:uid="{A8E359ED-BD24-42E4-8A76-6721F7D01B43}"/>
    <hyperlink ref="F7" r:id="rId7" xr:uid="{EEFAEC19-00E2-4013-96CE-91FA6C3AEA9A}"/>
    <hyperlink ref="F8" r:id="rId8" xr:uid="{C7E917C9-D6D0-4115-B60B-49370E31B19A}"/>
    <hyperlink ref="F11" r:id="rId9" xr:uid="{47BC97AF-1E2F-49A9-8BF0-CFBF1A25B91A}"/>
    <hyperlink ref="F46" r:id="rId10" xr:uid="{D4ED0B43-E89A-4721-9D80-DA22C1B9359F}"/>
    <hyperlink ref="F48" r:id="rId11" xr:uid="{6295CA41-A85D-4829-940A-8053ED794F1A}"/>
    <hyperlink ref="F47" r:id="rId12" xr:uid="{6A5DE949-324F-410C-A3FB-5F8007916C92}"/>
    <hyperlink ref="F80" r:id="rId13" xr:uid="{FF8D00A0-1913-42BF-AE9A-963013E449A7}"/>
    <hyperlink ref="F87" r:id="rId14" xr:uid="{AC34D174-23E9-48A7-8FB8-32BE52B50E55}"/>
    <hyperlink ref="F82" r:id="rId15" xr:uid="{4B58EA30-D203-4AAE-891E-D955AEFE8498}"/>
    <hyperlink ref="F96" r:id="rId16" xr:uid="{2707184D-E312-4256-8D7C-80CE624DA032}"/>
    <hyperlink ref="F103" r:id="rId17" xr:uid="{42649970-A649-41B9-B351-695B51905AC2}"/>
    <hyperlink ref="E149" r:id="rId18" xr:uid="{6A855496-B0D5-4D08-9194-387257B6B625}"/>
    <hyperlink ref="E157" r:id="rId19" xr:uid="{4D466DF0-88B5-42A1-A27F-F4979715DAF2}"/>
    <hyperlink ref="E147" r:id="rId20" xr:uid="{FF0559F2-C959-4105-B653-8C5B98FE8AEE}"/>
    <hyperlink ref="E172" r:id="rId21" xr:uid="{F91AF577-186D-446D-B2BB-7A1D0A700C9E}"/>
    <hyperlink ref="E182" r:id="rId22" xr:uid="{761772FB-AD9C-4BE2-94A2-00E78529248F}"/>
    <hyperlink ref="F68" r:id="rId23" xr:uid="{132D4338-EE60-4122-9A61-0C67F7CF4A87}"/>
    <hyperlink ref="F25" r:id="rId24" xr:uid="{742BF705-0C06-47A9-90F8-E0334BF75DFE}"/>
    <hyperlink ref="F26" r:id="rId25" xr:uid="{FF5068C2-7A70-4395-9C13-545EBA7103C1}"/>
    <hyperlink ref="F126" r:id="rId26" xr:uid="{F59A9DC2-B3C9-48DD-BDCF-1F86F53D7896}"/>
    <hyperlink ref="F125" r:id="rId27" display="https://www.drainstore.com/septic-sewage-storage/septic-tanks-and-cesspools/septic-tanks-up-to-25000-litres/klargester-clearwater-kingspan-26000-litre-septic-tank/?attribute_inlet-invert-depth-options=1.0m+deep&amp;gclid=EAIaIQobChMIra-UsKuF8QIVQBoGAB1aAQU2EAYYCCABEgLnAfD_BwE" xr:uid="{2BADB3EE-D2F0-43D1-960A-9F2A2A74C85F}"/>
    <hyperlink ref="E226" r:id="rId28" xr:uid="{6D8A05B9-CB6C-4001-BCA6-E35AB72189E0}"/>
    <hyperlink ref="E188" r:id="rId29" xr:uid="{BB6DED05-9019-4ABF-955F-E2FDCE0414EB}"/>
    <hyperlink ref="E156" r:id="rId30" xr:uid="{56E2CBE6-9877-4DD1-9D11-692863306079}"/>
    <hyperlink ref="E167" r:id="rId31" xr:uid="{C02EDFC5-4FBC-431E-9378-B74D2398DAA7}"/>
    <hyperlink ref="E180" r:id="rId32" xr:uid="{285BA35E-D3AC-4BA3-9140-71F5BBCCA5DE}"/>
  </hyperlinks>
  <pageMargins left="0.7" right="0.7" top="0.75" bottom="0.75" header="0.3" footer="0.3"/>
  <pageSetup paperSize="9" orientation="portrait" r:id="rId33"/>
  <drawing r:id="rId3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CAF10-E6D9-4E07-93F1-ECEDD07EB138}">
  <sheetPr>
    <tabColor rgb="FFFF0000"/>
  </sheetPr>
  <dimension ref="C3:N45"/>
  <sheetViews>
    <sheetView workbookViewId="0">
      <selection activeCell="H32" sqref="H32"/>
    </sheetView>
  </sheetViews>
  <sheetFormatPr defaultRowHeight="15" x14ac:dyDescent="0.25"/>
  <sheetData>
    <row r="3" spans="3:14" x14ac:dyDescent="0.25">
      <c r="C3" t="s">
        <v>994</v>
      </c>
      <c r="G3" t="s">
        <v>995</v>
      </c>
      <c r="M3" t="s">
        <v>326</v>
      </c>
    </row>
    <row r="4" spans="3:14" x14ac:dyDescent="0.25">
      <c r="C4" t="s">
        <v>150</v>
      </c>
      <c r="D4" t="s">
        <v>116</v>
      </c>
      <c r="E4" t="s">
        <v>145</v>
      </c>
      <c r="G4" t="s">
        <v>996</v>
      </c>
      <c r="H4" t="s">
        <v>997</v>
      </c>
      <c r="I4" t="s">
        <v>998</v>
      </c>
      <c r="J4" t="s">
        <v>1002</v>
      </c>
      <c r="K4" t="s">
        <v>999</v>
      </c>
      <c r="M4" t="s">
        <v>1001</v>
      </c>
      <c r="N4" t="s">
        <v>1000</v>
      </c>
    </row>
    <row r="5" spans="3:14" x14ac:dyDescent="0.25">
      <c r="C5">
        <v>2164</v>
      </c>
      <c r="D5">
        <v>1420</v>
      </c>
      <c r="E5">
        <v>2207</v>
      </c>
      <c r="G5">
        <v>6</v>
      </c>
      <c r="H5">
        <v>2</v>
      </c>
      <c r="I5">
        <v>2</v>
      </c>
      <c r="J5">
        <f>G5+H5+I5</f>
        <v>10</v>
      </c>
      <c r="K5">
        <v>4</v>
      </c>
      <c r="M5">
        <v>2414</v>
      </c>
      <c r="N5">
        <v>2896.8</v>
      </c>
    </row>
    <row r="6" spans="3:14" x14ac:dyDescent="0.25">
      <c r="C6">
        <v>2420</v>
      </c>
      <c r="D6">
        <v>2420</v>
      </c>
      <c r="E6">
        <v>2207</v>
      </c>
      <c r="G6">
        <v>8</v>
      </c>
      <c r="H6">
        <v>4</v>
      </c>
      <c r="I6">
        <v>4</v>
      </c>
      <c r="J6">
        <f t="shared" ref="J6:J7" si="0">G6+H6+I6</f>
        <v>16</v>
      </c>
      <c r="K6">
        <v>8</v>
      </c>
      <c r="M6">
        <v>3878</v>
      </c>
      <c r="N6">
        <v>4653.6000000000004</v>
      </c>
    </row>
    <row r="7" spans="3:14" x14ac:dyDescent="0.25">
      <c r="C7">
        <v>2420</v>
      </c>
      <c r="D7">
        <v>3420</v>
      </c>
      <c r="E7">
        <v>2207</v>
      </c>
      <c r="G7">
        <v>10</v>
      </c>
      <c r="H7">
        <v>6</v>
      </c>
      <c r="I7">
        <v>6</v>
      </c>
      <c r="J7">
        <f t="shared" si="0"/>
        <v>22</v>
      </c>
      <c r="K7">
        <v>12</v>
      </c>
      <c r="M7">
        <v>5184</v>
      </c>
      <c r="N7">
        <v>6220.8</v>
      </c>
    </row>
    <row r="10" spans="3:14" x14ac:dyDescent="0.25">
      <c r="C10" t="s">
        <v>149</v>
      </c>
      <c r="D10" t="s">
        <v>145</v>
      </c>
      <c r="F10" t="s">
        <v>1548</v>
      </c>
      <c r="H10" t="s">
        <v>3</v>
      </c>
    </row>
    <row r="11" spans="3:14" x14ac:dyDescent="0.25">
      <c r="C11">
        <v>1</v>
      </c>
      <c r="D11">
        <v>1250</v>
      </c>
      <c r="F11">
        <v>1187</v>
      </c>
      <c r="H11" t="s">
        <v>1549</v>
      </c>
    </row>
    <row r="12" spans="3:14" x14ac:dyDescent="0.25">
      <c r="C12">
        <v>1.5</v>
      </c>
      <c r="D12">
        <f>D11</f>
        <v>1250</v>
      </c>
      <c r="F12">
        <v>1645</v>
      </c>
    </row>
    <row r="13" spans="3:14" x14ac:dyDescent="0.25">
      <c r="C13">
        <v>2</v>
      </c>
      <c r="D13">
        <f>D12</f>
        <v>1250</v>
      </c>
      <c r="F13">
        <v>1709</v>
      </c>
    </row>
    <row r="14" spans="3:14" x14ac:dyDescent="0.25">
      <c r="C14">
        <v>2.25</v>
      </c>
      <c r="D14">
        <f>D13</f>
        <v>1250</v>
      </c>
      <c r="F14">
        <v>1878</v>
      </c>
    </row>
    <row r="15" spans="3:14" x14ac:dyDescent="0.25">
      <c r="C15">
        <v>3</v>
      </c>
      <c r="D15">
        <v>1707</v>
      </c>
      <c r="F15">
        <v>2189</v>
      </c>
    </row>
    <row r="16" spans="3:14" x14ac:dyDescent="0.25">
      <c r="C16">
        <v>4</v>
      </c>
      <c r="D16">
        <f>D15</f>
        <v>1707</v>
      </c>
      <c r="F16">
        <v>2414</v>
      </c>
    </row>
    <row r="17" spans="3:6" x14ac:dyDescent="0.25">
      <c r="C17">
        <v>4</v>
      </c>
      <c r="D17">
        <v>1207</v>
      </c>
      <c r="F17">
        <v>2515</v>
      </c>
    </row>
    <row r="18" spans="3:6" x14ac:dyDescent="0.25">
      <c r="C18">
        <v>5</v>
      </c>
      <c r="D18">
        <f>D17</f>
        <v>1207</v>
      </c>
      <c r="F18">
        <v>3184</v>
      </c>
    </row>
    <row r="19" spans="3:6" x14ac:dyDescent="0.25">
      <c r="C19">
        <v>6</v>
      </c>
      <c r="D19">
        <f>D16</f>
        <v>1707</v>
      </c>
      <c r="F19">
        <v>3230</v>
      </c>
    </row>
    <row r="20" spans="3:6" x14ac:dyDescent="0.25">
      <c r="C20">
        <v>8</v>
      </c>
      <c r="D20">
        <f>D19</f>
        <v>1707</v>
      </c>
      <c r="F20">
        <v>3878</v>
      </c>
    </row>
    <row r="21" spans="3:6" x14ac:dyDescent="0.25">
      <c r="C21">
        <v>10</v>
      </c>
      <c r="D21">
        <f>D20</f>
        <v>1707</v>
      </c>
      <c r="F21">
        <v>4916</v>
      </c>
    </row>
    <row r="22" spans="3:6" x14ac:dyDescent="0.25">
      <c r="C22">
        <v>12</v>
      </c>
      <c r="D22">
        <f>D21</f>
        <v>1707</v>
      </c>
      <c r="F22">
        <v>5184</v>
      </c>
    </row>
    <row r="28" spans="3:6" x14ac:dyDescent="0.25">
      <c r="E28" t="s">
        <v>1248</v>
      </c>
      <c r="F28" t="s">
        <v>1249</v>
      </c>
    </row>
    <row r="29" spans="3:6" x14ac:dyDescent="0.25">
      <c r="E29">
        <v>1174.0999999999999</v>
      </c>
      <c r="F29">
        <v>0.58699999999999997</v>
      </c>
    </row>
    <row r="30" spans="3:6" x14ac:dyDescent="0.25">
      <c r="E30">
        <v>940</v>
      </c>
      <c r="F30">
        <v>0.63500000000000001</v>
      </c>
    </row>
    <row r="38" spans="3:5" x14ac:dyDescent="0.25">
      <c r="C38">
        <v>17.478999999999999</v>
      </c>
      <c r="D38">
        <f>$E$29*C38^$F$29</f>
        <v>6295.9652440737491</v>
      </c>
      <c r="E38">
        <f>$E$30*C38^$F$30</f>
        <v>5782.6363702047611</v>
      </c>
    </row>
    <row r="39" spans="3:5" x14ac:dyDescent="0.25">
      <c r="C39">
        <v>23.478000000000005</v>
      </c>
      <c r="D39">
        <f t="shared" ref="D39:D45" si="1">$E$29*C39^$F$29</f>
        <v>7486.5745357423766</v>
      </c>
      <c r="E39">
        <f t="shared" ref="E39:E45" si="2">$E$30*C39^$F$30</f>
        <v>6974.2522467368899</v>
      </c>
    </row>
    <row r="40" spans="3:5" x14ac:dyDescent="0.25">
      <c r="C40">
        <v>35.28</v>
      </c>
      <c r="D40">
        <f t="shared" si="1"/>
        <v>9508.3325465411435</v>
      </c>
      <c r="E40">
        <f t="shared" si="2"/>
        <v>9032.5110107620385</v>
      </c>
    </row>
    <row r="41" spans="3:5" x14ac:dyDescent="0.25">
      <c r="C41">
        <v>46.431000000000004</v>
      </c>
      <c r="D41">
        <f t="shared" si="1"/>
        <v>11171.755077985308</v>
      </c>
      <c r="E41">
        <f t="shared" si="2"/>
        <v>10753.527678987673</v>
      </c>
    </row>
    <row r="42" spans="3:5" x14ac:dyDescent="0.25">
      <c r="C42">
        <v>57.82</v>
      </c>
      <c r="D42">
        <f t="shared" si="1"/>
        <v>12707.055457394274</v>
      </c>
      <c r="E42">
        <f t="shared" si="2"/>
        <v>12360.824464041802</v>
      </c>
    </row>
    <row r="43" spans="3:5" x14ac:dyDescent="0.25">
      <c r="C43">
        <v>69.53100000000002</v>
      </c>
      <c r="D43">
        <f t="shared" si="1"/>
        <v>14160.019556528612</v>
      </c>
      <c r="E43">
        <f t="shared" si="2"/>
        <v>13896.684109781047</v>
      </c>
    </row>
    <row r="44" spans="3:5" x14ac:dyDescent="0.25">
      <c r="C44">
        <v>91.962499999999991</v>
      </c>
      <c r="D44">
        <f t="shared" si="1"/>
        <v>16685.706859937123</v>
      </c>
      <c r="E44">
        <f t="shared" si="2"/>
        <v>16596.6598028677</v>
      </c>
    </row>
    <row r="45" spans="3:5" x14ac:dyDescent="0.25">
      <c r="C45">
        <v>115.05200000000002</v>
      </c>
      <c r="D45">
        <f t="shared" si="1"/>
        <v>19030.489853554696</v>
      </c>
      <c r="E45">
        <f t="shared" si="2"/>
        <v>19133.554299220563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4ACBF-41DF-4943-9F49-034A21D24216}">
  <sheetPr>
    <tabColor rgb="FFFF0000"/>
  </sheetPr>
  <dimension ref="A2:AP270"/>
  <sheetViews>
    <sheetView topLeftCell="A229" zoomScale="130" zoomScaleNormal="130" workbookViewId="0">
      <selection activeCell="E237" sqref="E237"/>
    </sheetView>
  </sheetViews>
  <sheetFormatPr defaultRowHeight="15" x14ac:dyDescent="0.25"/>
  <cols>
    <col min="1" max="1" width="12.5703125" customWidth="1"/>
    <col min="8" max="8" width="63.42578125" bestFit="1" customWidth="1"/>
    <col min="9" max="9" width="11.7109375" customWidth="1"/>
    <col min="10" max="10" width="11" bestFit="1" customWidth="1"/>
    <col min="16" max="16" width="10.7109375" bestFit="1" customWidth="1"/>
  </cols>
  <sheetData>
    <row r="2" spans="1:42" x14ac:dyDescent="0.25">
      <c r="B2" t="s">
        <v>534</v>
      </c>
    </row>
    <row r="3" spans="1:42" x14ac:dyDescent="0.25">
      <c r="C3" t="s">
        <v>536</v>
      </c>
      <c r="G3" t="s">
        <v>537</v>
      </c>
      <c r="AM3" t="s">
        <v>569</v>
      </c>
    </row>
    <row r="4" spans="1:42" x14ac:dyDescent="0.25">
      <c r="A4" t="s">
        <v>542</v>
      </c>
      <c r="B4" t="s">
        <v>149</v>
      </c>
      <c r="C4" t="s">
        <v>150</v>
      </c>
      <c r="D4" t="s">
        <v>116</v>
      </c>
      <c r="E4" t="s">
        <v>145</v>
      </c>
      <c r="G4" t="s">
        <v>150</v>
      </c>
      <c r="H4" t="s">
        <v>116</v>
      </c>
      <c r="I4" t="s">
        <v>145</v>
      </c>
      <c r="K4" t="s">
        <v>326</v>
      </c>
      <c r="M4" t="s">
        <v>3</v>
      </c>
      <c r="O4" t="s">
        <v>35</v>
      </c>
      <c r="P4" t="s">
        <v>412</v>
      </c>
      <c r="V4" t="s">
        <v>149</v>
      </c>
      <c r="W4" t="s">
        <v>544</v>
      </c>
      <c r="X4" t="s">
        <v>545</v>
      </c>
      <c r="AC4" t="s">
        <v>567</v>
      </c>
      <c r="AM4" s="60" t="s">
        <v>570</v>
      </c>
    </row>
    <row r="5" spans="1:42" x14ac:dyDescent="0.25">
      <c r="A5" t="s">
        <v>543</v>
      </c>
      <c r="B5">
        <v>24</v>
      </c>
      <c r="C5">
        <v>6000</v>
      </c>
      <c r="D5">
        <v>2000</v>
      </c>
      <c r="E5">
        <v>2000</v>
      </c>
      <c r="G5">
        <v>6160</v>
      </c>
      <c r="H5">
        <v>2160</v>
      </c>
      <c r="I5">
        <v>2130</v>
      </c>
      <c r="K5">
        <v>8827.5</v>
      </c>
      <c r="M5" t="s">
        <v>538</v>
      </c>
      <c r="O5" t="s">
        <v>540</v>
      </c>
      <c r="P5" s="35">
        <v>44356</v>
      </c>
      <c r="V5">
        <v>24</v>
      </c>
      <c r="W5">
        <v>8827.5</v>
      </c>
      <c r="X5" s="57"/>
      <c r="Y5">
        <f>SUM(W5:X5)</f>
        <v>8827.5</v>
      </c>
      <c r="AC5" t="s">
        <v>568</v>
      </c>
      <c r="AM5" s="59"/>
    </row>
    <row r="6" spans="1:42" x14ac:dyDescent="0.25">
      <c r="A6" t="s">
        <v>543</v>
      </c>
      <c r="B6">
        <v>20</v>
      </c>
      <c r="C6">
        <v>5000</v>
      </c>
      <c r="D6">
        <v>2000</v>
      </c>
      <c r="E6">
        <v>2000</v>
      </c>
      <c r="G6">
        <v>5160</v>
      </c>
      <c r="H6">
        <v>2160</v>
      </c>
      <c r="I6">
        <v>2160</v>
      </c>
      <c r="K6">
        <v>7933.5</v>
      </c>
      <c r="M6" t="s">
        <v>538</v>
      </c>
      <c r="O6" t="s">
        <v>539</v>
      </c>
      <c r="P6" s="35">
        <v>44356</v>
      </c>
      <c r="V6">
        <v>20</v>
      </c>
      <c r="W6">
        <v>7933.5</v>
      </c>
      <c r="Y6">
        <f t="shared" ref="Y6:Y35" si="0">SUM(W6:X6)</f>
        <v>7933.5</v>
      </c>
      <c r="AM6" s="60" t="s">
        <v>571</v>
      </c>
    </row>
    <row r="7" spans="1:42" x14ac:dyDescent="0.25">
      <c r="A7" t="s">
        <v>543</v>
      </c>
      <c r="B7">
        <v>18</v>
      </c>
      <c r="C7">
        <v>6000</v>
      </c>
      <c r="D7">
        <v>2000</v>
      </c>
      <c r="E7">
        <v>1500</v>
      </c>
      <c r="G7">
        <v>6160</v>
      </c>
      <c r="H7">
        <v>2160</v>
      </c>
      <c r="I7">
        <v>1630</v>
      </c>
      <c r="K7">
        <v>6156</v>
      </c>
      <c r="M7" t="s">
        <v>538</v>
      </c>
      <c r="O7" t="s">
        <v>541</v>
      </c>
      <c r="P7" s="35">
        <v>44356</v>
      </c>
      <c r="V7">
        <v>18</v>
      </c>
      <c r="X7">
        <v>6156</v>
      </c>
      <c r="Y7">
        <f t="shared" si="0"/>
        <v>6156</v>
      </c>
      <c r="AM7" s="60" t="s">
        <v>572</v>
      </c>
    </row>
    <row r="8" spans="1:42" x14ac:dyDescent="0.25">
      <c r="A8" t="s">
        <v>543</v>
      </c>
      <c r="B8">
        <v>16</v>
      </c>
      <c r="C8">
        <v>4000</v>
      </c>
      <c r="D8">
        <v>2000</v>
      </c>
      <c r="E8">
        <v>2000</v>
      </c>
      <c r="G8">
        <v>4160</v>
      </c>
      <c r="H8">
        <v>2160</v>
      </c>
      <c r="I8">
        <v>2000</v>
      </c>
      <c r="K8">
        <v>6693</v>
      </c>
      <c r="M8" t="s">
        <v>538</v>
      </c>
      <c r="O8" t="s">
        <v>541</v>
      </c>
      <c r="P8" s="35">
        <v>44356</v>
      </c>
      <c r="V8">
        <v>16</v>
      </c>
      <c r="W8">
        <v>6693</v>
      </c>
      <c r="Y8">
        <f t="shared" si="0"/>
        <v>6693</v>
      </c>
      <c r="AD8" t="s">
        <v>587</v>
      </c>
      <c r="AE8" t="s">
        <v>588</v>
      </c>
      <c r="AF8" t="s">
        <v>589</v>
      </c>
      <c r="AM8" s="59"/>
    </row>
    <row r="9" spans="1:42" x14ac:dyDescent="0.25">
      <c r="A9" t="s">
        <v>543</v>
      </c>
      <c r="B9">
        <v>15</v>
      </c>
      <c r="C9">
        <v>5000</v>
      </c>
      <c r="D9">
        <v>2000</v>
      </c>
      <c r="E9">
        <v>1500</v>
      </c>
      <c r="G9">
        <v>5160</v>
      </c>
      <c r="H9">
        <v>2160</v>
      </c>
      <c r="I9">
        <v>1630</v>
      </c>
      <c r="K9">
        <v>5818.5</v>
      </c>
      <c r="M9" t="s">
        <v>538</v>
      </c>
      <c r="O9" t="s">
        <v>541</v>
      </c>
      <c r="P9" s="35">
        <v>44356</v>
      </c>
      <c r="V9">
        <v>15</v>
      </c>
      <c r="X9">
        <v>5818.5</v>
      </c>
      <c r="Y9">
        <f t="shared" si="0"/>
        <v>5818.5</v>
      </c>
      <c r="AC9" t="s">
        <v>106</v>
      </c>
      <c r="AD9">
        <v>0.70213000000000003</v>
      </c>
      <c r="AE9">
        <v>0.63192999999999999</v>
      </c>
      <c r="AF9">
        <v>0.77232999999999996</v>
      </c>
      <c r="AM9" s="60" t="s">
        <v>573</v>
      </c>
      <c r="AP9" s="58"/>
    </row>
    <row r="10" spans="1:42" x14ac:dyDescent="0.25">
      <c r="A10" t="s">
        <v>543</v>
      </c>
      <c r="B10">
        <v>12</v>
      </c>
      <c r="C10">
        <v>3000</v>
      </c>
      <c r="D10">
        <v>2000</v>
      </c>
      <c r="E10">
        <v>2000</v>
      </c>
      <c r="G10">
        <v>3160</v>
      </c>
      <c r="H10">
        <v>2160</v>
      </c>
      <c r="I10">
        <v>2130</v>
      </c>
      <c r="K10">
        <v>5623.5</v>
      </c>
      <c r="M10" t="s">
        <v>538</v>
      </c>
      <c r="O10" t="s">
        <v>541</v>
      </c>
      <c r="P10" s="35">
        <v>44356</v>
      </c>
      <c r="V10">
        <v>12</v>
      </c>
      <c r="W10">
        <v>5623.5</v>
      </c>
      <c r="Y10">
        <f t="shared" si="0"/>
        <v>5623.5</v>
      </c>
      <c r="AC10" t="s">
        <v>107</v>
      </c>
      <c r="AD10">
        <v>932.19</v>
      </c>
      <c r="AE10">
        <v>757.25</v>
      </c>
      <c r="AF10">
        <v>1107.0999999999999</v>
      </c>
      <c r="AM10" s="59"/>
    </row>
    <row r="11" spans="1:42" x14ac:dyDescent="0.25">
      <c r="A11" t="s">
        <v>543</v>
      </c>
      <c r="B11">
        <v>12</v>
      </c>
      <c r="C11">
        <v>4000</v>
      </c>
      <c r="D11">
        <v>2000</v>
      </c>
      <c r="E11">
        <v>1500</v>
      </c>
      <c r="G11">
        <v>4160</v>
      </c>
      <c r="H11">
        <v>2160</v>
      </c>
      <c r="I11">
        <v>1630</v>
      </c>
      <c r="K11">
        <v>5074.5</v>
      </c>
      <c r="M11" t="s">
        <v>538</v>
      </c>
      <c r="O11" t="s">
        <v>541</v>
      </c>
      <c r="P11" s="35">
        <v>44356</v>
      </c>
      <c r="V11">
        <v>12</v>
      </c>
      <c r="X11">
        <v>5074.5</v>
      </c>
      <c r="Y11">
        <f t="shared" si="0"/>
        <v>5074.5</v>
      </c>
      <c r="AM11" s="61" t="s">
        <v>574</v>
      </c>
    </row>
    <row r="12" spans="1:42" x14ac:dyDescent="0.25">
      <c r="A12" t="s">
        <v>543</v>
      </c>
      <c r="B12">
        <v>9</v>
      </c>
      <c r="C12">
        <v>3000</v>
      </c>
      <c r="D12">
        <v>2000</v>
      </c>
      <c r="E12">
        <v>1500</v>
      </c>
      <c r="G12">
        <v>3160</v>
      </c>
      <c r="H12">
        <v>2160</v>
      </c>
      <c r="I12">
        <v>1630</v>
      </c>
      <c r="K12">
        <v>4242</v>
      </c>
      <c r="M12" t="s">
        <v>538</v>
      </c>
      <c r="O12" t="s">
        <v>541</v>
      </c>
      <c r="P12" s="35">
        <v>44356</v>
      </c>
      <c r="V12">
        <v>9</v>
      </c>
      <c r="X12">
        <v>4242</v>
      </c>
      <c r="Y12">
        <f t="shared" si="0"/>
        <v>4242</v>
      </c>
      <c r="AC12" t="s">
        <v>592</v>
      </c>
      <c r="AM12" s="59"/>
    </row>
    <row r="13" spans="1:42" x14ac:dyDescent="0.25">
      <c r="A13" t="s">
        <v>543</v>
      </c>
      <c r="B13">
        <v>8</v>
      </c>
      <c r="C13">
        <v>2000</v>
      </c>
      <c r="D13">
        <v>2000</v>
      </c>
      <c r="E13">
        <v>2000</v>
      </c>
      <c r="G13">
        <v>2160</v>
      </c>
      <c r="H13">
        <v>2160</v>
      </c>
      <c r="I13">
        <v>2130</v>
      </c>
      <c r="K13">
        <v>4479</v>
      </c>
      <c r="M13" t="s">
        <v>538</v>
      </c>
      <c r="O13" t="s">
        <v>541</v>
      </c>
      <c r="P13" s="35">
        <v>44356</v>
      </c>
      <c r="V13">
        <v>8</v>
      </c>
      <c r="W13">
        <v>4479</v>
      </c>
      <c r="Y13">
        <f t="shared" si="0"/>
        <v>4479</v>
      </c>
      <c r="AM13" s="60" t="s">
        <v>575</v>
      </c>
    </row>
    <row r="14" spans="1:42" x14ac:dyDescent="0.25">
      <c r="A14" t="s">
        <v>543</v>
      </c>
      <c r="B14">
        <v>7</v>
      </c>
      <c r="C14">
        <v>3060</v>
      </c>
      <c r="D14">
        <v>1520</v>
      </c>
      <c r="E14">
        <v>1520</v>
      </c>
      <c r="G14">
        <v>3200</v>
      </c>
      <c r="H14">
        <v>1680</v>
      </c>
      <c r="I14">
        <v>1650</v>
      </c>
      <c r="K14">
        <v>3142</v>
      </c>
      <c r="M14" t="s">
        <v>538</v>
      </c>
      <c r="O14" t="s">
        <v>541</v>
      </c>
      <c r="P14" s="35">
        <v>44356</v>
      </c>
      <c r="V14">
        <v>7</v>
      </c>
      <c r="X14">
        <v>3142</v>
      </c>
      <c r="Y14">
        <f t="shared" si="0"/>
        <v>3142</v>
      </c>
      <c r="AM14" s="60" t="s">
        <v>576</v>
      </c>
    </row>
    <row r="15" spans="1:42" x14ac:dyDescent="0.25">
      <c r="A15" t="s">
        <v>543</v>
      </c>
      <c r="B15">
        <v>6</v>
      </c>
      <c r="C15">
        <v>2000</v>
      </c>
      <c r="D15">
        <v>2000</v>
      </c>
      <c r="E15">
        <v>1500</v>
      </c>
      <c r="G15">
        <v>2160</v>
      </c>
      <c r="H15">
        <v>2160</v>
      </c>
      <c r="I15">
        <v>1630</v>
      </c>
      <c r="K15">
        <v>3429</v>
      </c>
      <c r="M15" t="s">
        <v>538</v>
      </c>
      <c r="O15" t="s">
        <v>541</v>
      </c>
      <c r="P15" s="35">
        <v>44356</v>
      </c>
      <c r="V15">
        <v>6</v>
      </c>
      <c r="X15">
        <v>3429</v>
      </c>
      <c r="Y15">
        <f t="shared" si="0"/>
        <v>3429</v>
      </c>
      <c r="AM15" s="60" t="s">
        <v>577</v>
      </c>
    </row>
    <row r="16" spans="1:42" x14ac:dyDescent="0.25">
      <c r="V16">
        <v>12</v>
      </c>
      <c r="W16">
        <v>5868</v>
      </c>
      <c r="Y16">
        <f t="shared" si="0"/>
        <v>5868</v>
      </c>
      <c r="AM16" s="60" t="s">
        <v>578</v>
      </c>
    </row>
    <row r="17" spans="1:39" x14ac:dyDescent="0.25">
      <c r="A17" t="s">
        <v>543</v>
      </c>
      <c r="B17">
        <v>5.625</v>
      </c>
      <c r="C17">
        <v>2500</v>
      </c>
      <c r="D17">
        <v>1500</v>
      </c>
      <c r="E17">
        <v>1500</v>
      </c>
      <c r="G17">
        <v>2695</v>
      </c>
      <c r="H17">
        <v>1695</v>
      </c>
      <c r="I17">
        <v>1595</v>
      </c>
      <c r="K17">
        <v>2533</v>
      </c>
      <c r="M17" t="s">
        <v>29</v>
      </c>
      <c r="O17" t="s">
        <v>546</v>
      </c>
      <c r="P17" s="35">
        <v>44356</v>
      </c>
      <c r="V17">
        <v>5.625</v>
      </c>
      <c r="X17">
        <v>2533</v>
      </c>
      <c r="Y17">
        <f t="shared" si="0"/>
        <v>2533</v>
      </c>
      <c r="AC17" s="6" t="s">
        <v>590</v>
      </c>
      <c r="AD17" s="6"/>
      <c r="AE17" s="6"/>
      <c r="AF17" s="6"/>
      <c r="AM17" s="61" t="s">
        <v>579</v>
      </c>
    </row>
    <row r="18" spans="1:39" x14ac:dyDescent="0.25">
      <c r="A18" t="s">
        <v>543</v>
      </c>
      <c r="B18">
        <v>7.5</v>
      </c>
      <c r="C18">
        <v>2500</v>
      </c>
      <c r="D18">
        <v>2000</v>
      </c>
      <c r="E18">
        <v>1500</v>
      </c>
      <c r="G18">
        <v>2695</v>
      </c>
      <c r="H18">
        <v>2195</v>
      </c>
      <c r="I18">
        <v>1595</v>
      </c>
      <c r="K18">
        <v>3625.2</v>
      </c>
      <c r="M18" t="s">
        <v>29</v>
      </c>
      <c r="O18" t="s">
        <v>546</v>
      </c>
      <c r="P18" s="35">
        <v>44356</v>
      </c>
      <c r="V18">
        <v>7.5</v>
      </c>
      <c r="X18">
        <v>3625.2</v>
      </c>
      <c r="Y18">
        <f t="shared" si="0"/>
        <v>3625.2</v>
      </c>
      <c r="AC18" s="6"/>
      <c r="AD18" s="6"/>
      <c r="AE18" s="6"/>
      <c r="AF18" s="6"/>
      <c r="AM18" s="59"/>
    </row>
    <row r="19" spans="1:39" x14ac:dyDescent="0.25">
      <c r="A19" t="s">
        <v>543</v>
      </c>
      <c r="B19">
        <v>9</v>
      </c>
      <c r="C19">
        <v>3000</v>
      </c>
      <c r="D19">
        <v>2000</v>
      </c>
      <c r="E19">
        <v>1500</v>
      </c>
      <c r="G19">
        <v>3195</v>
      </c>
      <c r="H19">
        <v>2195</v>
      </c>
      <c r="I19">
        <v>1595</v>
      </c>
      <c r="K19">
        <v>3883</v>
      </c>
      <c r="M19" t="s">
        <v>29</v>
      </c>
      <c r="O19" t="s">
        <v>546</v>
      </c>
      <c r="P19" s="35">
        <v>44356</v>
      </c>
      <c r="V19">
        <v>9</v>
      </c>
      <c r="X19">
        <v>3883</v>
      </c>
      <c r="Y19">
        <f t="shared" si="0"/>
        <v>3883</v>
      </c>
      <c r="AC19" s="6"/>
      <c r="AD19" s="6"/>
      <c r="AE19" s="6" t="s">
        <v>563</v>
      </c>
      <c r="AF19" s="6"/>
      <c r="AM19" s="60" t="s">
        <v>580</v>
      </c>
    </row>
    <row r="20" spans="1:39" x14ac:dyDescent="0.25">
      <c r="A20" t="s">
        <v>543</v>
      </c>
      <c r="B20">
        <v>12</v>
      </c>
      <c r="C20">
        <v>3000</v>
      </c>
      <c r="D20">
        <v>2000</v>
      </c>
      <c r="E20">
        <v>2000</v>
      </c>
      <c r="G20">
        <v>3195</v>
      </c>
      <c r="H20">
        <v>2195</v>
      </c>
      <c r="I20">
        <v>2195</v>
      </c>
      <c r="K20">
        <v>5868</v>
      </c>
      <c r="M20" t="s">
        <v>29</v>
      </c>
      <c r="O20" t="s">
        <v>546</v>
      </c>
      <c r="P20" s="35">
        <v>44356</v>
      </c>
      <c r="V20">
        <v>9</v>
      </c>
      <c r="X20">
        <v>5258.45</v>
      </c>
      <c r="Y20">
        <f t="shared" si="0"/>
        <v>5258.45</v>
      </c>
      <c r="AC20" s="6" t="s">
        <v>562</v>
      </c>
      <c r="AD20" s="6"/>
      <c r="AE20" s="6">
        <v>0.05</v>
      </c>
      <c r="AF20" s="6">
        <v>0.95</v>
      </c>
      <c r="AM20" s="60" t="s">
        <v>581</v>
      </c>
    </row>
    <row r="21" spans="1:39" x14ac:dyDescent="0.25">
      <c r="V21">
        <v>7.5</v>
      </c>
      <c r="X21">
        <v>4113</v>
      </c>
      <c r="Y21">
        <f t="shared" si="0"/>
        <v>4113</v>
      </c>
      <c r="AC21" s="6" t="s">
        <v>107</v>
      </c>
      <c r="AD21" s="6">
        <v>953.1218983709673</v>
      </c>
      <c r="AE21" s="6">
        <v>938.19446739325315</v>
      </c>
      <c r="AF21" s="6">
        <v>968.04691422977396</v>
      </c>
      <c r="AM21" s="60" t="s">
        <v>582</v>
      </c>
    </row>
    <row r="22" spans="1:39" x14ac:dyDescent="0.25">
      <c r="A22" t="s">
        <v>543</v>
      </c>
      <c r="B22">
        <v>24</v>
      </c>
      <c r="C22">
        <v>6000</v>
      </c>
      <c r="D22">
        <v>2000</v>
      </c>
      <c r="E22">
        <v>2000</v>
      </c>
      <c r="G22">
        <v>6160</v>
      </c>
      <c r="H22">
        <v>2160</v>
      </c>
      <c r="I22">
        <v>2130</v>
      </c>
      <c r="K22">
        <v>8827.25</v>
      </c>
      <c r="M22" t="s">
        <v>547</v>
      </c>
      <c r="O22" t="s">
        <v>548</v>
      </c>
      <c r="P22" s="35">
        <v>44356</v>
      </c>
      <c r="V22">
        <v>6</v>
      </c>
      <c r="X22">
        <v>3635</v>
      </c>
      <c r="Y22">
        <f t="shared" si="0"/>
        <v>3635</v>
      </c>
      <c r="AC22" s="6" t="s">
        <v>106</v>
      </c>
      <c r="AD22" s="6">
        <v>0.6920890738434845</v>
      </c>
      <c r="AE22" s="6">
        <v>0.68617471881849712</v>
      </c>
      <c r="AF22" s="6">
        <v>0.6979076915799074</v>
      </c>
      <c r="AM22" s="60" t="s">
        <v>583</v>
      </c>
    </row>
    <row r="23" spans="1:39" x14ac:dyDescent="0.25">
      <c r="A23" t="s">
        <v>543</v>
      </c>
      <c r="B23">
        <v>20</v>
      </c>
      <c r="C23">
        <v>5000</v>
      </c>
      <c r="D23">
        <v>2000</v>
      </c>
      <c r="E23">
        <v>2000</v>
      </c>
      <c r="G23">
        <v>5160</v>
      </c>
      <c r="H23">
        <v>2160</v>
      </c>
      <c r="I23">
        <v>2160</v>
      </c>
      <c r="K23">
        <v>7933.5</v>
      </c>
      <c r="M23" t="s">
        <v>547</v>
      </c>
      <c r="O23" t="s">
        <v>548</v>
      </c>
      <c r="P23" s="35">
        <v>44356</v>
      </c>
      <c r="V23">
        <v>9</v>
      </c>
      <c r="X23">
        <v>4542.3599999999997</v>
      </c>
      <c r="Y23">
        <f t="shared" si="0"/>
        <v>4542.3599999999997</v>
      </c>
      <c r="AC23" s="6"/>
      <c r="AD23" s="6"/>
      <c r="AE23" s="6"/>
      <c r="AF23" s="6"/>
      <c r="AM23" s="59"/>
    </row>
    <row r="24" spans="1:39" x14ac:dyDescent="0.25">
      <c r="A24" t="s">
        <v>543</v>
      </c>
      <c r="B24">
        <v>18</v>
      </c>
      <c r="C24">
        <v>6000</v>
      </c>
      <c r="D24">
        <v>2000</v>
      </c>
      <c r="E24">
        <v>1500</v>
      </c>
      <c r="G24">
        <v>6160</v>
      </c>
      <c r="H24">
        <v>2160</v>
      </c>
      <c r="I24">
        <v>1630</v>
      </c>
      <c r="K24">
        <v>6156</v>
      </c>
      <c r="M24" t="s">
        <v>547</v>
      </c>
      <c r="O24" t="s">
        <v>548</v>
      </c>
      <c r="P24" s="35">
        <v>44356</v>
      </c>
      <c r="V24">
        <v>7.5</v>
      </c>
      <c r="X24">
        <v>3534.36</v>
      </c>
      <c r="Y24">
        <f t="shared" si="0"/>
        <v>3534.36</v>
      </c>
      <c r="AC24" s="6" t="s">
        <v>591</v>
      </c>
      <c r="AD24" s="6"/>
      <c r="AE24" s="6"/>
      <c r="AF24" s="6"/>
      <c r="AM24" s="61" t="s">
        <v>584</v>
      </c>
    </row>
    <row r="25" spans="1:39" x14ac:dyDescent="0.25">
      <c r="A25" t="s">
        <v>543</v>
      </c>
      <c r="B25">
        <v>16</v>
      </c>
      <c r="C25">
        <v>4000</v>
      </c>
      <c r="D25">
        <v>2000</v>
      </c>
      <c r="E25">
        <v>2000</v>
      </c>
      <c r="G25">
        <v>4160</v>
      </c>
      <c r="H25">
        <v>2160</v>
      </c>
      <c r="I25">
        <v>2000</v>
      </c>
      <c r="K25">
        <v>6693</v>
      </c>
      <c r="M25" t="s">
        <v>547</v>
      </c>
      <c r="O25" t="s">
        <v>548</v>
      </c>
      <c r="P25" s="35">
        <v>44356</v>
      </c>
      <c r="V25">
        <v>6</v>
      </c>
      <c r="X25">
        <v>3156</v>
      </c>
      <c r="Y25">
        <f t="shared" si="0"/>
        <v>3156</v>
      </c>
      <c r="AM25" s="60" t="s">
        <v>585</v>
      </c>
    </row>
    <row r="26" spans="1:39" x14ac:dyDescent="0.25">
      <c r="A26" t="s">
        <v>543</v>
      </c>
      <c r="B26">
        <v>15</v>
      </c>
      <c r="C26">
        <v>5000</v>
      </c>
      <c r="D26">
        <v>2000</v>
      </c>
      <c r="E26">
        <v>1500</v>
      </c>
      <c r="G26">
        <v>5160</v>
      </c>
      <c r="H26">
        <v>2160</v>
      </c>
      <c r="I26">
        <v>1630</v>
      </c>
      <c r="K26">
        <v>5818.5</v>
      </c>
      <c r="M26" t="s">
        <v>547</v>
      </c>
      <c r="O26" t="s">
        <v>548</v>
      </c>
      <c r="P26" s="35">
        <v>44356</v>
      </c>
      <c r="V26">
        <v>24</v>
      </c>
      <c r="W26">
        <v>8827.25</v>
      </c>
      <c r="Y26">
        <f t="shared" si="0"/>
        <v>8827.25</v>
      </c>
      <c r="AM26" s="60" t="s">
        <v>586</v>
      </c>
    </row>
    <row r="27" spans="1:39" x14ac:dyDescent="0.25">
      <c r="A27" t="s">
        <v>543</v>
      </c>
      <c r="B27">
        <v>12</v>
      </c>
      <c r="C27">
        <v>3000</v>
      </c>
      <c r="D27">
        <v>2000</v>
      </c>
      <c r="E27">
        <v>2000</v>
      </c>
      <c r="G27">
        <v>3160</v>
      </c>
      <c r="H27">
        <v>2160</v>
      </c>
      <c r="I27">
        <v>2130</v>
      </c>
      <c r="K27">
        <v>5623.5</v>
      </c>
      <c r="M27" t="s">
        <v>547</v>
      </c>
      <c r="O27" t="s">
        <v>548</v>
      </c>
      <c r="P27" s="35">
        <v>44356</v>
      </c>
      <c r="V27">
        <v>20</v>
      </c>
      <c r="W27">
        <v>7933.5</v>
      </c>
      <c r="Y27">
        <f t="shared" si="0"/>
        <v>7933.5</v>
      </c>
    </row>
    <row r="28" spans="1:39" x14ac:dyDescent="0.25">
      <c r="A28" t="s">
        <v>543</v>
      </c>
      <c r="B28">
        <v>12</v>
      </c>
      <c r="C28">
        <v>4000</v>
      </c>
      <c r="D28">
        <v>2000</v>
      </c>
      <c r="E28">
        <v>1500</v>
      </c>
      <c r="G28">
        <v>4160</v>
      </c>
      <c r="H28">
        <v>2160</v>
      </c>
      <c r="I28">
        <v>1630</v>
      </c>
      <c r="K28">
        <v>5074.5</v>
      </c>
      <c r="M28" t="s">
        <v>547</v>
      </c>
      <c r="O28" t="s">
        <v>548</v>
      </c>
      <c r="P28" s="35">
        <v>44356</v>
      </c>
      <c r="V28">
        <v>16</v>
      </c>
      <c r="W28">
        <v>6693</v>
      </c>
      <c r="Y28">
        <f t="shared" si="0"/>
        <v>6693</v>
      </c>
    </row>
    <row r="29" spans="1:39" x14ac:dyDescent="0.25">
      <c r="A29" t="s">
        <v>543</v>
      </c>
      <c r="B29">
        <v>9</v>
      </c>
      <c r="C29">
        <v>3000</v>
      </c>
      <c r="D29">
        <v>2000</v>
      </c>
      <c r="E29">
        <v>1500</v>
      </c>
      <c r="G29">
        <v>3160</v>
      </c>
      <c r="H29">
        <v>2160</v>
      </c>
      <c r="I29">
        <v>1630</v>
      </c>
      <c r="K29">
        <v>4242</v>
      </c>
      <c r="M29" t="s">
        <v>547</v>
      </c>
      <c r="O29" t="s">
        <v>548</v>
      </c>
      <c r="P29" s="35">
        <v>44356</v>
      </c>
      <c r="V29">
        <v>12</v>
      </c>
      <c r="W29">
        <v>5623.5</v>
      </c>
      <c r="Y29">
        <f t="shared" si="0"/>
        <v>5623.5</v>
      </c>
    </row>
    <row r="30" spans="1:39" x14ac:dyDescent="0.25">
      <c r="A30" t="s">
        <v>543</v>
      </c>
      <c r="B30">
        <v>8</v>
      </c>
      <c r="C30">
        <v>2000</v>
      </c>
      <c r="D30">
        <v>2000</v>
      </c>
      <c r="E30">
        <v>2000</v>
      </c>
      <c r="G30">
        <v>2160</v>
      </c>
      <c r="H30">
        <v>2160</v>
      </c>
      <c r="I30">
        <v>2130</v>
      </c>
      <c r="K30">
        <v>4479</v>
      </c>
      <c r="M30" t="s">
        <v>547</v>
      </c>
      <c r="O30" t="s">
        <v>548</v>
      </c>
      <c r="P30" s="35">
        <v>44356</v>
      </c>
      <c r="V30">
        <v>8</v>
      </c>
      <c r="W30">
        <v>4479</v>
      </c>
      <c r="Y30">
        <f t="shared" si="0"/>
        <v>4479</v>
      </c>
    </row>
    <row r="31" spans="1:39" x14ac:dyDescent="0.25">
      <c r="A31" t="s">
        <v>543</v>
      </c>
      <c r="B31">
        <v>7</v>
      </c>
      <c r="C31">
        <v>3060</v>
      </c>
      <c r="D31">
        <v>1520</v>
      </c>
      <c r="E31">
        <v>1520</v>
      </c>
      <c r="G31">
        <v>3200</v>
      </c>
      <c r="H31">
        <v>1680</v>
      </c>
      <c r="I31">
        <v>1650</v>
      </c>
      <c r="K31">
        <v>3142</v>
      </c>
      <c r="M31" t="s">
        <v>547</v>
      </c>
      <c r="O31" t="s">
        <v>548</v>
      </c>
      <c r="P31" s="35">
        <v>44356</v>
      </c>
      <c r="V31">
        <v>18</v>
      </c>
      <c r="X31">
        <v>6156</v>
      </c>
      <c r="Y31">
        <f t="shared" si="0"/>
        <v>6156</v>
      </c>
    </row>
    <row r="32" spans="1:39" x14ac:dyDescent="0.25">
      <c r="A32" t="s">
        <v>543</v>
      </c>
      <c r="B32">
        <v>6</v>
      </c>
      <c r="C32">
        <v>2000</v>
      </c>
      <c r="D32">
        <v>2000</v>
      </c>
      <c r="E32">
        <v>1500</v>
      </c>
      <c r="G32">
        <v>2160</v>
      </c>
      <c r="H32">
        <v>2160</v>
      </c>
      <c r="I32">
        <v>1630</v>
      </c>
      <c r="K32">
        <v>3429</v>
      </c>
      <c r="M32" t="s">
        <v>547</v>
      </c>
      <c r="O32" t="s">
        <v>548</v>
      </c>
      <c r="P32" s="35">
        <v>44356</v>
      </c>
      <c r="V32">
        <v>15</v>
      </c>
      <c r="X32">
        <v>5818.5</v>
      </c>
      <c r="Y32">
        <f t="shared" si="0"/>
        <v>5818.5</v>
      </c>
    </row>
    <row r="33" spans="1:33" x14ac:dyDescent="0.25">
      <c r="V33">
        <v>12</v>
      </c>
      <c r="X33">
        <v>5074.5</v>
      </c>
      <c r="Y33">
        <f t="shared" si="0"/>
        <v>5074.5</v>
      </c>
    </row>
    <row r="34" spans="1:33" x14ac:dyDescent="0.25">
      <c r="A34" t="s">
        <v>543</v>
      </c>
      <c r="B34">
        <v>12</v>
      </c>
      <c r="C34">
        <v>3000</v>
      </c>
      <c r="D34">
        <v>2000</v>
      </c>
      <c r="E34">
        <v>2000</v>
      </c>
      <c r="G34">
        <v>3200</v>
      </c>
      <c r="H34">
        <v>2200</v>
      </c>
      <c r="I34">
        <v>2040</v>
      </c>
      <c r="M34" t="s">
        <v>549</v>
      </c>
      <c r="O34" t="s">
        <v>550</v>
      </c>
      <c r="V34">
        <v>9</v>
      </c>
      <c r="X34">
        <v>4242</v>
      </c>
      <c r="Y34">
        <f t="shared" si="0"/>
        <v>4242</v>
      </c>
    </row>
    <row r="35" spans="1:33" x14ac:dyDescent="0.25">
      <c r="A35" t="s">
        <v>543</v>
      </c>
      <c r="B35">
        <v>9</v>
      </c>
      <c r="C35">
        <v>3000</v>
      </c>
      <c r="D35">
        <v>2000</v>
      </c>
      <c r="E35">
        <v>1500</v>
      </c>
      <c r="G35">
        <v>3200</v>
      </c>
      <c r="H35">
        <v>2200</v>
      </c>
      <c r="I35">
        <v>1540</v>
      </c>
      <c r="M35" t="s">
        <v>549</v>
      </c>
      <c r="O35" t="s">
        <v>550</v>
      </c>
      <c r="V35">
        <v>6</v>
      </c>
      <c r="X35">
        <v>3429</v>
      </c>
      <c r="Y35">
        <f t="shared" si="0"/>
        <v>3429</v>
      </c>
    </row>
    <row r="36" spans="1:33" x14ac:dyDescent="0.25">
      <c r="A36" t="s">
        <v>543</v>
      </c>
      <c r="B36">
        <v>8</v>
      </c>
      <c r="C36">
        <v>2000</v>
      </c>
      <c r="D36">
        <v>2000</v>
      </c>
      <c r="E36">
        <v>2000</v>
      </c>
      <c r="G36">
        <v>2200</v>
      </c>
      <c r="H36">
        <v>2200</v>
      </c>
      <c r="I36">
        <v>2040</v>
      </c>
      <c r="M36" t="s">
        <v>549</v>
      </c>
      <c r="O36" t="s">
        <v>550</v>
      </c>
    </row>
    <row r="38" spans="1:33" x14ac:dyDescent="0.25">
      <c r="A38" t="s">
        <v>543</v>
      </c>
      <c r="B38">
        <v>12</v>
      </c>
      <c r="C38">
        <v>3000</v>
      </c>
      <c r="D38">
        <v>2000</v>
      </c>
      <c r="E38">
        <v>2000</v>
      </c>
      <c r="G38">
        <v>3195</v>
      </c>
      <c r="H38">
        <v>2260</v>
      </c>
      <c r="I38">
        <v>2100</v>
      </c>
      <c r="K38">
        <v>6544</v>
      </c>
      <c r="M38" t="s">
        <v>551</v>
      </c>
      <c r="O38" t="s">
        <v>552</v>
      </c>
      <c r="P38" s="35">
        <v>44356</v>
      </c>
      <c r="V38" t="s">
        <v>560</v>
      </c>
    </row>
    <row r="39" spans="1:33" x14ac:dyDescent="0.25">
      <c r="A39" t="s">
        <v>543</v>
      </c>
      <c r="B39">
        <v>9</v>
      </c>
      <c r="C39">
        <v>3000</v>
      </c>
      <c r="D39">
        <v>2000</v>
      </c>
      <c r="E39">
        <v>1500</v>
      </c>
      <c r="G39">
        <v>3195</v>
      </c>
      <c r="H39">
        <v>2260</v>
      </c>
      <c r="I39">
        <v>1600</v>
      </c>
      <c r="K39">
        <v>5258.45</v>
      </c>
      <c r="M39" t="s">
        <v>551</v>
      </c>
      <c r="O39" t="s">
        <v>553</v>
      </c>
      <c r="P39" s="35">
        <v>44356</v>
      </c>
      <c r="X39" t="s">
        <v>563</v>
      </c>
    </row>
    <row r="40" spans="1:33" x14ac:dyDescent="0.25">
      <c r="A40" t="s">
        <v>543</v>
      </c>
      <c r="B40">
        <v>7.5</v>
      </c>
      <c r="C40">
        <v>2500</v>
      </c>
      <c r="D40">
        <v>2000</v>
      </c>
      <c r="E40">
        <v>1500</v>
      </c>
      <c r="G40">
        <v>2690</v>
      </c>
      <c r="H40">
        <v>2190</v>
      </c>
      <c r="I40">
        <v>1600</v>
      </c>
      <c r="K40">
        <v>4113</v>
      </c>
      <c r="M40" t="s">
        <v>551</v>
      </c>
      <c r="O40" t="s">
        <v>554</v>
      </c>
      <c r="P40" s="35">
        <v>44356</v>
      </c>
      <c r="V40" t="s">
        <v>562</v>
      </c>
      <c r="X40" s="58">
        <v>0.05</v>
      </c>
      <c r="Y40" s="58">
        <v>0.95</v>
      </c>
    </row>
    <row r="41" spans="1:33" x14ac:dyDescent="0.25">
      <c r="A41" t="s">
        <v>543</v>
      </c>
      <c r="B41">
        <v>6</v>
      </c>
      <c r="C41">
        <v>2000</v>
      </c>
      <c r="D41">
        <v>2000</v>
      </c>
      <c r="E41">
        <v>1500</v>
      </c>
      <c r="G41">
        <v>2190</v>
      </c>
      <c r="H41">
        <v>2190</v>
      </c>
      <c r="I41">
        <v>1600</v>
      </c>
      <c r="K41">
        <v>3635</v>
      </c>
      <c r="M41" t="s">
        <v>551</v>
      </c>
      <c r="O41" t="s">
        <v>555</v>
      </c>
      <c r="P41" s="35">
        <v>44356</v>
      </c>
      <c r="V41" t="s">
        <v>107</v>
      </c>
      <c r="W41">
        <v>932.19</v>
      </c>
      <c r="X41">
        <v>757.25</v>
      </c>
      <c r="Y41">
        <v>1107.0999999999999</v>
      </c>
    </row>
    <row r="42" spans="1:33" x14ac:dyDescent="0.25">
      <c r="V42" t="s">
        <v>106</v>
      </c>
      <c r="W42">
        <v>0.70213000000000003</v>
      </c>
      <c r="X42">
        <v>0.63192999999999999</v>
      </c>
      <c r="Y42">
        <v>0.77232999999999996</v>
      </c>
    </row>
    <row r="43" spans="1:33" x14ac:dyDescent="0.25">
      <c r="A43" t="s">
        <v>543</v>
      </c>
      <c r="B43">
        <v>9</v>
      </c>
      <c r="C43">
        <v>3000</v>
      </c>
      <c r="D43">
        <v>2000</v>
      </c>
      <c r="E43">
        <v>1500</v>
      </c>
      <c r="G43">
        <v>3192</v>
      </c>
      <c r="H43">
        <v>2192</v>
      </c>
      <c r="I43">
        <v>1593</v>
      </c>
      <c r="K43">
        <v>4542.3599999999997</v>
      </c>
      <c r="M43" t="s">
        <v>557</v>
      </c>
      <c r="O43" t="s">
        <v>556</v>
      </c>
      <c r="P43" s="35">
        <v>44356</v>
      </c>
    </row>
    <row r="44" spans="1:33" x14ac:dyDescent="0.25">
      <c r="A44" t="s">
        <v>543</v>
      </c>
      <c r="B44">
        <v>7.5</v>
      </c>
      <c r="C44">
        <v>2500</v>
      </c>
      <c r="D44">
        <v>2000</v>
      </c>
      <c r="E44">
        <v>1500</v>
      </c>
      <c r="G44">
        <v>2692</v>
      </c>
      <c r="H44">
        <v>2192</v>
      </c>
      <c r="I44">
        <v>1593</v>
      </c>
      <c r="K44">
        <v>3534.36</v>
      </c>
      <c r="M44" t="s">
        <v>557</v>
      </c>
      <c r="O44" t="s">
        <v>558</v>
      </c>
      <c r="P44" s="35">
        <v>44356</v>
      </c>
    </row>
    <row r="45" spans="1:33" x14ac:dyDescent="0.25">
      <c r="A45" t="s">
        <v>543</v>
      </c>
      <c r="B45">
        <v>6</v>
      </c>
      <c r="C45">
        <v>2000</v>
      </c>
      <c r="D45">
        <v>2000</v>
      </c>
      <c r="E45">
        <v>1500</v>
      </c>
      <c r="G45">
        <v>2192</v>
      </c>
      <c r="H45">
        <v>2192</v>
      </c>
      <c r="I45">
        <v>1593</v>
      </c>
      <c r="K45">
        <v>3156</v>
      </c>
      <c r="M45" t="s">
        <v>557</v>
      </c>
      <c r="O45" t="s">
        <v>559</v>
      </c>
      <c r="P45" s="35">
        <v>44356</v>
      </c>
      <c r="V45">
        <v>6</v>
      </c>
      <c r="W45">
        <f>$W$41*V45^$W$42</f>
        <v>3279.9541830504932</v>
      </c>
      <c r="Y45">
        <f>$X$41*V45^$X$42</f>
        <v>2349.5051518806099</v>
      </c>
      <c r="Z45">
        <f>$Y$41*V45^$Y$42</f>
        <v>4417.4984518453111</v>
      </c>
      <c r="AF45" t="s">
        <v>149</v>
      </c>
    </row>
    <row r="46" spans="1:33" x14ac:dyDescent="0.25">
      <c r="V46">
        <v>7</v>
      </c>
      <c r="W46">
        <f t="shared" ref="W46:W99" si="1">$W$41*V46^$W$42</f>
        <v>3654.8800351526888</v>
      </c>
      <c r="Y46">
        <f t="shared" ref="Y46:Y99" si="2">$X$41*V46^$X$42</f>
        <v>2589.8945780248619</v>
      </c>
      <c r="Z46">
        <f t="shared" ref="Z46:Z99" si="3">$Y$41*V46^$Y$42</f>
        <v>4976.0120114131832</v>
      </c>
      <c r="AF46">
        <v>24</v>
      </c>
      <c r="AG46">
        <v>8827.5</v>
      </c>
    </row>
    <row r="47" spans="1:33" x14ac:dyDescent="0.25">
      <c r="V47">
        <v>8</v>
      </c>
      <c r="W47">
        <f t="shared" si="1"/>
        <v>4014.1261093081739</v>
      </c>
      <c r="Y47">
        <f t="shared" si="2"/>
        <v>2817.9218040717105</v>
      </c>
      <c r="Z47">
        <f t="shared" si="3"/>
        <v>5516.5853329196352</v>
      </c>
      <c r="AF47">
        <v>20</v>
      </c>
      <c r="AG47">
        <v>7933.5</v>
      </c>
    </row>
    <row r="48" spans="1:33" x14ac:dyDescent="0.25">
      <c r="V48">
        <v>9</v>
      </c>
      <c r="W48">
        <f t="shared" si="1"/>
        <v>4360.2032361582169</v>
      </c>
      <c r="Y48">
        <f t="shared" si="2"/>
        <v>3035.6643539865318</v>
      </c>
      <c r="Z48">
        <f t="shared" si="3"/>
        <v>6041.9477896896797</v>
      </c>
      <c r="AF48">
        <v>18</v>
      </c>
      <c r="AG48">
        <v>6156</v>
      </c>
    </row>
    <row r="49" spans="3:33" x14ac:dyDescent="0.25">
      <c r="V49">
        <v>10</v>
      </c>
      <c r="W49">
        <f t="shared" si="1"/>
        <v>4694.9874938085932</v>
      </c>
      <c r="Y49">
        <f t="shared" si="2"/>
        <v>3244.6606510530542</v>
      </c>
      <c r="Z49">
        <f t="shared" si="3"/>
        <v>6554.1571568339277</v>
      </c>
      <c r="AF49">
        <v>16</v>
      </c>
      <c r="AG49">
        <v>6693</v>
      </c>
    </row>
    <row r="50" spans="3:33" x14ac:dyDescent="0.25">
      <c r="V50">
        <v>11</v>
      </c>
      <c r="W50">
        <f t="shared" si="1"/>
        <v>5019.9279724197659</v>
      </c>
      <c r="Y50">
        <f t="shared" si="2"/>
        <v>3446.08957152222</v>
      </c>
      <c r="Z50">
        <f t="shared" si="3"/>
        <v>7054.8155467474535</v>
      </c>
      <c r="AF50">
        <v>15</v>
      </c>
      <c r="AG50">
        <v>5818.5</v>
      </c>
    </row>
    <row r="51" spans="3:33" x14ac:dyDescent="0.25">
      <c r="V51">
        <v>12</v>
      </c>
      <c r="W51">
        <f t="shared" si="1"/>
        <v>5336.1738229753973</v>
      </c>
      <c r="Y51">
        <f t="shared" si="2"/>
        <v>3640.879342654277</v>
      </c>
      <c r="Z51">
        <f t="shared" si="3"/>
        <v>7545.2025444276142</v>
      </c>
      <c r="AF51">
        <v>12</v>
      </c>
      <c r="AG51">
        <v>5623.5</v>
      </c>
    </row>
    <row r="52" spans="3:33" x14ac:dyDescent="0.25">
      <c r="V52">
        <v>13</v>
      </c>
      <c r="W52">
        <f t="shared" si="1"/>
        <v>5644.656073837129</v>
      </c>
      <c r="Y52">
        <f t="shared" si="2"/>
        <v>3829.777158673483</v>
      </c>
      <c r="Z52">
        <f t="shared" si="3"/>
        <v>8026.3615737203354</v>
      </c>
      <c r="AF52">
        <v>12</v>
      </c>
      <c r="AG52">
        <v>5074.5</v>
      </c>
    </row>
    <row r="53" spans="3:33" x14ac:dyDescent="0.25">
      <c r="V53">
        <v>14</v>
      </c>
      <c r="W53">
        <f t="shared" si="1"/>
        <v>5946.1425621374101</v>
      </c>
      <c r="Y53">
        <f t="shared" si="2"/>
        <v>4013.3956127891029</v>
      </c>
      <c r="Z53">
        <f t="shared" si="3"/>
        <v>8499.1582677145088</v>
      </c>
      <c r="AF53">
        <v>9</v>
      </c>
      <c r="AG53">
        <v>4242</v>
      </c>
    </row>
    <row r="54" spans="3:33" x14ac:dyDescent="0.25">
      <c r="V54">
        <v>15</v>
      </c>
      <c r="W54">
        <f t="shared" si="1"/>
        <v>6241.2761037983792</v>
      </c>
      <c r="Y54">
        <f t="shared" si="2"/>
        <v>4192.2447674994482</v>
      </c>
      <c r="Z54">
        <f t="shared" si="3"/>
        <v>8964.3212733825767</v>
      </c>
      <c r="AF54">
        <v>8</v>
      </c>
      <c r="AG54">
        <v>4479</v>
      </c>
    </row>
    <row r="55" spans="3:33" x14ac:dyDescent="0.25">
      <c r="V55">
        <v>16</v>
      </c>
      <c r="W55">
        <f t="shared" si="1"/>
        <v>6530.6017923368663</v>
      </c>
      <c r="Y55">
        <f t="shared" si="2"/>
        <v>4366.7549643156135</v>
      </c>
      <c r="Z55">
        <f t="shared" si="3"/>
        <v>9422.4715965910254</v>
      </c>
      <c r="AF55">
        <v>7</v>
      </c>
      <c r="AG55">
        <v>3142</v>
      </c>
    </row>
    <row r="56" spans="3:33" x14ac:dyDescent="0.25">
      <c r="V56">
        <v>17</v>
      </c>
      <c r="W56">
        <f t="shared" si="1"/>
        <v>6814.5870078460684</v>
      </c>
      <c r="Y56">
        <f t="shared" si="2"/>
        <v>4537.2934569916924</v>
      </c>
      <c r="Z56">
        <f t="shared" si="3"/>
        <v>9874.1442213049959</v>
      </c>
      <c r="AF56">
        <v>6</v>
      </c>
      <c r="AG56">
        <v>3429</v>
      </c>
    </row>
    <row r="57" spans="3:33" x14ac:dyDescent="0.25">
      <c r="V57">
        <v>18</v>
      </c>
      <c r="W57">
        <f t="shared" si="1"/>
        <v>7093.6363964697166</v>
      </c>
      <c r="Y57">
        <f t="shared" si="2"/>
        <v>4704.1768045559629</v>
      </c>
      <c r="Z57">
        <f t="shared" si="3"/>
        <v>10319.804371866187</v>
      </c>
      <c r="AF57">
        <v>12</v>
      </c>
      <c r="AG57">
        <v>5868</v>
      </c>
    </row>
    <row r="58" spans="3:33" x14ac:dyDescent="0.25">
      <c r="V58">
        <v>19</v>
      </c>
      <c r="W58">
        <f t="shared" si="1"/>
        <v>7368.1032932786347</v>
      </c>
      <c r="Y58">
        <f t="shared" si="2"/>
        <v>4867.680279795225</v>
      </c>
      <c r="Z58">
        <f t="shared" si="3"/>
        <v>10759.859969510049</v>
      </c>
      <c r="AF58">
        <v>5.625</v>
      </c>
      <c r="AG58">
        <v>2533</v>
      </c>
    </row>
    <row r="59" spans="3:33" x14ac:dyDescent="0.25">
      <c r="G59" t="s">
        <v>61</v>
      </c>
      <c r="V59">
        <v>20</v>
      </c>
      <c r="W59">
        <f t="shared" si="1"/>
        <v>7638.2985753653729</v>
      </c>
      <c r="Y59">
        <f t="shared" si="2"/>
        <v>5028.0451306465293</v>
      </c>
      <c r="Z59">
        <f t="shared" si="3"/>
        <v>11194.671327086517</v>
      </c>
      <c r="AF59">
        <v>7.5</v>
      </c>
      <c r="AG59">
        <v>3625.2</v>
      </c>
    </row>
    <row r="60" spans="3:33" x14ac:dyDescent="0.25">
      <c r="G60" t="s">
        <v>564</v>
      </c>
      <c r="V60">
        <v>21</v>
      </c>
      <c r="W60">
        <f t="shared" si="1"/>
        <v>7904.4976225786877</v>
      </c>
      <c r="Y60">
        <f t="shared" si="2"/>
        <v>5185.4842669478467</v>
      </c>
      <c r="Z60">
        <f t="shared" si="3"/>
        <v>11624.558801687755</v>
      </c>
      <c r="AF60">
        <v>9</v>
      </c>
      <c r="AG60">
        <v>3883</v>
      </c>
    </row>
    <row r="61" spans="3:33" x14ac:dyDescent="0.25">
      <c r="G61" t="s">
        <v>156</v>
      </c>
      <c r="H61" t="s">
        <v>398</v>
      </c>
      <c r="I61" t="s">
        <v>535</v>
      </c>
      <c r="K61" t="s">
        <v>565</v>
      </c>
      <c r="M61" t="s">
        <v>561</v>
      </c>
      <c r="V61">
        <v>22</v>
      </c>
      <c r="W61">
        <f t="shared" si="1"/>
        <v>8166.9458610348929</v>
      </c>
      <c r="Y61">
        <f t="shared" si="2"/>
        <v>5340.1867724566464</v>
      </c>
      <c r="Z61">
        <f t="shared" si="3"/>
        <v>12049.808911998764</v>
      </c>
      <c r="AF61">
        <v>9</v>
      </c>
      <c r="AG61">
        <v>5258.45</v>
      </c>
    </row>
    <row r="62" spans="3:33" x14ac:dyDescent="0.25">
      <c r="C62">
        <v>6</v>
      </c>
      <c r="G62">
        <v>5</v>
      </c>
      <c r="H62">
        <v>3</v>
      </c>
      <c r="I62">
        <f>H62*2</f>
        <v>6</v>
      </c>
      <c r="K62">
        <f>$W$41*I62^$W$42</f>
        <v>3279.9541830504932</v>
      </c>
      <c r="M62">
        <f>$X$41*I62^$X$42</f>
        <v>2349.5051518806099</v>
      </c>
      <c r="N62">
        <f>$Y$41*I62^$Y$42</f>
        <v>4417.4984518453111</v>
      </c>
      <c r="P62">
        <f>K62-M62</f>
        <v>930.44903116988326</v>
      </c>
      <c r="Q62">
        <f>N62-K62</f>
        <v>1137.544268794818</v>
      </c>
      <c r="V62">
        <v>23</v>
      </c>
      <c r="W62">
        <f t="shared" si="1"/>
        <v>8425.8632291046342</v>
      </c>
      <c r="Y62">
        <f t="shared" si="2"/>
        <v>5492.3215269720931</v>
      </c>
      <c r="Z62">
        <f t="shared" si="3"/>
        <v>12470.679284090151</v>
      </c>
      <c r="AF62">
        <v>7.5</v>
      </c>
      <c r="AG62">
        <v>4113</v>
      </c>
    </row>
    <row r="63" spans="3:33" x14ac:dyDescent="0.25">
      <c r="C63">
        <v>12</v>
      </c>
      <c r="G63">
        <v>10</v>
      </c>
      <c r="H63">
        <v>6</v>
      </c>
      <c r="I63">
        <f t="shared" ref="I63:I66" si="4">H63*2</f>
        <v>12</v>
      </c>
      <c r="K63">
        <f t="shared" ref="K63:K68" si="5">$W$41*I63^$W$42</f>
        <v>5336.1738229753973</v>
      </c>
      <c r="M63">
        <f>$X$41*I63^$X$42</f>
        <v>3640.879342654277</v>
      </c>
      <c r="N63">
        <f>$Y$41*I63^$Y$42</f>
        <v>7545.2025444276142</v>
      </c>
      <c r="P63">
        <f t="shared" ref="P63:P68" si="6">K63-M63</f>
        <v>1695.2944803211203</v>
      </c>
      <c r="Q63">
        <f t="shared" ref="Q63:Q68" si="7">N63-K63</f>
        <v>2209.0287214522168</v>
      </c>
      <c r="V63">
        <v>24</v>
      </c>
      <c r="W63">
        <f t="shared" si="1"/>
        <v>8681.4478129463241</v>
      </c>
      <c r="Y63">
        <f t="shared" si="2"/>
        <v>5642.0401449880464</v>
      </c>
      <c r="Z63">
        <f t="shared" si="3"/>
        <v>12887.402691144278</v>
      </c>
      <c r="AF63">
        <v>6</v>
      </c>
      <c r="AG63">
        <v>3635</v>
      </c>
    </row>
    <row r="64" spans="3:33" x14ac:dyDescent="0.25">
      <c r="C64">
        <v>24</v>
      </c>
      <c r="G64">
        <v>20</v>
      </c>
      <c r="H64">
        <v>12</v>
      </c>
      <c r="I64">
        <f t="shared" si="4"/>
        <v>24</v>
      </c>
      <c r="K64">
        <f t="shared" si="5"/>
        <v>8681.4478129463241</v>
      </c>
      <c r="M64">
        <f t="shared" ref="M64:M66" si="8">$X$41*I64^$X$42</f>
        <v>5642.0401449880464</v>
      </c>
      <c r="N64">
        <f t="shared" ref="N64:N68" si="9">$Y$41*I64^$Y$42</f>
        <v>12887.402691144278</v>
      </c>
      <c r="P64">
        <f t="shared" si="6"/>
        <v>3039.4076679582777</v>
      </c>
      <c r="Q64">
        <f t="shared" si="7"/>
        <v>4205.9548781979538</v>
      </c>
      <c r="V64">
        <v>25</v>
      </c>
      <c r="W64">
        <f t="shared" si="1"/>
        <v>8933.8788340900137</v>
      </c>
      <c r="Y64">
        <f t="shared" si="2"/>
        <v>5789.4793828397278</v>
      </c>
      <c r="Z64">
        <f t="shared" si="3"/>
        <v>13300.19038389386</v>
      </c>
      <c r="AF64">
        <v>9</v>
      </c>
      <c r="AG64">
        <v>4542.3599999999997</v>
      </c>
    </row>
    <row r="65" spans="3:34" x14ac:dyDescent="0.25">
      <c r="C65">
        <v>36</v>
      </c>
      <c r="G65">
        <v>30</v>
      </c>
      <c r="H65">
        <v>18</v>
      </c>
      <c r="I65">
        <f t="shared" si="4"/>
        <v>36</v>
      </c>
      <c r="K65">
        <f t="shared" si="5"/>
        <v>11540.67244114443</v>
      </c>
      <c r="M65">
        <f>$X$41*I65^$X$42</f>
        <v>7289.7648844021505</v>
      </c>
      <c r="N65">
        <f t="shared" si="9"/>
        <v>17626.494961661752</v>
      </c>
      <c r="P65">
        <f t="shared" si="6"/>
        <v>4250.9075567422797</v>
      </c>
      <c r="Q65">
        <f t="shared" si="7"/>
        <v>6085.8225205173221</v>
      </c>
      <c r="V65">
        <v>26</v>
      </c>
      <c r="W65">
        <f t="shared" si="1"/>
        <v>9183.319125785807</v>
      </c>
      <c r="Y65">
        <f t="shared" si="2"/>
        <v>5934.7631278111894</v>
      </c>
      <c r="Z65">
        <f t="shared" si="3"/>
        <v>13709.234859659749</v>
      </c>
      <c r="AF65">
        <v>7.5</v>
      </c>
      <c r="AG65">
        <v>3534.36</v>
      </c>
    </row>
    <row r="66" spans="3:34" x14ac:dyDescent="0.25">
      <c r="C66">
        <v>60</v>
      </c>
      <c r="G66">
        <v>50</v>
      </c>
      <c r="H66">
        <v>30</v>
      </c>
      <c r="I66">
        <f t="shared" si="4"/>
        <v>60</v>
      </c>
      <c r="K66">
        <f t="shared" si="5"/>
        <v>16519.533431690157</v>
      </c>
      <c r="M66">
        <f t="shared" si="8"/>
        <v>10067.146801919367</v>
      </c>
      <c r="N66">
        <f t="shared" si="9"/>
        <v>26152.090229848007</v>
      </c>
      <c r="P66">
        <f t="shared" si="6"/>
        <v>6452.38662977079</v>
      </c>
      <c r="Q66">
        <f t="shared" si="7"/>
        <v>9632.5567981578497</v>
      </c>
      <c r="V66">
        <v>27</v>
      </c>
      <c r="W66">
        <f t="shared" si="1"/>
        <v>9429.917201846727</v>
      </c>
      <c r="Y66">
        <f t="shared" si="2"/>
        <v>6078.0040550285448</v>
      </c>
      <c r="Z66">
        <f t="shared" si="3"/>
        <v>14114.712182543213</v>
      </c>
      <c r="AF66">
        <v>6</v>
      </c>
      <c r="AG66">
        <v>3156</v>
      </c>
    </row>
    <row r="67" spans="3:34" x14ac:dyDescent="0.25">
      <c r="C67">
        <v>90</v>
      </c>
      <c r="G67">
        <v>75</v>
      </c>
      <c r="H67">
        <v>45</v>
      </c>
      <c r="I67">
        <f>H67*2</f>
        <v>90</v>
      </c>
      <c r="K67">
        <f t="shared" si="5"/>
        <v>21960.222341182136</v>
      </c>
      <c r="M67">
        <f>$X$41*I67^$X$42</f>
        <v>13007.19799165993</v>
      </c>
      <c r="N67">
        <f t="shared" si="9"/>
        <v>35769.013952679546</v>
      </c>
      <c r="P67">
        <f t="shared" si="6"/>
        <v>8953.0243495222057</v>
      </c>
      <c r="Q67">
        <f t="shared" si="7"/>
        <v>13808.79161149741</v>
      </c>
      <c r="V67">
        <v>28</v>
      </c>
      <c r="W67">
        <f t="shared" si="1"/>
        <v>9673.8089976145984</v>
      </c>
      <c r="Y67">
        <f t="shared" si="2"/>
        <v>6219.3050178277135</v>
      </c>
      <c r="Z67">
        <f t="shared" si="3"/>
        <v>14516.783941432854</v>
      </c>
      <c r="AF67">
        <v>24</v>
      </c>
      <c r="AG67">
        <v>8827.25</v>
      </c>
    </row>
    <row r="68" spans="3:34" x14ac:dyDescent="0.25">
      <c r="C68">
        <v>120</v>
      </c>
      <c r="G68">
        <v>100</v>
      </c>
      <c r="H68">
        <v>60</v>
      </c>
      <c r="I68">
        <f>H68*2</f>
        <v>120</v>
      </c>
      <c r="K68">
        <f t="shared" si="5"/>
        <v>26875.711350323727</v>
      </c>
      <c r="M68">
        <f>$X$41*I68^$X$42</f>
        <v>15600.419859151187</v>
      </c>
      <c r="N68">
        <f t="shared" si="9"/>
        <v>44668.452042563258</v>
      </c>
      <c r="P68">
        <f t="shared" si="6"/>
        <v>11275.29149117254</v>
      </c>
      <c r="Q68">
        <f t="shared" si="7"/>
        <v>17792.740692239531</v>
      </c>
      <c r="V68">
        <v>29</v>
      </c>
      <c r="W68">
        <f t="shared" si="1"/>
        <v>9915.1193448354661</v>
      </c>
      <c r="Y68">
        <f t="shared" si="2"/>
        <v>6358.7602224219881</v>
      </c>
      <c r="Z68">
        <f t="shared" si="3"/>
        <v>14915.598913260121</v>
      </c>
      <c r="AF68">
        <v>20</v>
      </c>
      <c r="AG68">
        <v>7933.5</v>
      </c>
    </row>
    <row r="69" spans="3:34" x14ac:dyDescent="0.25">
      <c r="V69">
        <v>30</v>
      </c>
      <c r="W69">
        <f t="shared" si="1"/>
        <v>10153.963228863211</v>
      </c>
      <c r="Y69">
        <f t="shared" si="2"/>
        <v>6496.4562265896402</v>
      </c>
      <c r="Z69">
        <f t="shared" si="3"/>
        <v>15311.294484492395</v>
      </c>
      <c r="AF69">
        <v>16</v>
      </c>
      <c r="AG69">
        <v>6693</v>
      </c>
    </row>
    <row r="70" spans="3:34" x14ac:dyDescent="0.25">
      <c r="V70">
        <v>31</v>
      </c>
      <c r="W70">
        <f t="shared" si="1"/>
        <v>10390.446866482815</v>
      </c>
      <c r="Y70">
        <f t="shared" si="2"/>
        <v>6632.4727937115877</v>
      </c>
      <c r="Z70">
        <f t="shared" si="3"/>
        <v>15703.997872879791</v>
      </c>
      <c r="AF70">
        <v>12</v>
      </c>
      <c r="AG70">
        <v>5623.5</v>
      </c>
    </row>
    <row r="71" spans="3:34" x14ac:dyDescent="0.25">
      <c r="V71">
        <v>32</v>
      </c>
      <c r="W71">
        <f t="shared" si="1"/>
        <v>10624.668634893465</v>
      </c>
      <c r="Y71">
        <f t="shared" si="2"/>
        <v>6766.883627083711</v>
      </c>
      <c r="Z71">
        <f t="shared" si="3"/>
        <v>16093.827183051404</v>
      </c>
      <c r="AF71">
        <v>8</v>
      </c>
      <c r="AG71">
        <v>4479</v>
      </c>
    </row>
    <row r="72" spans="3:34" x14ac:dyDescent="0.25">
      <c r="V72">
        <v>33</v>
      </c>
      <c r="W72">
        <f t="shared" si="1"/>
        <v>10856.719876402338</v>
      </c>
      <c r="Y72">
        <f t="shared" si="2"/>
        <v>6899.7570044914646</v>
      </c>
      <c r="Z72">
        <f t="shared" si="3"/>
        <v>16480.892323034441</v>
      </c>
      <c r="AF72">
        <v>18</v>
      </c>
      <c r="AG72">
        <v>6156</v>
      </c>
    </row>
    <row r="73" spans="3:34" x14ac:dyDescent="0.25">
      <c r="V73">
        <v>34</v>
      </c>
      <c r="W73">
        <f>$W$41*V73^$W$42</f>
        <v>11086.685598710576</v>
      </c>
      <c r="Y73">
        <f t="shared" si="2"/>
        <v>7031.156329194936</v>
      </c>
      <c r="Z73">
        <f t="shared" si="3"/>
        <v>16865.295803672314</v>
      </c>
      <c r="AF73">
        <v>15</v>
      </c>
      <c r="AG73">
        <v>5818.5</v>
      </c>
    </row>
    <row r="74" spans="3:34" x14ac:dyDescent="0.25">
      <c r="G74" t="s">
        <v>156</v>
      </c>
      <c r="H74" t="s">
        <v>398</v>
      </c>
      <c r="I74" t="s">
        <v>535</v>
      </c>
      <c r="M74" t="s">
        <v>561</v>
      </c>
      <c r="V74">
        <v>35</v>
      </c>
      <c r="W74">
        <f t="shared" si="1"/>
        <v>11314.645087002842</v>
      </c>
      <c r="Y74">
        <f t="shared" si="2"/>
        <v>7161.1406104613334</v>
      </c>
      <c r="Z74">
        <f t="shared" si="3"/>
        <v>17247.133438901888</v>
      </c>
      <c r="AF74">
        <v>12</v>
      </c>
      <c r="AG74">
        <v>5074.5</v>
      </c>
    </row>
    <row r="75" spans="3:34" x14ac:dyDescent="0.25">
      <c r="G75">
        <v>5</v>
      </c>
      <c r="H75">
        <v>3</v>
      </c>
      <c r="I75">
        <f>H75*2</f>
        <v>6</v>
      </c>
      <c r="J75">
        <f t="shared" ref="J75:J81" si="10">$W$41*I75^$W$42</f>
        <v>3279.9541830504932</v>
      </c>
      <c r="K75">
        <f t="shared" ref="K75:K78" si="11">J75</f>
        <v>3279.9541830504932</v>
      </c>
      <c r="M75">
        <f>$X$41*I75^$X$42</f>
        <v>2349.5051518806099</v>
      </c>
      <c r="N75">
        <f>$Y$41*I75^$Y$42</f>
        <v>4417.4984518453111</v>
      </c>
      <c r="P75">
        <f>J75-M75</f>
        <v>930.44903116988326</v>
      </c>
      <c r="Q75">
        <f>N75-J75</f>
        <v>1137.544268794818</v>
      </c>
      <c r="V75">
        <v>36</v>
      </c>
      <c r="W75">
        <f t="shared" si="1"/>
        <v>11540.67244114443</v>
      </c>
      <c r="Y75">
        <f t="shared" si="2"/>
        <v>7289.7648844021505</v>
      </c>
      <c r="Z75">
        <f t="shared" si="3"/>
        <v>17626.494961661752</v>
      </c>
      <c r="AF75">
        <v>9</v>
      </c>
      <c r="AG75">
        <v>4242</v>
      </c>
    </row>
    <row r="76" spans="3:34" x14ac:dyDescent="0.25">
      <c r="G76">
        <v>10</v>
      </c>
      <c r="H76">
        <v>6</v>
      </c>
      <c r="I76">
        <f t="shared" ref="I76:I79" si="12">H76*2</f>
        <v>12</v>
      </c>
      <c r="J76">
        <f t="shared" si="10"/>
        <v>5336.1738229753973</v>
      </c>
      <c r="K76">
        <f t="shared" si="11"/>
        <v>5336.1738229753973</v>
      </c>
      <c r="M76">
        <f>$X$41*I76^$X$42</f>
        <v>3640.879342654277</v>
      </c>
      <c r="N76">
        <f>$Y$41*I76^$Y$42</f>
        <v>7545.2025444276142</v>
      </c>
      <c r="P76">
        <f>J76-M76</f>
        <v>1695.2944803211203</v>
      </c>
      <c r="Q76">
        <f>N76-J76</f>
        <v>2209.0287214522168</v>
      </c>
      <c r="V76">
        <v>37</v>
      </c>
      <c r="W76">
        <f t="shared" si="1"/>
        <v>11764.837048970001</v>
      </c>
      <c r="Y76">
        <f t="shared" si="2"/>
        <v>7417.0805839773902</v>
      </c>
      <c r="Z76">
        <f t="shared" si="3"/>
        <v>18003.464567653642</v>
      </c>
      <c r="AF76">
        <v>6</v>
      </c>
      <c r="AG76">
        <v>3429</v>
      </c>
    </row>
    <row r="77" spans="3:34" x14ac:dyDescent="0.25">
      <c r="G77">
        <v>20</v>
      </c>
      <c r="H77">
        <v>12</v>
      </c>
      <c r="I77">
        <f t="shared" si="12"/>
        <v>24</v>
      </c>
      <c r="J77">
        <f t="shared" si="10"/>
        <v>8681.4478129463241</v>
      </c>
      <c r="K77">
        <f t="shared" si="11"/>
        <v>8681.4478129463241</v>
      </c>
      <c r="M77">
        <f t="shared" ref="M77" si="13">$X$41*I77^$X$42</f>
        <v>5642.0401449880464</v>
      </c>
      <c r="N77">
        <f t="shared" ref="N77:N80" si="14">$Y$41*I77^$Y$42</f>
        <v>12887.402691144278</v>
      </c>
      <c r="P77">
        <f>J77-M77</f>
        <v>3039.4076679582777</v>
      </c>
      <c r="Q77">
        <f>N77-J77</f>
        <v>4205.9548781979538</v>
      </c>
      <c r="V77">
        <v>38</v>
      </c>
      <c r="W77">
        <f t="shared" si="1"/>
        <v>11987.204004784411</v>
      </c>
      <c r="Y77">
        <f t="shared" si="2"/>
        <v>7543.1358655103732</v>
      </c>
      <c r="Z77">
        <f t="shared" si="3"/>
        <v>18378.121397126626</v>
      </c>
      <c r="AF77">
        <v>6</v>
      </c>
      <c r="AH77">
        <f>$W$41*AF77^$W$42</f>
        <v>3279.9541830504932</v>
      </c>
    </row>
    <row r="78" spans="3:34" x14ac:dyDescent="0.25">
      <c r="G78">
        <v>30</v>
      </c>
      <c r="H78">
        <v>18</v>
      </c>
      <c r="I78">
        <f t="shared" si="12"/>
        <v>36</v>
      </c>
      <c r="J78">
        <f t="shared" si="10"/>
        <v>11540.67244114443</v>
      </c>
      <c r="K78">
        <f t="shared" si="11"/>
        <v>11540.67244114443</v>
      </c>
      <c r="M78">
        <f>$X$41*I78^$X$42</f>
        <v>7289.7648844021505</v>
      </c>
      <c r="N78">
        <f t="shared" si="14"/>
        <v>17626.494961661752</v>
      </c>
      <c r="P78">
        <f>J78-M78</f>
        <v>4250.9075567422797</v>
      </c>
      <c r="Q78">
        <f>N78-J78</f>
        <v>6085.8225205173221</v>
      </c>
      <c r="V78">
        <v>39</v>
      </c>
      <c r="W78">
        <f t="shared" si="1"/>
        <v>12207.834480689298</v>
      </c>
      <c r="Y78">
        <f t="shared" si="2"/>
        <v>7667.9758978308973</v>
      </c>
      <c r="Z78">
        <f t="shared" si="3"/>
        <v>18750.539963190549</v>
      </c>
      <c r="AF78">
        <v>12</v>
      </c>
      <c r="AH78">
        <f t="shared" ref="AH78:AH81" si="15">$W$41*AF78^$W$42</f>
        <v>5336.1738229753973</v>
      </c>
    </row>
    <row r="79" spans="3:34" x14ac:dyDescent="0.25">
      <c r="G79">
        <v>50</v>
      </c>
      <c r="H79">
        <v>30</v>
      </c>
      <c r="I79">
        <f t="shared" si="12"/>
        <v>60</v>
      </c>
      <c r="J79">
        <f t="shared" si="10"/>
        <v>16519.533431690157</v>
      </c>
      <c r="K79">
        <f>J79</f>
        <v>16519.533431690157</v>
      </c>
      <c r="M79">
        <f t="shared" ref="M79" si="16">$X$41*I79^$X$42</f>
        <v>10067.146801919367</v>
      </c>
      <c r="N79">
        <f t="shared" si="14"/>
        <v>26152.090229848007</v>
      </c>
      <c r="P79">
        <f>J79-M79</f>
        <v>6452.38662977079</v>
      </c>
      <c r="Q79">
        <f>N79-J79</f>
        <v>9632.5567981578497</v>
      </c>
      <c r="V79">
        <v>40</v>
      </c>
      <c r="W79">
        <f t="shared" si="1"/>
        <v>12426.786057123252</v>
      </c>
      <c r="Y79">
        <f t="shared" si="2"/>
        <v>7791.6431191697238</v>
      </c>
      <c r="Z79">
        <f t="shared" si="3"/>
        <v>19120.790533809974</v>
      </c>
      <c r="AF79">
        <v>24</v>
      </c>
      <c r="AH79">
        <f t="shared" si="15"/>
        <v>8681.4478129463241</v>
      </c>
    </row>
    <row r="80" spans="3:34" x14ac:dyDescent="0.25">
      <c r="G80">
        <v>75</v>
      </c>
      <c r="H80">
        <v>45</v>
      </c>
      <c r="I80">
        <v>30</v>
      </c>
      <c r="J80">
        <f t="shared" si="10"/>
        <v>10153.963228863211</v>
      </c>
      <c r="K80">
        <f>J80*2</f>
        <v>20307.926457726422</v>
      </c>
      <c r="M80">
        <f>$X$41*I80^$X$42</f>
        <v>6496.4562265896402</v>
      </c>
      <c r="N80">
        <f t="shared" si="14"/>
        <v>15311.294484492395</v>
      </c>
      <c r="P80">
        <f>(J80-M80)*2</f>
        <v>7315.0140045471417</v>
      </c>
      <c r="Q80">
        <f>(N80-J80)*2</f>
        <v>10314.662511258368</v>
      </c>
      <c r="V80">
        <v>41</v>
      </c>
      <c r="W80">
        <f t="shared" si="1"/>
        <v>12644.1130180008</v>
      </c>
      <c r="Y80">
        <f t="shared" si="2"/>
        <v>7914.1774661147901</v>
      </c>
      <c r="Z80">
        <f t="shared" si="3"/>
        <v>19488.939473518585</v>
      </c>
      <c r="AF80">
        <v>36</v>
      </c>
      <c r="AH80">
        <f t="shared" si="15"/>
        <v>11540.67244114443</v>
      </c>
    </row>
    <row r="81" spans="7:34" x14ac:dyDescent="0.25">
      <c r="G81">
        <v>100</v>
      </c>
      <c r="H81">
        <v>60</v>
      </c>
      <c r="I81">
        <v>60</v>
      </c>
      <c r="J81">
        <f t="shared" si="10"/>
        <v>16519.533431690157</v>
      </c>
      <c r="K81">
        <f>J81*2</f>
        <v>33039.066863380314</v>
      </c>
      <c r="M81">
        <f>$X$41*I81^$X$42</f>
        <v>10067.146801919367</v>
      </c>
      <c r="N81">
        <f>$Y$41*I81^$Y$42</f>
        <v>26152.090229848007</v>
      </c>
      <c r="P81">
        <f>(J81-M81)*2</f>
        <v>12904.77325954158</v>
      </c>
      <c r="Q81">
        <f>(N81-J81)*2</f>
        <v>19265.113596315699</v>
      </c>
      <c r="V81">
        <v>42</v>
      </c>
      <c r="W81">
        <f t="shared" si="1"/>
        <v>12859.866615010673</v>
      </c>
      <c r="Y81">
        <f t="shared" si="2"/>
        <v>8035.6165782727949</v>
      </c>
      <c r="Z81">
        <f t="shared" si="3"/>
        <v>19855.049549978707</v>
      </c>
      <c r="AF81">
        <v>60</v>
      </c>
      <c r="AH81">
        <f t="shared" si="15"/>
        <v>16519.533431690157</v>
      </c>
    </row>
    <row r="82" spans="7:34" x14ac:dyDescent="0.25">
      <c r="V82">
        <v>43</v>
      </c>
      <c r="W82">
        <f t="shared" si="1"/>
        <v>13074.095304951856</v>
      </c>
      <c r="Y82">
        <f t="shared" si="2"/>
        <v>8155.9959817292856</v>
      </c>
      <c r="Z82">
        <f t="shared" si="3"/>
        <v>20219.180209752205</v>
      </c>
    </row>
    <row r="83" spans="7:34" x14ac:dyDescent="0.25">
      <c r="J83">
        <v>5</v>
      </c>
      <c r="K83">
        <f>K75/G75</f>
        <v>655.99083661009865</v>
      </c>
      <c r="V83">
        <v>44</v>
      </c>
      <c r="W83">
        <f t="shared" si="1"/>
        <v>13286.84496341965</v>
      </c>
      <c r="Y83">
        <f t="shared" si="2"/>
        <v>8275.3492539440958</v>
      </c>
      <c r="Z83">
        <f t="shared" si="3"/>
        <v>20581.387827017916</v>
      </c>
    </row>
    <row r="84" spans="7:34" x14ac:dyDescent="0.25">
      <c r="J84">
        <v>10</v>
      </c>
      <c r="K84">
        <f t="shared" ref="K84:K89" si="17">K76/G76</f>
        <v>533.61738229753973</v>
      </c>
      <c r="V84">
        <v>45</v>
      </c>
      <c r="W84">
        <f t="shared" si="1"/>
        <v>13498.159077681032</v>
      </c>
      <c r="Y84">
        <f t="shared" si="2"/>
        <v>8393.7081723386418</v>
      </c>
      <c r="Z84">
        <f t="shared" si="3"/>
        <v>20941.725928443186</v>
      </c>
    </row>
    <row r="85" spans="7:34" x14ac:dyDescent="0.25">
      <c r="J85">
        <v>20</v>
      </c>
      <c r="K85">
        <f t="shared" si="17"/>
        <v>434.07239064731618</v>
      </c>
      <c r="V85">
        <v>46</v>
      </c>
      <c r="W85">
        <f t="shared" si="1"/>
        <v>13708.078921182578</v>
      </c>
      <c r="Y85">
        <f t="shared" si="2"/>
        <v>8511.102848513452</v>
      </c>
      <c r="Z85">
        <f t="shared" si="3"/>
        <v>21300.245396973969</v>
      </c>
    </row>
    <row r="86" spans="7:34" x14ac:dyDescent="0.25">
      <c r="J86">
        <v>30</v>
      </c>
      <c r="K86">
        <f t="shared" si="17"/>
        <v>384.689081371481</v>
      </c>
      <c r="V86">
        <v>47</v>
      </c>
      <c r="W86">
        <f t="shared" si="1"/>
        <v>13916.643711800221</v>
      </c>
      <c r="Y86">
        <f t="shared" si="2"/>
        <v>8627.5618497669002</v>
      </c>
      <c r="Z86">
        <f t="shared" si="3"/>
        <v>21656.994656934607</v>
      </c>
    </row>
    <row r="87" spans="7:34" x14ac:dyDescent="0.25">
      <c r="J87">
        <v>50</v>
      </c>
      <c r="K87">
        <f t="shared" si="17"/>
        <v>330.39066863380316</v>
      </c>
      <c r="V87">
        <v>48</v>
      </c>
      <c r="W87">
        <f t="shared" si="1"/>
        <v>14123.890755658776</v>
      </c>
      <c r="Y87">
        <f t="shared" si="2"/>
        <v>8743.1123093604347</v>
      </c>
      <c r="Z87">
        <f t="shared" si="3"/>
        <v>22012.019842512011</v>
      </c>
    </row>
    <row r="88" spans="7:34" x14ac:dyDescent="0.25">
      <c r="J88">
        <v>75</v>
      </c>
      <c r="K88">
        <f>K80/G80</f>
        <v>270.77235276968565</v>
      </c>
      <c r="V88">
        <v>49</v>
      </c>
      <c r="W88">
        <f t="shared" si="1"/>
        <v>14329.855578109313</v>
      </c>
      <c r="Y88">
        <f t="shared" si="2"/>
        <v>8857.7800267845196</v>
      </c>
      <c r="Z88">
        <f t="shared" si="3"/>
        <v>22365.364951430114</v>
      </c>
    </row>
    <row r="89" spans="7:34" x14ac:dyDescent="0.25">
      <c r="J89">
        <v>100</v>
      </c>
      <c r="K89">
        <f t="shared" si="17"/>
        <v>330.39066863380316</v>
      </c>
      <c r="V89">
        <v>50</v>
      </c>
      <c r="W89">
        <f t="shared" si="1"/>
        <v>14534.572043249545</v>
      </c>
      <c r="Y89">
        <f t="shared" si="2"/>
        <v>8971.5895591171338</v>
      </c>
      <c r="Z89">
        <f t="shared" si="3"/>
        <v>22717.071985391998</v>
      </c>
    </row>
    <row r="90" spans="7:34" x14ac:dyDescent="0.25">
      <c r="V90">
        <v>51</v>
      </c>
      <c r="W90">
        <f t="shared" si="1"/>
        <v>14738.072463197685</v>
      </c>
      <c r="Y90">
        <f t="shared" si="2"/>
        <v>9084.5643044278204</v>
      </c>
      <c r="Z90">
        <f t="shared" si="3"/>
        <v>23067.181078670081</v>
      </c>
    </row>
    <row r="91" spans="7:34" x14ac:dyDescent="0.25">
      <c r="V91">
        <v>52</v>
      </c>
      <c r="W91">
        <f t="shared" si="1"/>
        <v>14940.387698181807</v>
      </c>
      <c r="Y91">
        <f t="shared" si="2"/>
        <v>9196.7265780620164</v>
      </c>
      <c r="Z91">
        <f t="shared" si="3"/>
        <v>23415.730616057415</v>
      </c>
    </row>
    <row r="92" spans="7:34" x14ac:dyDescent="0.25">
      <c r="V92">
        <v>53</v>
      </c>
      <c r="W92">
        <f t="shared" si="1"/>
        <v>15141.547248377779</v>
      </c>
      <c r="Y92">
        <f t="shared" si="2"/>
        <v>9308.0976825381476</v>
      </c>
      <c r="Z92">
        <f t="shared" si="3"/>
        <v>23762.757341247347</v>
      </c>
    </row>
    <row r="93" spans="7:34" x14ac:dyDescent="0.25">
      <c r="V93">
        <v>54</v>
      </c>
      <c r="W93">
        <f t="shared" si="1"/>
        <v>15341.579338318839</v>
      </c>
      <c r="Y93">
        <f t="shared" si="2"/>
        <v>9418.6979717024478</v>
      </c>
      <c r="Z93">
        <f t="shared" si="3"/>
        <v>24108.296456584198</v>
      </c>
    </row>
    <row r="94" spans="7:34" x14ac:dyDescent="0.25">
      <c r="V94">
        <v>55</v>
      </c>
      <c r="W94">
        <f t="shared" si="1"/>
        <v>15540.510994603568</v>
      </c>
      <c r="Y94">
        <f t="shared" si="2"/>
        <v>9528.5469097106106</v>
      </c>
      <c r="Z94">
        <f t="shared" si="3"/>
        <v>24452.381715018651</v>
      </c>
    </row>
    <row r="95" spans="7:34" x14ac:dyDescent="0.25">
      <c r="G95" t="s">
        <v>61</v>
      </c>
      <c r="V95">
        <v>56</v>
      </c>
      <c r="W95">
        <f t="shared" si="1"/>
        <v>15738.368117546419</v>
      </c>
      <c r="Y95">
        <f t="shared" si="2"/>
        <v>9637.6631253395371</v>
      </c>
      <c r="Z95">
        <f t="shared" si="3"/>
        <v>24795.045505007605</v>
      </c>
    </row>
    <row r="96" spans="7:34" x14ac:dyDescent="0.25">
      <c r="G96" t="s">
        <v>564</v>
      </c>
      <c r="V96">
        <v>57</v>
      </c>
      <c r="W96">
        <f t="shared" si="1"/>
        <v>15935.175547342429</v>
      </c>
      <c r="Y96">
        <f t="shared" si="2"/>
        <v>9746.0644620756138</v>
      </c>
      <c r="Z96">
        <f t="shared" si="3"/>
        <v>25136.31892901591</v>
      </c>
    </row>
    <row r="97" spans="7:26" x14ac:dyDescent="0.25">
      <c r="G97" t="s">
        <v>156</v>
      </c>
      <c r="H97" t="s">
        <v>398</v>
      </c>
      <c r="I97" t="s">
        <v>535</v>
      </c>
      <c r="V97">
        <v>58</v>
      </c>
      <c r="W97">
        <f t="shared" si="1"/>
        <v>16130.957125254899</v>
      </c>
      <c r="Y97">
        <f t="shared" si="2"/>
        <v>9853.7680243760369</v>
      </c>
      <c r="Z97">
        <f t="shared" si="3"/>
        <v>25476.231876205951</v>
      </c>
    </row>
    <row r="98" spans="7:26" x14ac:dyDescent="0.25">
      <c r="G98">
        <v>5</v>
      </c>
      <c r="H98">
        <v>3</v>
      </c>
      <c r="I98">
        <f>H98*2</f>
        <v>6</v>
      </c>
      <c r="V98">
        <v>59</v>
      </c>
      <c r="W98">
        <f t="shared" si="1"/>
        <v>16325.735750279504</v>
      </c>
      <c r="Y98">
        <f t="shared" si="2"/>
        <v>9960.7902204563507</v>
      </c>
      <c r="Z98">
        <f t="shared" si="3"/>
        <v>25814.813089837808</v>
      </c>
    </row>
    <row r="99" spans="7:26" x14ac:dyDescent="0.25">
      <c r="G99">
        <v>10</v>
      </c>
      <c r="H99">
        <v>6</v>
      </c>
      <c r="I99">
        <f t="shared" ref="I99:I102" si="18">H99*2</f>
        <v>12</v>
      </c>
      <c r="V99">
        <v>60</v>
      </c>
      <c r="W99">
        <f t="shared" si="1"/>
        <v>16519.533431690157</v>
      </c>
      <c r="Y99">
        <f t="shared" si="2"/>
        <v>10067.146801919367</v>
      </c>
      <c r="Z99">
        <f t="shared" si="3"/>
        <v>26152.090229848007</v>
      </c>
    </row>
    <row r="100" spans="7:26" x14ac:dyDescent="0.25">
      <c r="G100">
        <v>20</v>
      </c>
      <c r="H100">
        <v>12</v>
      </c>
      <c r="I100">
        <f t="shared" si="18"/>
        <v>24</v>
      </c>
      <c r="V100">
        <v>24</v>
      </c>
      <c r="X100">
        <v>8827.5</v>
      </c>
    </row>
    <row r="101" spans="7:26" x14ac:dyDescent="0.25">
      <c r="G101">
        <v>30</v>
      </c>
      <c r="H101">
        <v>18</v>
      </c>
      <c r="I101">
        <f t="shared" si="18"/>
        <v>36</v>
      </c>
      <c r="V101">
        <v>20</v>
      </c>
      <c r="X101">
        <v>7933.5</v>
      </c>
    </row>
    <row r="102" spans="7:26" x14ac:dyDescent="0.25">
      <c r="G102">
        <v>50</v>
      </c>
      <c r="H102">
        <v>30</v>
      </c>
      <c r="I102">
        <f t="shared" si="18"/>
        <v>60</v>
      </c>
      <c r="V102">
        <v>18</v>
      </c>
      <c r="X102">
        <v>6156</v>
      </c>
    </row>
    <row r="103" spans="7:26" x14ac:dyDescent="0.25">
      <c r="G103">
        <v>75</v>
      </c>
      <c r="H103">
        <v>45</v>
      </c>
      <c r="I103">
        <f>H103*2</f>
        <v>90</v>
      </c>
      <c r="V103">
        <v>16</v>
      </c>
      <c r="X103">
        <v>6693</v>
      </c>
    </row>
    <row r="104" spans="7:26" x14ac:dyDescent="0.25">
      <c r="G104">
        <v>100</v>
      </c>
      <c r="H104">
        <v>60</v>
      </c>
      <c r="I104">
        <f>H104*2</f>
        <v>120</v>
      </c>
      <c r="V104">
        <v>15</v>
      </c>
      <c r="X104">
        <v>5818.5</v>
      </c>
    </row>
    <row r="105" spans="7:26" x14ac:dyDescent="0.25">
      <c r="G105">
        <v>200</v>
      </c>
      <c r="I105">
        <f t="shared" ref="I105:I111" si="19">H105*2</f>
        <v>0</v>
      </c>
      <c r="V105">
        <v>12</v>
      </c>
      <c r="X105">
        <v>5623.5</v>
      </c>
    </row>
    <row r="106" spans="7:26" x14ac:dyDescent="0.25">
      <c r="G106">
        <v>300</v>
      </c>
      <c r="I106">
        <f t="shared" si="19"/>
        <v>0</v>
      </c>
      <c r="V106">
        <v>12</v>
      </c>
      <c r="X106">
        <v>5074.5</v>
      </c>
    </row>
    <row r="107" spans="7:26" x14ac:dyDescent="0.25">
      <c r="G107">
        <v>400</v>
      </c>
      <c r="I107">
        <f t="shared" si="19"/>
        <v>0</v>
      </c>
      <c r="V107">
        <v>9</v>
      </c>
      <c r="X107">
        <v>4242</v>
      </c>
    </row>
    <row r="108" spans="7:26" x14ac:dyDescent="0.25">
      <c r="G108">
        <v>500</v>
      </c>
      <c r="I108">
        <f t="shared" si="19"/>
        <v>0</v>
      </c>
      <c r="V108">
        <v>8</v>
      </c>
      <c r="X108">
        <v>4479</v>
      </c>
    </row>
    <row r="109" spans="7:26" x14ac:dyDescent="0.25">
      <c r="G109">
        <v>600</v>
      </c>
      <c r="I109">
        <f t="shared" si="19"/>
        <v>0</v>
      </c>
      <c r="V109">
        <v>7</v>
      </c>
      <c r="X109">
        <v>3142</v>
      </c>
    </row>
    <row r="110" spans="7:26" x14ac:dyDescent="0.25">
      <c r="G110">
        <v>800</v>
      </c>
      <c r="I110">
        <f t="shared" si="19"/>
        <v>0</v>
      </c>
      <c r="V110">
        <v>6</v>
      </c>
      <c r="X110">
        <v>3429</v>
      </c>
    </row>
    <row r="111" spans="7:26" x14ac:dyDescent="0.25">
      <c r="G111">
        <v>1000</v>
      </c>
      <c r="I111">
        <f t="shared" si="19"/>
        <v>0</v>
      </c>
      <c r="V111">
        <v>12</v>
      </c>
      <c r="X111">
        <v>5868</v>
      </c>
    </row>
    <row r="112" spans="7:26" x14ac:dyDescent="0.25">
      <c r="V112">
        <v>5.625</v>
      </c>
      <c r="X112">
        <v>2533</v>
      </c>
    </row>
    <row r="113" spans="22:24" x14ac:dyDescent="0.25">
      <c r="V113">
        <v>7.5</v>
      </c>
      <c r="X113">
        <v>3625.2</v>
      </c>
    </row>
    <row r="114" spans="22:24" x14ac:dyDescent="0.25">
      <c r="V114">
        <v>9</v>
      </c>
      <c r="X114">
        <v>3883</v>
      </c>
    </row>
    <row r="115" spans="22:24" x14ac:dyDescent="0.25">
      <c r="V115">
        <v>9</v>
      </c>
      <c r="X115">
        <v>5258.45</v>
      </c>
    </row>
    <row r="116" spans="22:24" x14ac:dyDescent="0.25">
      <c r="V116">
        <v>7.5</v>
      </c>
      <c r="X116">
        <v>4113</v>
      </c>
    </row>
    <row r="117" spans="22:24" x14ac:dyDescent="0.25">
      <c r="V117">
        <v>6</v>
      </c>
      <c r="X117">
        <v>3635</v>
      </c>
    </row>
    <row r="118" spans="22:24" x14ac:dyDescent="0.25">
      <c r="V118">
        <v>9</v>
      </c>
      <c r="X118">
        <v>4542.3599999999997</v>
      </c>
    </row>
    <row r="119" spans="22:24" x14ac:dyDescent="0.25">
      <c r="V119">
        <v>7.5</v>
      </c>
      <c r="X119">
        <v>3534.36</v>
      </c>
    </row>
    <row r="120" spans="22:24" x14ac:dyDescent="0.25">
      <c r="V120">
        <v>6</v>
      </c>
      <c r="X120">
        <v>3156</v>
      </c>
    </row>
    <row r="121" spans="22:24" x14ac:dyDescent="0.25">
      <c r="V121">
        <v>24</v>
      </c>
      <c r="X121">
        <v>8827.25</v>
      </c>
    </row>
    <row r="122" spans="22:24" x14ac:dyDescent="0.25">
      <c r="V122">
        <v>20</v>
      </c>
      <c r="X122">
        <v>7933.5</v>
      </c>
    </row>
    <row r="123" spans="22:24" x14ac:dyDescent="0.25">
      <c r="V123">
        <v>16</v>
      </c>
      <c r="X123">
        <v>6693</v>
      </c>
    </row>
    <row r="124" spans="22:24" x14ac:dyDescent="0.25">
      <c r="V124">
        <v>12</v>
      </c>
      <c r="X124">
        <v>5623.5</v>
      </c>
    </row>
    <row r="125" spans="22:24" x14ac:dyDescent="0.25">
      <c r="V125">
        <v>8</v>
      </c>
      <c r="X125">
        <v>4479</v>
      </c>
    </row>
    <row r="126" spans="22:24" x14ac:dyDescent="0.25">
      <c r="V126">
        <v>18</v>
      </c>
      <c r="X126">
        <v>6156</v>
      </c>
    </row>
    <row r="127" spans="22:24" x14ac:dyDescent="0.25">
      <c r="V127">
        <v>15</v>
      </c>
      <c r="X127">
        <v>5818.5</v>
      </c>
    </row>
    <row r="128" spans="22:24" x14ac:dyDescent="0.25">
      <c r="V128">
        <v>12</v>
      </c>
      <c r="X128">
        <v>5074.5</v>
      </c>
    </row>
    <row r="129" spans="1:24" x14ac:dyDescent="0.25">
      <c r="V129">
        <v>9</v>
      </c>
      <c r="X129">
        <v>4242</v>
      </c>
    </row>
    <row r="130" spans="1:24" x14ac:dyDescent="0.25">
      <c r="V130">
        <v>6</v>
      </c>
      <c r="X130">
        <v>3429</v>
      </c>
    </row>
    <row r="141" spans="1:24" x14ac:dyDescent="0.25">
      <c r="B141" t="s">
        <v>1090</v>
      </c>
    </row>
    <row r="142" spans="1:24" x14ac:dyDescent="0.25">
      <c r="A142" t="s">
        <v>542</v>
      </c>
      <c r="B142" t="s">
        <v>389</v>
      </c>
      <c r="D142" t="s">
        <v>326</v>
      </c>
      <c r="E142" t="s">
        <v>1093</v>
      </c>
      <c r="F142" t="s">
        <v>3</v>
      </c>
      <c r="H142" t="s">
        <v>35</v>
      </c>
      <c r="I142" t="s">
        <v>412</v>
      </c>
    </row>
    <row r="143" spans="1:24" x14ac:dyDescent="0.25">
      <c r="A143" t="s">
        <v>543</v>
      </c>
      <c r="B143">
        <v>1</v>
      </c>
      <c r="D143">
        <v>1386</v>
      </c>
      <c r="E143" t="s">
        <v>1094</v>
      </c>
      <c r="F143" t="s">
        <v>1091</v>
      </c>
      <c r="H143" t="s">
        <v>1092</v>
      </c>
      <c r="I143" s="35">
        <v>44483</v>
      </c>
      <c r="L143">
        <v>1</v>
      </c>
      <c r="M143">
        <v>1386</v>
      </c>
      <c r="P143">
        <v>1386</v>
      </c>
    </row>
    <row r="144" spans="1:24" x14ac:dyDescent="0.25">
      <c r="A144" t="s">
        <v>543</v>
      </c>
      <c r="B144">
        <v>2</v>
      </c>
      <c r="D144">
        <v>1674</v>
      </c>
      <c r="E144" t="s">
        <v>1094</v>
      </c>
      <c r="F144" t="s">
        <v>1091</v>
      </c>
      <c r="H144" s="4" t="s">
        <v>1092</v>
      </c>
      <c r="I144" s="35">
        <v>44483</v>
      </c>
      <c r="L144">
        <v>2</v>
      </c>
      <c r="M144">
        <v>1674</v>
      </c>
      <c r="P144">
        <v>1674</v>
      </c>
    </row>
    <row r="145" spans="1:16" x14ac:dyDescent="0.25">
      <c r="A145" t="s">
        <v>543</v>
      </c>
      <c r="B145">
        <v>3</v>
      </c>
      <c r="D145">
        <v>2014.8</v>
      </c>
      <c r="E145" t="s">
        <v>1094</v>
      </c>
      <c r="F145" t="s">
        <v>1091</v>
      </c>
      <c r="H145" s="4" t="s">
        <v>1092</v>
      </c>
      <c r="I145" s="35">
        <v>44483</v>
      </c>
      <c r="L145">
        <v>3</v>
      </c>
      <c r="M145">
        <v>2014.8</v>
      </c>
      <c r="P145">
        <v>2014.8</v>
      </c>
    </row>
    <row r="146" spans="1:16" x14ac:dyDescent="0.25">
      <c r="A146" t="s">
        <v>543</v>
      </c>
      <c r="B146">
        <v>4</v>
      </c>
      <c r="D146">
        <v>2203.1999999999998</v>
      </c>
      <c r="E146" t="s">
        <v>1094</v>
      </c>
      <c r="F146" t="s">
        <v>1091</v>
      </c>
      <c r="H146" t="s">
        <v>1092</v>
      </c>
      <c r="I146" s="35">
        <v>44483</v>
      </c>
      <c r="L146">
        <v>4</v>
      </c>
      <c r="M146">
        <v>2203.1999999999998</v>
      </c>
      <c r="P146">
        <v>2203.1999999999998</v>
      </c>
    </row>
    <row r="147" spans="1:16" x14ac:dyDescent="0.25">
      <c r="A147" t="s">
        <v>543</v>
      </c>
      <c r="B147">
        <v>6</v>
      </c>
      <c r="D147">
        <v>2548</v>
      </c>
      <c r="E147" t="s">
        <v>1094</v>
      </c>
      <c r="F147" t="s">
        <v>1091</v>
      </c>
      <c r="H147" t="s">
        <v>1092</v>
      </c>
      <c r="I147" s="35">
        <v>44483</v>
      </c>
      <c r="L147">
        <v>6</v>
      </c>
      <c r="M147">
        <v>2548</v>
      </c>
      <c r="P147">
        <v>2548</v>
      </c>
    </row>
    <row r="148" spans="1:16" x14ac:dyDescent="0.25">
      <c r="A148" t="s">
        <v>543</v>
      </c>
      <c r="B148">
        <v>8</v>
      </c>
      <c r="D148">
        <v>3056.4</v>
      </c>
      <c r="E148" t="s">
        <v>1094</v>
      </c>
      <c r="F148" t="s">
        <v>1091</v>
      </c>
      <c r="H148" t="s">
        <v>1092</v>
      </c>
      <c r="I148" s="35">
        <v>44483</v>
      </c>
      <c r="L148">
        <v>8</v>
      </c>
      <c r="M148">
        <v>3056.4</v>
      </c>
      <c r="P148">
        <v>3056.4</v>
      </c>
    </row>
    <row r="149" spans="1:16" x14ac:dyDescent="0.25">
      <c r="A149" t="s">
        <v>543</v>
      </c>
      <c r="B149">
        <v>10</v>
      </c>
      <c r="D149">
        <v>3202.8</v>
      </c>
      <c r="E149" t="s">
        <v>1094</v>
      </c>
      <c r="F149" t="s">
        <v>1091</v>
      </c>
      <c r="H149" t="s">
        <v>1092</v>
      </c>
      <c r="I149" s="35">
        <v>44483</v>
      </c>
      <c r="L149">
        <v>10</v>
      </c>
      <c r="M149">
        <v>3202.8</v>
      </c>
      <c r="P149">
        <v>3202.8</v>
      </c>
    </row>
    <row r="150" spans="1:16" x14ac:dyDescent="0.25">
      <c r="A150" t="s">
        <v>543</v>
      </c>
      <c r="B150">
        <v>14</v>
      </c>
      <c r="D150">
        <v>4396.8</v>
      </c>
      <c r="E150" t="s">
        <v>1094</v>
      </c>
      <c r="F150" t="s">
        <v>1091</v>
      </c>
      <c r="H150" t="s">
        <v>1092</v>
      </c>
      <c r="I150" s="35">
        <v>44483</v>
      </c>
      <c r="L150">
        <v>14</v>
      </c>
      <c r="M150">
        <v>4396.8</v>
      </c>
      <c r="P150">
        <v>4396.8</v>
      </c>
    </row>
    <row r="151" spans="1:16" x14ac:dyDescent="0.25">
      <c r="A151" t="s">
        <v>543</v>
      </c>
      <c r="B151">
        <v>18</v>
      </c>
      <c r="D151">
        <v>5538</v>
      </c>
      <c r="E151" t="s">
        <v>1094</v>
      </c>
      <c r="F151" t="s">
        <v>1091</v>
      </c>
      <c r="H151" t="s">
        <v>1092</v>
      </c>
      <c r="I151" s="35">
        <v>44483</v>
      </c>
      <c r="L151">
        <v>18</v>
      </c>
      <c r="M151">
        <v>5538</v>
      </c>
      <c r="P151">
        <v>5538</v>
      </c>
    </row>
    <row r="152" spans="1:16" x14ac:dyDescent="0.25">
      <c r="A152" t="s">
        <v>543</v>
      </c>
      <c r="B152">
        <v>20</v>
      </c>
      <c r="D152">
        <v>5598</v>
      </c>
      <c r="E152" t="s">
        <v>1094</v>
      </c>
      <c r="F152" t="s">
        <v>1091</v>
      </c>
      <c r="H152" t="s">
        <v>1092</v>
      </c>
      <c r="I152" s="35">
        <v>44483</v>
      </c>
      <c r="L152">
        <v>20</v>
      </c>
      <c r="M152">
        <v>5598</v>
      </c>
      <c r="P152">
        <v>5598</v>
      </c>
    </row>
    <row r="153" spans="1:16" x14ac:dyDescent="0.25">
      <c r="A153" t="s">
        <v>543</v>
      </c>
      <c r="B153">
        <v>22</v>
      </c>
      <c r="D153">
        <v>5829.6</v>
      </c>
      <c r="E153" t="s">
        <v>1094</v>
      </c>
      <c r="F153" t="s">
        <v>1091</v>
      </c>
      <c r="H153" t="s">
        <v>1092</v>
      </c>
      <c r="I153" s="35">
        <v>44483</v>
      </c>
      <c r="L153">
        <v>22</v>
      </c>
      <c r="M153">
        <v>5829.6</v>
      </c>
      <c r="P153">
        <v>5829.6</v>
      </c>
    </row>
    <row r="154" spans="1:16" x14ac:dyDescent="0.25">
      <c r="A154" t="s">
        <v>543</v>
      </c>
      <c r="B154">
        <v>25</v>
      </c>
      <c r="D154">
        <v>6134.4</v>
      </c>
      <c r="E154" t="s">
        <v>1094</v>
      </c>
      <c r="F154" t="s">
        <v>1091</v>
      </c>
      <c r="H154" t="s">
        <v>1092</v>
      </c>
      <c r="I154" s="35">
        <v>44483</v>
      </c>
      <c r="L154">
        <v>25</v>
      </c>
      <c r="M154">
        <v>6134.4</v>
      </c>
      <c r="P154">
        <v>6134.4</v>
      </c>
    </row>
    <row r="155" spans="1:16" x14ac:dyDescent="0.25">
      <c r="A155" t="s">
        <v>543</v>
      </c>
      <c r="B155">
        <v>30</v>
      </c>
      <c r="D155">
        <v>7177.2</v>
      </c>
      <c r="E155" t="s">
        <v>1094</v>
      </c>
      <c r="F155" t="s">
        <v>1091</v>
      </c>
      <c r="H155" t="s">
        <v>1092</v>
      </c>
      <c r="I155" s="35">
        <v>44483</v>
      </c>
      <c r="L155">
        <v>30</v>
      </c>
      <c r="M155">
        <v>7177.2</v>
      </c>
      <c r="P155">
        <v>7177.2</v>
      </c>
    </row>
    <row r="156" spans="1:16" x14ac:dyDescent="0.25">
      <c r="A156" t="s">
        <v>543</v>
      </c>
      <c r="B156">
        <v>36</v>
      </c>
      <c r="D156">
        <v>7128</v>
      </c>
      <c r="E156" t="s">
        <v>1094</v>
      </c>
      <c r="F156" t="s">
        <v>1091</v>
      </c>
      <c r="H156" t="s">
        <v>1092</v>
      </c>
      <c r="I156" s="35">
        <v>44483</v>
      </c>
      <c r="L156">
        <v>36</v>
      </c>
      <c r="M156">
        <v>7128</v>
      </c>
      <c r="P156">
        <v>7128</v>
      </c>
    </row>
    <row r="157" spans="1:16" x14ac:dyDescent="0.25">
      <c r="A157" t="s">
        <v>543</v>
      </c>
      <c r="B157">
        <v>40</v>
      </c>
      <c r="D157">
        <v>9194.4</v>
      </c>
      <c r="E157" t="s">
        <v>1094</v>
      </c>
      <c r="F157" t="s">
        <v>1091</v>
      </c>
      <c r="H157" t="s">
        <v>1092</v>
      </c>
      <c r="I157" s="35">
        <v>44483</v>
      </c>
      <c r="L157">
        <v>40</v>
      </c>
      <c r="M157">
        <v>9194.4</v>
      </c>
      <c r="P157">
        <v>9194.4</v>
      </c>
    </row>
    <row r="158" spans="1:16" x14ac:dyDescent="0.25">
      <c r="A158" t="s">
        <v>543</v>
      </c>
      <c r="B158">
        <v>45</v>
      </c>
      <c r="D158">
        <v>9922.7999999999993</v>
      </c>
      <c r="E158" t="s">
        <v>1094</v>
      </c>
      <c r="F158" t="s">
        <v>1091</v>
      </c>
      <c r="H158" t="s">
        <v>1092</v>
      </c>
      <c r="I158" s="35">
        <v>44483</v>
      </c>
      <c r="L158">
        <v>45</v>
      </c>
      <c r="M158">
        <v>9922.7999999999993</v>
      </c>
      <c r="P158">
        <v>9922.7999999999993</v>
      </c>
    </row>
    <row r="159" spans="1:16" x14ac:dyDescent="0.25">
      <c r="A159" t="s">
        <v>543</v>
      </c>
      <c r="B159">
        <v>50</v>
      </c>
      <c r="D159">
        <v>10726.8</v>
      </c>
      <c r="E159" t="s">
        <v>1094</v>
      </c>
      <c r="F159" t="s">
        <v>1091</v>
      </c>
      <c r="H159" t="s">
        <v>1092</v>
      </c>
      <c r="I159" s="35">
        <v>44483</v>
      </c>
      <c r="L159">
        <v>50</v>
      </c>
      <c r="M159">
        <v>10726.8</v>
      </c>
      <c r="P159">
        <v>10726.8</v>
      </c>
    </row>
    <row r="160" spans="1:16" x14ac:dyDescent="0.25">
      <c r="A160" t="s">
        <v>543</v>
      </c>
      <c r="B160">
        <v>54</v>
      </c>
      <c r="D160">
        <v>11637.6</v>
      </c>
      <c r="E160" t="s">
        <v>1094</v>
      </c>
      <c r="F160" t="s">
        <v>1091</v>
      </c>
      <c r="H160" t="s">
        <v>1092</v>
      </c>
      <c r="I160" s="35">
        <v>44483</v>
      </c>
      <c r="L160">
        <v>54</v>
      </c>
      <c r="M160">
        <v>11637.6</v>
      </c>
      <c r="P160">
        <v>11637.6</v>
      </c>
    </row>
    <row r="161" spans="1:24" x14ac:dyDescent="0.25">
      <c r="A161" t="s">
        <v>543</v>
      </c>
      <c r="B161">
        <v>60</v>
      </c>
      <c r="D161">
        <v>13182</v>
      </c>
      <c r="E161" t="s">
        <v>1094</v>
      </c>
      <c r="F161" t="s">
        <v>1091</v>
      </c>
      <c r="H161" t="s">
        <v>1092</v>
      </c>
      <c r="I161" s="35">
        <v>44483</v>
      </c>
      <c r="L161">
        <v>60</v>
      </c>
      <c r="M161">
        <v>13182</v>
      </c>
      <c r="P161">
        <v>13182</v>
      </c>
    </row>
    <row r="162" spans="1:24" x14ac:dyDescent="0.25">
      <c r="A162" t="s">
        <v>543</v>
      </c>
      <c r="B162">
        <v>65</v>
      </c>
      <c r="D162">
        <v>15301.2</v>
      </c>
      <c r="E162" t="s">
        <v>1094</v>
      </c>
      <c r="F162" t="s">
        <v>1091</v>
      </c>
      <c r="H162" t="s">
        <v>1092</v>
      </c>
      <c r="I162" s="35">
        <v>44483</v>
      </c>
      <c r="L162">
        <v>65</v>
      </c>
      <c r="M162">
        <v>15301.2</v>
      </c>
      <c r="P162">
        <v>15301.2</v>
      </c>
    </row>
    <row r="163" spans="1:24" x14ac:dyDescent="0.25">
      <c r="A163" t="s">
        <v>543</v>
      </c>
      <c r="B163">
        <v>70</v>
      </c>
      <c r="D163">
        <v>16114.8</v>
      </c>
      <c r="E163" t="s">
        <v>1094</v>
      </c>
      <c r="F163" t="s">
        <v>1091</v>
      </c>
      <c r="H163" t="s">
        <v>1092</v>
      </c>
      <c r="I163" s="35">
        <v>44483</v>
      </c>
      <c r="L163">
        <v>70</v>
      </c>
      <c r="M163">
        <v>16114.8</v>
      </c>
      <c r="P163">
        <v>16114.8</v>
      </c>
    </row>
    <row r="164" spans="1:24" x14ac:dyDescent="0.25">
      <c r="A164" t="s">
        <v>543</v>
      </c>
      <c r="B164">
        <v>84</v>
      </c>
      <c r="D164">
        <v>18202.8</v>
      </c>
      <c r="E164" t="s">
        <v>1094</v>
      </c>
      <c r="F164" t="s">
        <v>1091</v>
      </c>
      <c r="H164" t="s">
        <v>1092</v>
      </c>
      <c r="I164" s="35">
        <v>44483</v>
      </c>
      <c r="L164">
        <v>84</v>
      </c>
      <c r="M164">
        <v>18202.8</v>
      </c>
      <c r="P164">
        <v>18202.8</v>
      </c>
    </row>
    <row r="165" spans="1:24" x14ac:dyDescent="0.25">
      <c r="L165">
        <v>2.8</v>
      </c>
      <c r="N165">
        <v>1140</v>
      </c>
      <c r="P165">
        <v>1140</v>
      </c>
    </row>
    <row r="166" spans="1:24" x14ac:dyDescent="0.25">
      <c r="B166">
        <v>2.8</v>
      </c>
      <c r="D166">
        <v>1140</v>
      </c>
      <c r="E166" t="s">
        <v>1095</v>
      </c>
      <c r="F166" t="s">
        <v>1091</v>
      </c>
      <c r="H166" t="s">
        <v>1092</v>
      </c>
      <c r="I166" s="35">
        <v>44483</v>
      </c>
      <c r="L166">
        <v>3.8</v>
      </c>
      <c r="N166">
        <v>1339.2</v>
      </c>
      <c r="P166">
        <v>1339.2</v>
      </c>
    </row>
    <row r="167" spans="1:24" x14ac:dyDescent="0.25">
      <c r="B167">
        <v>3.8</v>
      </c>
      <c r="D167">
        <v>1339.2</v>
      </c>
      <c r="E167" t="s">
        <v>1095</v>
      </c>
      <c r="F167" t="s">
        <v>1091</v>
      </c>
      <c r="H167" t="s">
        <v>1092</v>
      </c>
      <c r="I167" s="35">
        <v>44483</v>
      </c>
      <c r="L167">
        <v>4.8</v>
      </c>
      <c r="N167">
        <v>1723.2</v>
      </c>
      <c r="P167">
        <v>1723.2</v>
      </c>
    </row>
    <row r="168" spans="1:24" x14ac:dyDescent="0.25">
      <c r="B168">
        <v>4.8</v>
      </c>
      <c r="D168">
        <v>1723.2</v>
      </c>
      <c r="E168" t="s">
        <v>1095</v>
      </c>
      <c r="F168" t="s">
        <v>1091</v>
      </c>
      <c r="H168" t="s">
        <v>1092</v>
      </c>
      <c r="I168" s="35">
        <v>44483</v>
      </c>
      <c r="L168">
        <v>5.7</v>
      </c>
      <c r="N168">
        <v>2107.1999999999998</v>
      </c>
      <c r="P168">
        <v>2107.1999999999998</v>
      </c>
    </row>
    <row r="169" spans="1:24" x14ac:dyDescent="0.25">
      <c r="B169">
        <v>5.7</v>
      </c>
      <c r="D169">
        <v>2107.1999999999998</v>
      </c>
      <c r="E169" t="s">
        <v>1095</v>
      </c>
      <c r="F169" t="s">
        <v>1091</v>
      </c>
      <c r="H169" t="s">
        <v>1092</v>
      </c>
      <c r="I169" s="35">
        <v>44483</v>
      </c>
      <c r="L169">
        <v>7.15</v>
      </c>
      <c r="N169">
        <v>2642.4</v>
      </c>
      <c r="P169">
        <v>2642.4</v>
      </c>
    </row>
    <row r="170" spans="1:24" x14ac:dyDescent="0.25">
      <c r="B170">
        <v>7.15</v>
      </c>
      <c r="D170">
        <v>2642.4</v>
      </c>
      <c r="E170" t="s">
        <v>1095</v>
      </c>
      <c r="F170" t="s">
        <v>1091</v>
      </c>
      <c r="H170" t="s">
        <v>1092</v>
      </c>
      <c r="I170" s="35">
        <v>44483</v>
      </c>
      <c r="L170">
        <v>9.15</v>
      </c>
      <c r="N170">
        <v>2782</v>
      </c>
      <c r="P170">
        <v>2782</v>
      </c>
    </row>
    <row r="171" spans="1:24" x14ac:dyDescent="0.25">
      <c r="B171">
        <v>9.15</v>
      </c>
      <c r="D171">
        <v>2782</v>
      </c>
      <c r="E171" t="s">
        <v>1095</v>
      </c>
      <c r="F171" t="s">
        <v>1091</v>
      </c>
      <c r="H171" t="s">
        <v>1092</v>
      </c>
      <c r="I171" s="35">
        <v>44483</v>
      </c>
      <c r="L171">
        <v>10</v>
      </c>
      <c r="N171">
        <v>3362.4</v>
      </c>
      <c r="P171">
        <v>3362.4</v>
      </c>
    </row>
    <row r="172" spans="1:24" x14ac:dyDescent="0.25">
      <c r="B172">
        <v>10</v>
      </c>
      <c r="D172">
        <v>3362.4</v>
      </c>
      <c r="E172" t="s">
        <v>1095</v>
      </c>
      <c r="F172" t="s">
        <v>1091</v>
      </c>
      <c r="H172" t="s">
        <v>1092</v>
      </c>
      <c r="I172" s="35">
        <v>44483</v>
      </c>
      <c r="L172">
        <v>12</v>
      </c>
      <c r="N172">
        <v>3490.8</v>
      </c>
      <c r="P172">
        <v>3490.8</v>
      </c>
    </row>
    <row r="173" spans="1:24" x14ac:dyDescent="0.25">
      <c r="B173">
        <v>12</v>
      </c>
      <c r="D173">
        <v>3490.8</v>
      </c>
      <c r="E173" t="s">
        <v>1095</v>
      </c>
      <c r="F173" t="s">
        <v>1091</v>
      </c>
      <c r="H173" t="s">
        <v>1092</v>
      </c>
      <c r="I173" s="35">
        <v>44483</v>
      </c>
      <c r="L173">
        <v>15</v>
      </c>
      <c r="N173">
        <v>3726</v>
      </c>
      <c r="P173">
        <v>3726</v>
      </c>
    </row>
    <row r="174" spans="1:24" x14ac:dyDescent="0.25">
      <c r="B174">
        <v>15</v>
      </c>
      <c r="D174">
        <v>3726</v>
      </c>
      <c r="E174" t="s">
        <v>1095</v>
      </c>
      <c r="F174" t="s">
        <v>1091</v>
      </c>
      <c r="H174" t="s">
        <v>1092</v>
      </c>
      <c r="I174" s="35">
        <v>44483</v>
      </c>
      <c r="L174">
        <v>18</v>
      </c>
      <c r="N174">
        <v>4917.6000000000004</v>
      </c>
      <c r="P174">
        <v>4917.6000000000004</v>
      </c>
      <c r="X174" t="s">
        <v>1580</v>
      </c>
    </row>
    <row r="175" spans="1:24" x14ac:dyDescent="0.25">
      <c r="B175">
        <v>18</v>
      </c>
      <c r="D175">
        <v>4917.6000000000004</v>
      </c>
      <c r="E175" t="s">
        <v>1095</v>
      </c>
      <c r="F175" t="s">
        <v>1091</v>
      </c>
      <c r="H175" t="s">
        <v>1092</v>
      </c>
      <c r="I175" s="35">
        <v>44483</v>
      </c>
      <c r="L175">
        <v>22</v>
      </c>
      <c r="N175">
        <v>5871.6</v>
      </c>
      <c r="P175">
        <v>5871.6</v>
      </c>
    </row>
    <row r="176" spans="1:24" x14ac:dyDescent="0.25">
      <c r="B176">
        <v>22</v>
      </c>
      <c r="D176">
        <v>5871.6</v>
      </c>
      <c r="E176" t="s">
        <v>1095</v>
      </c>
      <c r="F176" t="s">
        <v>1091</v>
      </c>
      <c r="H176" t="s">
        <v>1092</v>
      </c>
      <c r="I176" s="35">
        <v>44483</v>
      </c>
      <c r="L176">
        <v>26</v>
      </c>
      <c r="N176">
        <v>6372</v>
      </c>
      <c r="P176">
        <v>6372</v>
      </c>
    </row>
    <row r="177" spans="2:16" x14ac:dyDescent="0.25">
      <c r="B177">
        <v>26</v>
      </c>
      <c r="D177">
        <v>6372</v>
      </c>
      <c r="E177" t="s">
        <v>1095</v>
      </c>
      <c r="F177" t="s">
        <v>1091</v>
      </c>
      <c r="H177" t="s">
        <v>1092</v>
      </c>
      <c r="I177" s="35">
        <v>44483</v>
      </c>
      <c r="L177">
        <v>34</v>
      </c>
      <c r="N177">
        <v>7645.2</v>
      </c>
      <c r="P177">
        <v>7645.2</v>
      </c>
    </row>
    <row r="178" spans="2:16" x14ac:dyDescent="0.25">
      <c r="B178">
        <v>34</v>
      </c>
      <c r="D178">
        <v>7645.2</v>
      </c>
      <c r="E178" t="s">
        <v>1095</v>
      </c>
      <c r="F178" t="s">
        <v>1091</v>
      </c>
      <c r="H178" t="s">
        <v>1092</v>
      </c>
      <c r="I178" s="35">
        <v>44483</v>
      </c>
      <c r="L178">
        <v>38</v>
      </c>
      <c r="N178">
        <v>8372.4</v>
      </c>
      <c r="P178">
        <v>8372.4</v>
      </c>
    </row>
    <row r="179" spans="2:16" x14ac:dyDescent="0.25">
      <c r="B179">
        <v>38</v>
      </c>
      <c r="D179">
        <v>8372.4</v>
      </c>
      <c r="E179" t="s">
        <v>1095</v>
      </c>
      <c r="F179" t="s">
        <v>1091</v>
      </c>
      <c r="H179" t="s">
        <v>1092</v>
      </c>
      <c r="I179" s="35">
        <v>44483</v>
      </c>
      <c r="L179">
        <v>46</v>
      </c>
      <c r="N179">
        <v>9826.7999999999993</v>
      </c>
      <c r="P179">
        <v>9826.7999999999993</v>
      </c>
    </row>
    <row r="180" spans="2:16" x14ac:dyDescent="0.25">
      <c r="B180">
        <v>46</v>
      </c>
      <c r="D180">
        <v>9826.7999999999993</v>
      </c>
      <c r="E180" t="s">
        <v>1095</v>
      </c>
      <c r="F180" t="s">
        <v>1091</v>
      </c>
      <c r="H180" t="s">
        <v>1092</v>
      </c>
      <c r="I180" s="35">
        <v>44483</v>
      </c>
      <c r="L180">
        <v>54</v>
      </c>
      <c r="N180">
        <v>11462.4</v>
      </c>
      <c r="P180">
        <v>11462.4</v>
      </c>
    </row>
    <row r="181" spans="2:16" x14ac:dyDescent="0.25">
      <c r="B181">
        <v>54</v>
      </c>
      <c r="D181">
        <v>11462.4</v>
      </c>
      <c r="E181" t="s">
        <v>1095</v>
      </c>
      <c r="F181" t="s">
        <v>1091</v>
      </c>
      <c r="H181" t="s">
        <v>1092</v>
      </c>
      <c r="I181" s="35">
        <v>44483</v>
      </c>
      <c r="L181">
        <v>59</v>
      </c>
      <c r="N181">
        <v>12280.8</v>
      </c>
      <c r="P181">
        <v>12280.8</v>
      </c>
    </row>
    <row r="182" spans="2:16" x14ac:dyDescent="0.25">
      <c r="B182">
        <v>59</v>
      </c>
      <c r="D182">
        <v>12280.8</v>
      </c>
      <c r="E182" t="s">
        <v>1095</v>
      </c>
      <c r="F182" t="s">
        <v>1091</v>
      </c>
      <c r="H182" t="s">
        <v>1092</v>
      </c>
      <c r="I182" s="35">
        <v>44483</v>
      </c>
      <c r="L182">
        <v>63</v>
      </c>
      <c r="N182">
        <v>13099.2</v>
      </c>
      <c r="P182">
        <v>13099.2</v>
      </c>
    </row>
    <row r="183" spans="2:16" x14ac:dyDescent="0.25">
      <c r="B183">
        <v>63</v>
      </c>
      <c r="D183">
        <v>13099.2</v>
      </c>
      <c r="E183" t="s">
        <v>1095</v>
      </c>
      <c r="F183" t="s">
        <v>1091</v>
      </c>
      <c r="H183" t="s">
        <v>1092</v>
      </c>
      <c r="I183" s="35">
        <v>44483</v>
      </c>
      <c r="L183">
        <v>71</v>
      </c>
      <c r="N183">
        <v>14372.4</v>
      </c>
      <c r="P183">
        <v>14372.4</v>
      </c>
    </row>
    <row r="184" spans="2:16" x14ac:dyDescent="0.25">
      <c r="B184">
        <v>71</v>
      </c>
      <c r="D184">
        <v>14372.4</v>
      </c>
      <c r="E184" t="s">
        <v>1095</v>
      </c>
      <c r="F184" t="s">
        <v>1091</v>
      </c>
      <c r="H184" t="s">
        <v>1092</v>
      </c>
      <c r="I184" s="35">
        <v>44483</v>
      </c>
      <c r="L184">
        <v>79</v>
      </c>
      <c r="N184">
        <v>15826.8</v>
      </c>
      <c r="P184">
        <v>15826.8</v>
      </c>
    </row>
    <row r="185" spans="2:16" x14ac:dyDescent="0.25">
      <c r="B185">
        <v>79</v>
      </c>
      <c r="D185">
        <v>15826.8</v>
      </c>
      <c r="E185" t="s">
        <v>1095</v>
      </c>
      <c r="F185" t="s">
        <v>1091</v>
      </c>
      <c r="H185" t="s">
        <v>1092</v>
      </c>
      <c r="I185" s="35">
        <v>44483</v>
      </c>
      <c r="L185">
        <v>24</v>
      </c>
      <c r="O185">
        <v>8827.5</v>
      </c>
      <c r="P185">
        <v>8827.5</v>
      </c>
    </row>
    <row r="186" spans="2:16" x14ac:dyDescent="0.25">
      <c r="I186" s="35"/>
      <c r="L186">
        <v>20</v>
      </c>
      <c r="O186">
        <v>7933.5</v>
      </c>
      <c r="P186">
        <v>7933.5</v>
      </c>
    </row>
    <row r="187" spans="2:16" x14ac:dyDescent="0.25">
      <c r="I187" s="35"/>
      <c r="L187">
        <v>18</v>
      </c>
      <c r="O187">
        <v>6156</v>
      </c>
      <c r="P187">
        <v>6156</v>
      </c>
    </row>
    <row r="188" spans="2:16" x14ac:dyDescent="0.25">
      <c r="I188" s="35"/>
      <c r="L188">
        <v>16</v>
      </c>
      <c r="O188">
        <v>6693</v>
      </c>
      <c r="P188">
        <v>6693</v>
      </c>
    </row>
    <row r="189" spans="2:16" x14ac:dyDescent="0.25">
      <c r="L189">
        <v>15</v>
      </c>
      <c r="O189">
        <v>5818.5</v>
      </c>
      <c r="P189">
        <v>5818.5</v>
      </c>
    </row>
    <row r="190" spans="2:16" x14ac:dyDescent="0.25">
      <c r="L190">
        <v>12</v>
      </c>
      <c r="O190">
        <v>5623.5</v>
      </c>
      <c r="P190">
        <v>5623.5</v>
      </c>
    </row>
    <row r="191" spans="2:16" x14ac:dyDescent="0.25">
      <c r="L191">
        <v>12</v>
      </c>
      <c r="O191">
        <v>5074.5</v>
      </c>
      <c r="P191">
        <v>5074.5</v>
      </c>
    </row>
    <row r="192" spans="2:16" x14ac:dyDescent="0.25">
      <c r="L192">
        <v>9</v>
      </c>
      <c r="O192">
        <v>4242</v>
      </c>
      <c r="P192">
        <v>4242</v>
      </c>
    </row>
    <row r="193" spans="12:16" x14ac:dyDescent="0.25">
      <c r="L193">
        <v>8</v>
      </c>
      <c r="O193">
        <v>4479</v>
      </c>
      <c r="P193">
        <v>4479</v>
      </c>
    </row>
    <row r="194" spans="12:16" x14ac:dyDescent="0.25">
      <c r="L194">
        <v>7</v>
      </c>
      <c r="O194">
        <v>3142</v>
      </c>
      <c r="P194">
        <v>3142</v>
      </c>
    </row>
    <row r="195" spans="12:16" x14ac:dyDescent="0.25">
      <c r="L195">
        <v>6</v>
      </c>
      <c r="O195">
        <v>3429</v>
      </c>
      <c r="P195">
        <v>3429</v>
      </c>
    </row>
    <row r="196" spans="12:16" x14ac:dyDescent="0.25">
      <c r="L196">
        <v>12</v>
      </c>
      <c r="O196">
        <v>5868</v>
      </c>
      <c r="P196">
        <v>5868</v>
      </c>
    </row>
    <row r="197" spans="12:16" x14ac:dyDescent="0.25">
      <c r="L197">
        <v>5.625</v>
      </c>
      <c r="O197">
        <v>2533</v>
      </c>
      <c r="P197">
        <v>2533</v>
      </c>
    </row>
    <row r="198" spans="12:16" x14ac:dyDescent="0.25">
      <c r="L198">
        <v>7.5</v>
      </c>
      <c r="O198">
        <v>3625.2</v>
      </c>
      <c r="P198">
        <v>3625.2</v>
      </c>
    </row>
    <row r="199" spans="12:16" x14ac:dyDescent="0.25">
      <c r="L199">
        <v>9</v>
      </c>
      <c r="O199">
        <v>3883</v>
      </c>
      <c r="P199">
        <v>3883</v>
      </c>
    </row>
    <row r="200" spans="12:16" x14ac:dyDescent="0.25">
      <c r="L200">
        <v>9</v>
      </c>
      <c r="O200">
        <v>5258.45</v>
      </c>
      <c r="P200">
        <v>5258.45</v>
      </c>
    </row>
    <row r="201" spans="12:16" x14ac:dyDescent="0.25">
      <c r="L201">
        <v>7.5</v>
      </c>
      <c r="O201">
        <v>4113</v>
      </c>
      <c r="P201">
        <v>4113</v>
      </c>
    </row>
    <row r="202" spans="12:16" x14ac:dyDescent="0.25">
      <c r="L202">
        <v>6</v>
      </c>
      <c r="O202">
        <v>3635</v>
      </c>
      <c r="P202">
        <v>3635</v>
      </c>
    </row>
    <row r="203" spans="12:16" x14ac:dyDescent="0.25">
      <c r="L203">
        <v>9</v>
      </c>
      <c r="O203">
        <v>4542.3599999999997</v>
      </c>
      <c r="P203">
        <v>4542.3599999999997</v>
      </c>
    </row>
    <row r="204" spans="12:16" x14ac:dyDescent="0.25">
      <c r="L204">
        <v>7.5</v>
      </c>
      <c r="O204">
        <v>3534.36</v>
      </c>
      <c r="P204">
        <v>3534.36</v>
      </c>
    </row>
    <row r="205" spans="12:16" x14ac:dyDescent="0.25">
      <c r="L205">
        <v>6</v>
      </c>
      <c r="O205">
        <v>3156</v>
      </c>
      <c r="P205">
        <v>3156</v>
      </c>
    </row>
    <row r="206" spans="12:16" x14ac:dyDescent="0.25">
      <c r="L206">
        <v>24</v>
      </c>
      <c r="O206">
        <v>8827.25</v>
      </c>
      <c r="P206">
        <v>8827.25</v>
      </c>
    </row>
    <row r="207" spans="12:16" x14ac:dyDescent="0.25">
      <c r="L207">
        <v>20</v>
      </c>
      <c r="O207">
        <v>7933.5</v>
      </c>
      <c r="P207">
        <v>7933.5</v>
      </c>
    </row>
    <row r="208" spans="12:16" x14ac:dyDescent="0.25">
      <c r="L208">
        <v>16</v>
      </c>
      <c r="O208">
        <v>6693</v>
      </c>
      <c r="P208">
        <v>6693</v>
      </c>
    </row>
    <row r="209" spans="12:17" x14ac:dyDescent="0.25">
      <c r="L209">
        <v>12</v>
      </c>
      <c r="O209">
        <v>5623.5</v>
      </c>
      <c r="P209">
        <v>5623.5</v>
      </c>
    </row>
    <row r="210" spans="12:17" x14ac:dyDescent="0.25">
      <c r="L210">
        <v>8</v>
      </c>
      <c r="O210">
        <v>4479</v>
      </c>
      <c r="P210">
        <v>4479</v>
      </c>
    </row>
    <row r="211" spans="12:17" x14ac:dyDescent="0.25">
      <c r="L211">
        <v>18</v>
      </c>
      <c r="O211">
        <v>6156</v>
      </c>
      <c r="P211">
        <v>6156</v>
      </c>
    </row>
    <row r="212" spans="12:17" x14ac:dyDescent="0.25">
      <c r="L212">
        <v>15</v>
      </c>
      <c r="O212">
        <v>5818.5</v>
      </c>
      <c r="P212">
        <v>5818.5</v>
      </c>
    </row>
    <row r="213" spans="12:17" x14ac:dyDescent="0.25">
      <c r="L213">
        <v>12</v>
      </c>
      <c r="O213">
        <v>5074.5</v>
      </c>
      <c r="P213">
        <v>5074.5</v>
      </c>
    </row>
    <row r="214" spans="12:17" x14ac:dyDescent="0.25">
      <c r="L214">
        <v>9</v>
      </c>
      <c r="O214">
        <v>4242</v>
      </c>
      <c r="P214">
        <v>4242</v>
      </c>
    </row>
    <row r="215" spans="12:17" x14ac:dyDescent="0.25">
      <c r="L215">
        <v>6</v>
      </c>
      <c r="O215">
        <v>3429</v>
      </c>
      <c r="P215">
        <v>3429</v>
      </c>
    </row>
    <row r="216" spans="12:17" x14ac:dyDescent="0.25">
      <c r="L216">
        <v>38</v>
      </c>
      <c r="Q216">
        <v>8454</v>
      </c>
    </row>
    <row r="217" spans="12:17" x14ac:dyDescent="0.25">
      <c r="L217">
        <v>34</v>
      </c>
      <c r="Q217">
        <v>7726.8</v>
      </c>
    </row>
    <row r="218" spans="12:17" x14ac:dyDescent="0.25">
      <c r="L218">
        <v>26</v>
      </c>
      <c r="Q218">
        <v>6454.8</v>
      </c>
    </row>
    <row r="219" spans="12:17" x14ac:dyDescent="0.25">
      <c r="L219">
        <v>22</v>
      </c>
      <c r="Q219">
        <v>5954</v>
      </c>
    </row>
    <row r="220" spans="12:17" x14ac:dyDescent="0.25">
      <c r="L220">
        <v>18</v>
      </c>
      <c r="Q220">
        <v>5000.3999999999996</v>
      </c>
    </row>
    <row r="221" spans="12:17" x14ac:dyDescent="0.25">
      <c r="L221">
        <v>15</v>
      </c>
      <c r="Q221">
        <v>3808.8</v>
      </c>
    </row>
    <row r="222" spans="12:17" x14ac:dyDescent="0.25">
      <c r="L222">
        <v>12</v>
      </c>
      <c r="Q222">
        <v>3572.4</v>
      </c>
    </row>
    <row r="223" spans="12:17" x14ac:dyDescent="0.25">
      <c r="L223">
        <v>10</v>
      </c>
      <c r="Q223">
        <v>3445.2</v>
      </c>
    </row>
    <row r="224" spans="12:17" x14ac:dyDescent="0.25">
      <c r="L224">
        <v>9.15</v>
      </c>
      <c r="Q224">
        <v>3428.4</v>
      </c>
    </row>
    <row r="225" spans="1:17" x14ac:dyDescent="0.25">
      <c r="L225">
        <v>7.15</v>
      </c>
      <c r="Q225">
        <v>2696.4</v>
      </c>
    </row>
    <row r="226" spans="1:17" x14ac:dyDescent="0.25">
      <c r="L226">
        <v>5.7</v>
      </c>
      <c r="Q226">
        <v>2158.8000000000002</v>
      </c>
    </row>
    <row r="227" spans="1:17" x14ac:dyDescent="0.25">
      <c r="L227">
        <v>4.8</v>
      </c>
      <c r="Q227">
        <v>1773.6</v>
      </c>
    </row>
    <row r="228" spans="1:17" x14ac:dyDescent="0.25">
      <c r="L228">
        <v>3.8</v>
      </c>
      <c r="Q228">
        <v>1383.6</v>
      </c>
    </row>
    <row r="229" spans="1:17" x14ac:dyDescent="0.25">
      <c r="L229">
        <v>2.8</v>
      </c>
      <c r="Q229">
        <v>1167.5999999999999</v>
      </c>
    </row>
    <row r="231" spans="1:17" x14ac:dyDescent="0.25">
      <c r="A231" t="s">
        <v>1601</v>
      </c>
    </row>
    <row r="233" spans="1:17" x14ac:dyDescent="0.25">
      <c r="B233">
        <v>1</v>
      </c>
      <c r="C233">
        <v>50</v>
      </c>
      <c r="E233" t="s">
        <v>1602</v>
      </c>
    </row>
    <row r="234" spans="1:17" x14ac:dyDescent="0.25">
      <c r="B234">
        <v>1.5</v>
      </c>
      <c r="C234">
        <v>70</v>
      </c>
      <c r="E234" s="4" t="s">
        <v>1603</v>
      </c>
    </row>
    <row r="235" spans="1:17" x14ac:dyDescent="0.25">
      <c r="B235">
        <v>1.5</v>
      </c>
      <c r="C235">
        <v>75</v>
      </c>
      <c r="E235" t="s">
        <v>1604</v>
      </c>
    </row>
    <row r="236" spans="1:17" x14ac:dyDescent="0.25">
      <c r="B236">
        <v>2</v>
      </c>
      <c r="C236">
        <v>105</v>
      </c>
    </row>
    <row r="237" spans="1:17" x14ac:dyDescent="0.25">
      <c r="B237">
        <v>2.5</v>
      </c>
      <c r="C237">
        <v>110</v>
      </c>
      <c r="E237" t="s">
        <v>1605</v>
      </c>
    </row>
    <row r="238" spans="1:17" x14ac:dyDescent="0.25">
      <c r="B238">
        <v>3</v>
      </c>
      <c r="C238">
        <v>120</v>
      </c>
    </row>
    <row r="239" spans="1:17" x14ac:dyDescent="0.25">
      <c r="B239">
        <v>3</v>
      </c>
      <c r="C239">
        <v>125</v>
      </c>
    </row>
    <row r="240" spans="1:17" x14ac:dyDescent="0.25">
      <c r="B240">
        <v>3</v>
      </c>
      <c r="C240">
        <v>155</v>
      </c>
    </row>
    <row r="241" spans="2:3" x14ac:dyDescent="0.25">
      <c r="B241">
        <v>4.5</v>
      </c>
      <c r="C241">
        <v>175</v>
      </c>
    </row>
    <row r="242" spans="2:3" x14ac:dyDescent="0.25">
      <c r="B242">
        <v>5</v>
      </c>
      <c r="C242">
        <v>190</v>
      </c>
    </row>
    <row r="243" spans="2:3" x14ac:dyDescent="0.25">
      <c r="B243">
        <v>5</v>
      </c>
      <c r="C243">
        <v>175</v>
      </c>
    </row>
    <row r="244" spans="2:3" x14ac:dyDescent="0.25">
      <c r="B244">
        <v>6</v>
      </c>
      <c r="C244">
        <v>230</v>
      </c>
    </row>
    <row r="245" spans="2:3" x14ac:dyDescent="0.25">
      <c r="B245">
        <v>6</v>
      </c>
      <c r="C245">
        <v>285</v>
      </c>
    </row>
    <row r="246" spans="2:3" x14ac:dyDescent="0.25">
      <c r="B246">
        <v>7.5</v>
      </c>
      <c r="C246">
        <v>350</v>
      </c>
    </row>
    <row r="247" spans="2:3" x14ac:dyDescent="0.25">
      <c r="B247">
        <v>8</v>
      </c>
      <c r="C247">
        <v>300</v>
      </c>
    </row>
    <row r="248" spans="2:3" x14ac:dyDescent="0.25">
      <c r="B248">
        <v>9</v>
      </c>
      <c r="C248">
        <v>410</v>
      </c>
    </row>
    <row r="249" spans="2:3" x14ac:dyDescent="0.25">
      <c r="B249">
        <v>9</v>
      </c>
      <c r="C249">
        <v>300</v>
      </c>
    </row>
    <row r="250" spans="2:3" x14ac:dyDescent="0.25">
      <c r="B250">
        <v>12</v>
      </c>
      <c r="C250">
        <v>540</v>
      </c>
    </row>
    <row r="251" spans="2:3" x14ac:dyDescent="0.25">
      <c r="B251">
        <v>12</v>
      </c>
      <c r="C251">
        <v>400</v>
      </c>
    </row>
    <row r="252" spans="2:3" x14ac:dyDescent="0.25">
      <c r="B252">
        <v>15</v>
      </c>
      <c r="C252">
        <v>670</v>
      </c>
    </row>
    <row r="253" spans="2:3" x14ac:dyDescent="0.25">
      <c r="B253">
        <v>15</v>
      </c>
      <c r="C253">
        <v>490</v>
      </c>
    </row>
    <row r="254" spans="2:3" x14ac:dyDescent="0.25">
      <c r="B254">
        <v>15</v>
      </c>
      <c r="C254">
        <v>670</v>
      </c>
    </row>
    <row r="255" spans="2:3" x14ac:dyDescent="0.25">
      <c r="B255">
        <v>18</v>
      </c>
      <c r="C255">
        <v>590</v>
      </c>
    </row>
    <row r="256" spans="2:3" x14ac:dyDescent="0.25">
      <c r="B256">
        <v>18</v>
      </c>
      <c r="C256">
        <v>760</v>
      </c>
    </row>
    <row r="257" spans="2:3" x14ac:dyDescent="0.25">
      <c r="B257">
        <v>22</v>
      </c>
      <c r="C257">
        <v>710</v>
      </c>
    </row>
    <row r="258" spans="2:3" x14ac:dyDescent="0.25">
      <c r="B258">
        <v>22</v>
      </c>
      <c r="C258">
        <v>880</v>
      </c>
    </row>
    <row r="259" spans="2:3" x14ac:dyDescent="0.25">
      <c r="B259">
        <v>25</v>
      </c>
      <c r="C259">
        <v>1100</v>
      </c>
    </row>
    <row r="260" spans="2:3" x14ac:dyDescent="0.25">
      <c r="B260">
        <v>27</v>
      </c>
      <c r="C260">
        <v>875</v>
      </c>
    </row>
    <row r="261" spans="2:3" x14ac:dyDescent="0.25">
      <c r="B261">
        <v>27</v>
      </c>
      <c r="C261">
        <v>1030</v>
      </c>
    </row>
    <row r="262" spans="2:3" x14ac:dyDescent="0.25">
      <c r="B262">
        <v>30</v>
      </c>
      <c r="C262">
        <v>975</v>
      </c>
    </row>
    <row r="263" spans="2:3" x14ac:dyDescent="0.25">
      <c r="B263">
        <v>30</v>
      </c>
      <c r="C263">
        <v>1150</v>
      </c>
    </row>
    <row r="264" spans="2:3" x14ac:dyDescent="0.25">
      <c r="B264">
        <v>40</v>
      </c>
      <c r="C264">
        <v>1440</v>
      </c>
    </row>
    <row r="265" spans="2:3" x14ac:dyDescent="0.25">
      <c r="B265">
        <v>50</v>
      </c>
      <c r="C265">
        <v>1705</v>
      </c>
    </row>
    <row r="266" spans="2:3" x14ac:dyDescent="0.25">
      <c r="B266">
        <v>50</v>
      </c>
      <c r="C266">
        <v>1825</v>
      </c>
    </row>
    <row r="267" spans="2:3" x14ac:dyDescent="0.25">
      <c r="B267">
        <v>60</v>
      </c>
      <c r="C267">
        <v>2000</v>
      </c>
    </row>
    <row r="268" spans="2:3" x14ac:dyDescent="0.25">
      <c r="B268">
        <v>70</v>
      </c>
      <c r="C268">
        <v>2300</v>
      </c>
    </row>
    <row r="269" spans="2:3" x14ac:dyDescent="0.25">
      <c r="B269">
        <v>80</v>
      </c>
      <c r="C269">
        <v>2700</v>
      </c>
    </row>
    <row r="270" spans="2:3" x14ac:dyDescent="0.25">
      <c r="B270">
        <v>84</v>
      </c>
      <c r="C270">
        <v>2700</v>
      </c>
    </row>
  </sheetData>
  <sortState xmlns:xlrd2="http://schemas.microsoft.com/office/spreadsheetml/2017/richdata2" ref="B233:C270">
    <sortCondition ref="B233:B270"/>
  </sortState>
  <hyperlinks>
    <hyperlink ref="H144" r:id="rId1" xr:uid="{A6394BAA-BD4E-4AF5-BEE5-37F649B9C812}"/>
    <hyperlink ref="H145" r:id="rId2" xr:uid="{C9231809-BC47-4A3E-9618-D8EC1CCC3995}"/>
    <hyperlink ref="E234" r:id="rId3" display="https://www.tanksforeverything.co.uk/waste-water/cesspools/premier-tech-3000-litre-cesspool-cp3-p" xr:uid="{CB958BE1-0B59-42CE-8CAA-5B02C1D7C36E}"/>
  </hyperlinks>
  <pageMargins left="0.7" right="0.7" top="0.75" bottom="0.75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18698-7E2B-4BC4-A70C-3F124CA51078}">
  <sheetPr>
    <tabColor rgb="FFFF0000"/>
  </sheetPr>
  <dimension ref="A2:CA318"/>
  <sheetViews>
    <sheetView zoomScale="60" zoomScaleNormal="60" workbookViewId="0">
      <selection activeCell="C13" sqref="C13"/>
    </sheetView>
  </sheetViews>
  <sheetFormatPr defaultRowHeight="15" x14ac:dyDescent="0.25"/>
  <cols>
    <col min="1" max="1" width="9" bestFit="1" customWidth="1"/>
    <col min="9" max="9" width="11.5703125" bestFit="1" customWidth="1"/>
    <col min="16" max="16" width="9.5703125" customWidth="1"/>
    <col min="19" max="19" width="9.140625" style="18"/>
    <col min="22" max="22" width="18" customWidth="1"/>
    <col min="23" max="23" width="10.85546875" customWidth="1"/>
    <col min="25" max="25" width="11.5703125" bestFit="1" customWidth="1"/>
    <col min="30" max="30" width="9.140625" customWidth="1"/>
    <col min="31" max="31" width="24.42578125" customWidth="1"/>
    <col min="36" max="36" width="18.28515625" customWidth="1"/>
    <col min="64" max="64" width="14.7109375" bestFit="1" customWidth="1"/>
  </cols>
  <sheetData>
    <row r="2" spans="2:52" x14ac:dyDescent="0.25">
      <c r="C2" t="s">
        <v>598</v>
      </c>
      <c r="F2" t="s">
        <v>601</v>
      </c>
      <c r="J2" t="s">
        <v>603</v>
      </c>
      <c r="O2" t="s">
        <v>603</v>
      </c>
    </row>
    <row r="3" spans="2:52" x14ac:dyDescent="0.25">
      <c r="B3" t="s">
        <v>399</v>
      </c>
      <c r="C3">
        <v>213.33333333333334</v>
      </c>
      <c r="D3" t="s">
        <v>599</v>
      </c>
      <c r="F3" t="s">
        <v>374</v>
      </c>
      <c r="G3">
        <v>80</v>
      </c>
      <c r="H3" t="s">
        <v>404</v>
      </c>
      <c r="J3" t="s">
        <v>399</v>
      </c>
      <c r="K3">
        <v>66.13333333333334</v>
      </c>
      <c r="L3" t="s">
        <v>599</v>
      </c>
      <c r="O3" t="s">
        <v>374</v>
      </c>
      <c r="P3">
        <f>K3*P8</f>
        <v>24.800000000000004</v>
      </c>
      <c r="Q3" t="s">
        <v>404</v>
      </c>
      <c r="V3" t="s">
        <v>604</v>
      </c>
    </row>
    <row r="4" spans="2:52" x14ac:dyDescent="0.25">
      <c r="B4" t="s">
        <v>371</v>
      </c>
      <c r="C4">
        <v>400</v>
      </c>
      <c r="D4" t="s">
        <v>599</v>
      </c>
      <c r="F4" t="s">
        <v>371</v>
      </c>
      <c r="G4">
        <v>150</v>
      </c>
      <c r="H4" t="s">
        <v>404</v>
      </c>
      <c r="J4" t="s">
        <v>371</v>
      </c>
      <c r="K4">
        <v>204</v>
      </c>
      <c r="L4" t="s">
        <v>599</v>
      </c>
      <c r="O4" t="s">
        <v>371</v>
      </c>
      <c r="P4">
        <f>K4*P8</f>
        <v>76.5</v>
      </c>
      <c r="Q4" t="s">
        <v>404</v>
      </c>
      <c r="V4" t="s">
        <v>156</v>
      </c>
      <c r="W4">
        <v>5</v>
      </c>
      <c r="X4">
        <v>10</v>
      </c>
      <c r="Y4">
        <v>20</v>
      </c>
      <c r="Z4">
        <v>30</v>
      </c>
      <c r="AA4">
        <v>50</v>
      </c>
      <c r="AB4">
        <v>75</v>
      </c>
      <c r="AC4">
        <v>100</v>
      </c>
      <c r="AD4">
        <v>150</v>
      </c>
      <c r="AE4">
        <v>200</v>
      </c>
      <c r="AF4">
        <v>300</v>
      </c>
      <c r="AG4">
        <v>400</v>
      </c>
      <c r="AH4">
        <v>500</v>
      </c>
      <c r="AI4">
        <v>600</v>
      </c>
      <c r="AJ4">
        <v>700</v>
      </c>
      <c r="AK4">
        <v>800</v>
      </c>
      <c r="AL4">
        <v>1000</v>
      </c>
    </row>
    <row r="5" spans="2:52" x14ac:dyDescent="0.25">
      <c r="B5" t="s">
        <v>358</v>
      </c>
      <c r="C5">
        <v>160</v>
      </c>
      <c r="D5" t="s">
        <v>599</v>
      </c>
      <c r="F5" t="s">
        <v>358</v>
      </c>
      <c r="G5">
        <v>60</v>
      </c>
      <c r="H5" t="s">
        <v>404</v>
      </c>
      <c r="J5" t="s">
        <v>358</v>
      </c>
      <c r="K5">
        <v>81.599999999999994</v>
      </c>
      <c r="L5" t="s">
        <v>599</v>
      </c>
      <c r="O5" t="s">
        <v>358</v>
      </c>
      <c r="P5">
        <f>K5*P8</f>
        <v>30.599999999999998</v>
      </c>
      <c r="Q5" t="s">
        <v>404</v>
      </c>
      <c r="V5" t="s">
        <v>618</v>
      </c>
      <c r="AO5" t="s">
        <v>683</v>
      </c>
    </row>
    <row r="6" spans="2:52" x14ac:dyDescent="0.25">
      <c r="B6" t="s">
        <v>600</v>
      </c>
      <c r="C6">
        <v>20</v>
      </c>
      <c r="D6" t="s">
        <v>599</v>
      </c>
      <c r="F6" t="s">
        <v>401</v>
      </c>
      <c r="G6">
        <v>7.5</v>
      </c>
      <c r="H6" t="s">
        <v>404</v>
      </c>
      <c r="J6" t="s">
        <v>600</v>
      </c>
      <c r="K6">
        <v>26.6</v>
      </c>
      <c r="L6" t="s">
        <v>599</v>
      </c>
      <c r="O6" t="s">
        <v>401</v>
      </c>
      <c r="P6">
        <f>K6*P8</f>
        <v>9.9750000000000014</v>
      </c>
      <c r="Q6" t="s">
        <v>404</v>
      </c>
      <c r="V6" t="s">
        <v>150</v>
      </c>
    </row>
    <row r="7" spans="2:52" x14ac:dyDescent="0.25">
      <c r="V7" t="s">
        <v>116</v>
      </c>
      <c r="AO7" s="28"/>
      <c r="AV7" s="29"/>
    </row>
    <row r="8" spans="2:52" x14ac:dyDescent="0.25">
      <c r="F8" t="s">
        <v>333</v>
      </c>
      <c r="G8">
        <v>0.375</v>
      </c>
      <c r="H8" t="s">
        <v>602</v>
      </c>
      <c r="O8" t="s">
        <v>333</v>
      </c>
      <c r="P8">
        <f>G8</f>
        <v>0.375</v>
      </c>
      <c r="Q8" t="s">
        <v>602</v>
      </c>
      <c r="AO8" s="76"/>
      <c r="AP8" s="78"/>
      <c r="AQ8" s="78"/>
      <c r="AR8" s="78"/>
      <c r="AS8" s="78"/>
      <c r="AT8" s="78"/>
      <c r="AU8" s="78"/>
      <c r="AV8" s="82"/>
      <c r="AY8" s="81"/>
      <c r="AZ8" t="s">
        <v>684</v>
      </c>
    </row>
    <row r="9" spans="2:52" x14ac:dyDescent="0.25">
      <c r="P9">
        <f>0.6</f>
        <v>0.6</v>
      </c>
      <c r="AO9" s="76"/>
      <c r="AP9" s="78"/>
      <c r="AQ9" s="78"/>
      <c r="AR9" s="78"/>
      <c r="AS9" s="78"/>
      <c r="AT9" s="78"/>
      <c r="AU9" s="78"/>
      <c r="AV9" s="82"/>
    </row>
    <row r="10" spans="2:52" x14ac:dyDescent="0.25">
      <c r="AO10" s="76"/>
      <c r="AP10" s="78"/>
      <c r="AQ10" s="78"/>
      <c r="AR10" s="78"/>
      <c r="AS10" s="78"/>
      <c r="AT10" s="78"/>
      <c r="AU10" s="78"/>
      <c r="AV10" s="82"/>
      <c r="AY10" s="78"/>
      <c r="AZ10" t="s">
        <v>685</v>
      </c>
    </row>
    <row r="11" spans="2:52" ht="15.75" thickBot="1" x14ac:dyDescent="0.3">
      <c r="C11" s="65" t="s">
        <v>593</v>
      </c>
      <c r="D11" t="s">
        <v>604</v>
      </c>
      <c r="P11">
        <f>P9*20</f>
        <v>12</v>
      </c>
      <c r="AO11" s="76"/>
      <c r="AP11" s="78"/>
      <c r="AQ11" s="78"/>
      <c r="AR11" s="78"/>
      <c r="AS11" s="78"/>
      <c r="AT11" s="78"/>
      <c r="AU11" s="78"/>
      <c r="AV11" s="82"/>
    </row>
    <row r="12" spans="2:52" ht="33" thickBot="1" x14ac:dyDescent="0.3">
      <c r="B12" s="62" t="s">
        <v>594</v>
      </c>
      <c r="C12" s="62">
        <v>8</v>
      </c>
      <c r="D12" s="27">
        <v>18</v>
      </c>
      <c r="K12">
        <f>K3*P8*AC18</f>
        <v>2480.0000000000005</v>
      </c>
      <c r="V12" t="s">
        <v>614</v>
      </c>
      <c r="AO12" s="76"/>
      <c r="AP12" s="78"/>
      <c r="AQ12" s="78"/>
      <c r="AR12" s="78"/>
      <c r="AS12" s="78"/>
      <c r="AT12" s="78"/>
      <c r="AU12" s="78"/>
      <c r="AV12" s="82"/>
    </row>
    <row r="13" spans="2:52" ht="33" thickBot="1" x14ac:dyDescent="0.3">
      <c r="B13" s="66" t="s">
        <v>595</v>
      </c>
      <c r="C13" s="66">
        <v>10</v>
      </c>
      <c r="D13" s="67">
        <v>15</v>
      </c>
      <c r="U13" t="s">
        <v>610</v>
      </c>
      <c r="V13" t="s">
        <v>611</v>
      </c>
      <c r="W13" t="s">
        <v>612</v>
      </c>
      <c r="AO13" s="77"/>
      <c r="AP13" s="79"/>
      <c r="AQ13" s="79"/>
      <c r="AR13" s="79"/>
      <c r="AS13" s="79"/>
      <c r="AT13" s="79"/>
      <c r="AU13" s="79"/>
      <c r="AV13" s="80"/>
      <c r="AW13" t="s">
        <v>686</v>
      </c>
    </row>
    <row r="14" spans="2:52" ht="33" thickBot="1" x14ac:dyDescent="0.3">
      <c r="B14" s="66" t="s">
        <v>596</v>
      </c>
      <c r="C14" s="66">
        <v>15</v>
      </c>
      <c r="D14" s="67">
        <v>5</v>
      </c>
      <c r="U14" t="s">
        <v>399</v>
      </c>
      <c r="V14" t="s">
        <v>613</v>
      </c>
      <c r="W14" t="s">
        <v>612</v>
      </c>
    </row>
    <row r="15" spans="2:52" ht="33" customHeight="1" thickBot="1" x14ac:dyDescent="0.3">
      <c r="B15" s="64" t="s">
        <v>597</v>
      </c>
      <c r="C15" s="64">
        <v>0.12</v>
      </c>
      <c r="D15" s="63">
        <v>0.4</v>
      </c>
      <c r="AO15" t="s">
        <v>687</v>
      </c>
      <c r="AV15" t="s">
        <v>687</v>
      </c>
    </row>
    <row r="16" spans="2:52" x14ac:dyDescent="0.25">
      <c r="AV16" t="s">
        <v>688</v>
      </c>
    </row>
    <row r="17" spans="1:79" x14ac:dyDescent="0.25">
      <c r="B17" s="65" t="s">
        <v>593</v>
      </c>
      <c r="W17" t="s">
        <v>604</v>
      </c>
    </row>
    <row r="18" spans="1:79" ht="15.75" thickBot="1" x14ac:dyDescent="0.3">
      <c r="A18" t="s">
        <v>665</v>
      </c>
      <c r="B18">
        <v>5</v>
      </c>
      <c r="C18">
        <v>10</v>
      </c>
      <c r="D18">
        <v>20</v>
      </c>
      <c r="E18">
        <v>30</v>
      </c>
      <c r="F18">
        <v>50</v>
      </c>
      <c r="G18">
        <v>75</v>
      </c>
      <c r="H18">
        <v>100</v>
      </c>
      <c r="I18">
        <v>150</v>
      </c>
      <c r="J18">
        <v>200</v>
      </c>
      <c r="K18">
        <v>300</v>
      </c>
      <c r="L18">
        <v>400</v>
      </c>
      <c r="M18">
        <v>500</v>
      </c>
      <c r="N18">
        <v>600</v>
      </c>
      <c r="O18">
        <v>700</v>
      </c>
      <c r="P18">
        <v>800</v>
      </c>
      <c r="Q18">
        <v>1000</v>
      </c>
      <c r="W18">
        <v>5</v>
      </c>
      <c r="X18">
        <v>10</v>
      </c>
      <c r="Y18">
        <v>20</v>
      </c>
      <c r="Z18">
        <v>30</v>
      </c>
      <c r="AA18">
        <v>50</v>
      </c>
      <c r="AB18">
        <v>75</v>
      </c>
      <c r="AC18">
        <v>100</v>
      </c>
      <c r="AD18">
        <v>150</v>
      </c>
      <c r="AE18">
        <v>200</v>
      </c>
      <c r="AF18">
        <v>300</v>
      </c>
      <c r="AG18">
        <v>400</v>
      </c>
      <c r="AH18">
        <v>500</v>
      </c>
      <c r="AI18">
        <v>600</v>
      </c>
      <c r="AJ18">
        <v>700</v>
      </c>
      <c r="AK18">
        <v>800</v>
      </c>
      <c r="AL18">
        <v>1000</v>
      </c>
    </row>
    <row r="19" spans="1:79" ht="18" thickBot="1" x14ac:dyDescent="0.3">
      <c r="A19" s="62" t="s">
        <v>666</v>
      </c>
      <c r="B19">
        <f>($P3*B$18)/$C12</f>
        <v>15.500000000000004</v>
      </c>
      <c r="C19">
        <f t="shared" ref="C19:Q19" si="0">($P3*C$18)/$C12</f>
        <v>31.000000000000007</v>
      </c>
      <c r="D19">
        <f t="shared" si="0"/>
        <v>62.000000000000014</v>
      </c>
      <c r="E19">
        <f t="shared" si="0"/>
        <v>93.000000000000014</v>
      </c>
      <c r="F19">
        <f t="shared" si="0"/>
        <v>155.00000000000003</v>
      </c>
      <c r="G19">
        <f t="shared" si="0"/>
        <v>232.50000000000003</v>
      </c>
      <c r="H19">
        <f t="shared" si="0"/>
        <v>310.00000000000006</v>
      </c>
      <c r="I19">
        <f t="shared" si="0"/>
        <v>465.00000000000006</v>
      </c>
      <c r="J19">
        <f t="shared" si="0"/>
        <v>620.00000000000011</v>
      </c>
      <c r="K19">
        <f t="shared" si="0"/>
        <v>930.00000000000011</v>
      </c>
      <c r="L19">
        <f t="shared" si="0"/>
        <v>1240.0000000000002</v>
      </c>
      <c r="M19">
        <f t="shared" si="0"/>
        <v>1550.0000000000002</v>
      </c>
      <c r="N19">
        <f t="shared" si="0"/>
        <v>1860.0000000000002</v>
      </c>
      <c r="O19">
        <f t="shared" si="0"/>
        <v>2170.0000000000005</v>
      </c>
      <c r="P19">
        <f t="shared" si="0"/>
        <v>2480.0000000000005</v>
      </c>
      <c r="Q19">
        <f t="shared" si="0"/>
        <v>3100.0000000000005</v>
      </c>
      <c r="V19" s="62" t="s">
        <v>594</v>
      </c>
      <c r="W19">
        <f>($P3*W$18)/$D12</f>
        <v>6.8888888888888902</v>
      </c>
      <c r="X19">
        <f t="shared" ref="X19:AL19" si="1">($P3*X$18)/$D12</f>
        <v>13.77777777777778</v>
      </c>
      <c r="Y19">
        <f t="shared" si="1"/>
        <v>27.555555555555561</v>
      </c>
      <c r="Z19">
        <f t="shared" si="1"/>
        <v>41.333333333333343</v>
      </c>
      <c r="AA19">
        <f t="shared" si="1"/>
        <v>68.8888888888889</v>
      </c>
      <c r="AB19">
        <f t="shared" si="1"/>
        <v>103.33333333333334</v>
      </c>
      <c r="AC19">
        <f t="shared" si="1"/>
        <v>137.7777777777778</v>
      </c>
      <c r="AD19">
        <f t="shared" si="1"/>
        <v>206.66666666666669</v>
      </c>
      <c r="AE19">
        <f t="shared" si="1"/>
        <v>275.5555555555556</v>
      </c>
      <c r="AF19">
        <f t="shared" si="1"/>
        <v>413.33333333333337</v>
      </c>
      <c r="AG19">
        <f t="shared" si="1"/>
        <v>551.1111111111112</v>
      </c>
      <c r="AH19">
        <f t="shared" si="1"/>
        <v>688.88888888888903</v>
      </c>
      <c r="AI19">
        <f t="shared" si="1"/>
        <v>826.66666666666674</v>
      </c>
      <c r="AJ19">
        <f t="shared" si="1"/>
        <v>964.44444444444468</v>
      </c>
      <c r="AK19">
        <f t="shared" si="1"/>
        <v>1102.2222222222224</v>
      </c>
      <c r="AL19">
        <f t="shared" si="1"/>
        <v>1377.7777777777781</v>
      </c>
    </row>
    <row r="20" spans="1:79" ht="30.75" thickBot="1" x14ac:dyDescent="0.3">
      <c r="A20" s="66" t="s">
        <v>667</v>
      </c>
      <c r="B20">
        <f>($P5*B$18)/$C13</f>
        <v>15.3</v>
      </c>
      <c r="C20">
        <f t="shared" ref="C20:Q20" si="2">($P5*C$18)/$C13</f>
        <v>30.6</v>
      </c>
      <c r="D20">
        <f t="shared" si="2"/>
        <v>61.2</v>
      </c>
      <c r="E20">
        <f t="shared" si="2"/>
        <v>91.799999999999983</v>
      </c>
      <c r="F20">
        <f t="shared" si="2"/>
        <v>153</v>
      </c>
      <c r="G20">
        <f t="shared" si="2"/>
        <v>229.5</v>
      </c>
      <c r="H20">
        <f t="shared" si="2"/>
        <v>306</v>
      </c>
      <c r="I20">
        <f t="shared" si="2"/>
        <v>459</v>
      </c>
      <c r="J20">
        <f t="shared" si="2"/>
        <v>612</v>
      </c>
      <c r="K20">
        <f t="shared" si="2"/>
        <v>918</v>
      </c>
      <c r="L20">
        <f t="shared" si="2"/>
        <v>1224</v>
      </c>
      <c r="M20">
        <f t="shared" si="2"/>
        <v>1529.9999999999998</v>
      </c>
      <c r="N20">
        <f t="shared" si="2"/>
        <v>1836</v>
      </c>
      <c r="O20">
        <f t="shared" si="2"/>
        <v>2142</v>
      </c>
      <c r="P20">
        <f t="shared" si="2"/>
        <v>2448</v>
      </c>
      <c r="Q20">
        <f t="shared" si="2"/>
        <v>3059.9999999999995</v>
      </c>
      <c r="V20" s="66" t="s">
        <v>595</v>
      </c>
      <c r="W20" s="72">
        <f>($P5*W$18)/$D13</f>
        <v>10.199999999999999</v>
      </c>
      <c r="X20" s="72">
        <f t="shared" ref="X20:AL20" si="3">($P5*X$18)/$D13</f>
        <v>20.399999999999999</v>
      </c>
      <c r="Y20" s="72">
        <f t="shared" si="3"/>
        <v>40.799999999999997</v>
      </c>
      <c r="Z20" s="72">
        <f t="shared" si="3"/>
        <v>61.199999999999996</v>
      </c>
      <c r="AA20" s="72">
        <f t="shared" si="3"/>
        <v>102</v>
      </c>
      <c r="AB20" s="72">
        <f t="shared" si="3"/>
        <v>153</v>
      </c>
      <c r="AC20" s="72">
        <f t="shared" si="3"/>
        <v>204</v>
      </c>
      <c r="AD20" s="72">
        <f t="shared" si="3"/>
        <v>306</v>
      </c>
      <c r="AE20" s="72">
        <f t="shared" si="3"/>
        <v>408</v>
      </c>
      <c r="AF20" s="72">
        <f t="shared" si="3"/>
        <v>612</v>
      </c>
      <c r="AG20" s="72">
        <f t="shared" si="3"/>
        <v>816</v>
      </c>
      <c r="AH20" s="72">
        <f t="shared" si="3"/>
        <v>1019.9999999999999</v>
      </c>
      <c r="AI20" s="72">
        <f t="shared" si="3"/>
        <v>1224</v>
      </c>
      <c r="AJ20" s="72">
        <f t="shared" si="3"/>
        <v>1428</v>
      </c>
      <c r="AK20" s="72">
        <f t="shared" si="3"/>
        <v>1632</v>
      </c>
      <c r="AL20" s="72">
        <f t="shared" si="3"/>
        <v>2039.9999999999998</v>
      </c>
    </row>
    <row r="21" spans="1:79" ht="30.75" thickBot="1" x14ac:dyDescent="0.3">
      <c r="A21" s="66" t="s">
        <v>668</v>
      </c>
      <c r="B21">
        <f>($P6*B$18)/$C14</f>
        <v>3.3250000000000006</v>
      </c>
      <c r="C21">
        <f t="shared" ref="C21:Q21" si="4">($P6*C$18)/$C14</f>
        <v>6.6500000000000012</v>
      </c>
      <c r="D21">
        <f t="shared" si="4"/>
        <v>13.300000000000002</v>
      </c>
      <c r="E21">
        <f t="shared" si="4"/>
        <v>19.950000000000003</v>
      </c>
      <c r="F21">
        <f t="shared" si="4"/>
        <v>33.250000000000007</v>
      </c>
      <c r="G21">
        <f t="shared" si="4"/>
        <v>49.875000000000007</v>
      </c>
      <c r="H21">
        <f t="shared" si="4"/>
        <v>66.500000000000014</v>
      </c>
      <c r="I21">
        <f t="shared" si="4"/>
        <v>99.750000000000014</v>
      </c>
      <c r="J21">
        <f t="shared" si="4"/>
        <v>133.00000000000003</v>
      </c>
      <c r="K21">
        <f t="shared" si="4"/>
        <v>199.50000000000003</v>
      </c>
      <c r="L21">
        <f t="shared" si="4"/>
        <v>266.00000000000006</v>
      </c>
      <c r="M21">
        <f t="shared" si="4"/>
        <v>332.50000000000006</v>
      </c>
      <c r="N21">
        <f t="shared" si="4"/>
        <v>399.00000000000006</v>
      </c>
      <c r="O21">
        <f t="shared" si="4"/>
        <v>465.50000000000006</v>
      </c>
      <c r="P21">
        <f t="shared" si="4"/>
        <v>532.00000000000011</v>
      </c>
      <c r="Q21">
        <f t="shared" si="4"/>
        <v>665.00000000000011</v>
      </c>
      <c r="V21" s="66" t="s">
        <v>596</v>
      </c>
      <c r="W21">
        <f>($P6*W$18)/$D14</f>
        <v>9.9750000000000014</v>
      </c>
      <c r="X21">
        <f t="shared" ref="X21:AL21" si="5">($P6*X$18)/$D14</f>
        <v>19.950000000000003</v>
      </c>
      <c r="Y21">
        <f t="shared" si="5"/>
        <v>39.900000000000006</v>
      </c>
      <c r="Z21">
        <f t="shared" si="5"/>
        <v>59.850000000000009</v>
      </c>
      <c r="AA21">
        <f t="shared" si="5"/>
        <v>99.750000000000014</v>
      </c>
      <c r="AB21">
        <f t="shared" si="5"/>
        <v>149.62500000000003</v>
      </c>
      <c r="AC21">
        <f t="shared" si="5"/>
        <v>199.50000000000003</v>
      </c>
      <c r="AD21">
        <f t="shared" si="5"/>
        <v>299.25000000000006</v>
      </c>
      <c r="AE21">
        <f t="shared" si="5"/>
        <v>399.00000000000006</v>
      </c>
      <c r="AF21">
        <f t="shared" si="5"/>
        <v>598.50000000000011</v>
      </c>
      <c r="AG21">
        <f t="shared" si="5"/>
        <v>798.00000000000011</v>
      </c>
      <c r="AH21">
        <f t="shared" si="5"/>
        <v>997.50000000000023</v>
      </c>
      <c r="AI21">
        <f t="shared" si="5"/>
        <v>1197.0000000000002</v>
      </c>
      <c r="AJ21">
        <f t="shared" si="5"/>
        <v>1396.5000000000002</v>
      </c>
      <c r="AK21">
        <f t="shared" si="5"/>
        <v>1596.0000000000002</v>
      </c>
      <c r="AL21">
        <f t="shared" si="5"/>
        <v>1995.0000000000005</v>
      </c>
    </row>
    <row r="22" spans="1:79" ht="30.75" customHeight="1" thickBot="1" x14ac:dyDescent="0.3">
      <c r="A22" s="64" t="s">
        <v>669</v>
      </c>
      <c r="B22" s="72">
        <f>($P9*B$18)/$C15</f>
        <v>25</v>
      </c>
      <c r="C22" s="72">
        <f t="shared" ref="C22:Q22" si="6">($P9*C$18)/$C15</f>
        <v>50</v>
      </c>
      <c r="D22" s="72">
        <f t="shared" si="6"/>
        <v>100</v>
      </c>
      <c r="E22" s="72">
        <f t="shared" si="6"/>
        <v>150</v>
      </c>
      <c r="F22" s="72">
        <f t="shared" si="6"/>
        <v>250</v>
      </c>
      <c r="G22" s="72">
        <f t="shared" si="6"/>
        <v>375</v>
      </c>
      <c r="H22" s="72">
        <f t="shared" si="6"/>
        <v>500</v>
      </c>
      <c r="I22" s="72">
        <f t="shared" si="6"/>
        <v>750</v>
      </c>
      <c r="J22" s="72">
        <f t="shared" si="6"/>
        <v>1000</v>
      </c>
      <c r="K22" s="72">
        <f t="shared" si="6"/>
        <v>1500</v>
      </c>
      <c r="L22" s="72">
        <f t="shared" si="6"/>
        <v>2000</v>
      </c>
      <c r="M22" s="72">
        <f t="shared" si="6"/>
        <v>2500</v>
      </c>
      <c r="N22" s="72">
        <f t="shared" si="6"/>
        <v>3000</v>
      </c>
      <c r="O22" s="72">
        <f t="shared" si="6"/>
        <v>3500</v>
      </c>
      <c r="P22" s="72">
        <f t="shared" si="6"/>
        <v>4000</v>
      </c>
      <c r="Q22" s="72">
        <f t="shared" si="6"/>
        <v>5000</v>
      </c>
      <c r="V22" s="64" t="s">
        <v>597</v>
      </c>
      <c r="W22">
        <f>($P9*W$18)/$D15</f>
        <v>7.5</v>
      </c>
      <c r="X22">
        <f t="shared" ref="X22:AL22" si="7">($P9*X$18)/$D15</f>
        <v>15</v>
      </c>
      <c r="Y22">
        <f>($P9*Y$18)/$D15</f>
        <v>30</v>
      </c>
      <c r="Z22">
        <f t="shared" si="7"/>
        <v>45</v>
      </c>
      <c r="AA22">
        <f t="shared" si="7"/>
        <v>75</v>
      </c>
      <c r="AB22">
        <f t="shared" si="7"/>
        <v>112.5</v>
      </c>
      <c r="AC22">
        <f t="shared" si="7"/>
        <v>150</v>
      </c>
      <c r="AD22">
        <f t="shared" si="7"/>
        <v>225</v>
      </c>
      <c r="AE22">
        <f t="shared" si="7"/>
        <v>300</v>
      </c>
      <c r="AF22">
        <f t="shared" si="7"/>
        <v>450</v>
      </c>
      <c r="AG22">
        <f t="shared" si="7"/>
        <v>600</v>
      </c>
      <c r="AH22">
        <f t="shared" si="7"/>
        <v>750</v>
      </c>
      <c r="AI22">
        <f t="shared" si="7"/>
        <v>900</v>
      </c>
      <c r="AJ22">
        <f t="shared" si="7"/>
        <v>1050</v>
      </c>
      <c r="AK22">
        <f t="shared" si="7"/>
        <v>1200</v>
      </c>
      <c r="AL22">
        <f t="shared" si="7"/>
        <v>1500</v>
      </c>
      <c r="AO22" t="s">
        <v>627</v>
      </c>
    </row>
    <row r="24" spans="1:79" ht="30" x14ac:dyDescent="0.25">
      <c r="A24" s="65" t="s">
        <v>605</v>
      </c>
      <c r="B24">
        <f>LARGE(B19:B22,1)</f>
        <v>25</v>
      </c>
      <c r="C24">
        <f t="shared" ref="C24:Q24" si="8">LARGE(C19:C22,1)</f>
        <v>50</v>
      </c>
      <c r="D24">
        <f t="shared" si="8"/>
        <v>100</v>
      </c>
      <c r="E24">
        <f t="shared" si="8"/>
        <v>150</v>
      </c>
      <c r="F24">
        <f t="shared" si="8"/>
        <v>250</v>
      </c>
      <c r="G24">
        <f t="shared" si="8"/>
        <v>375</v>
      </c>
      <c r="H24">
        <f t="shared" si="8"/>
        <v>500</v>
      </c>
      <c r="I24">
        <f t="shared" si="8"/>
        <v>750</v>
      </c>
      <c r="J24">
        <f t="shared" si="8"/>
        <v>1000</v>
      </c>
      <c r="K24">
        <f t="shared" si="8"/>
        <v>1500</v>
      </c>
      <c r="L24">
        <f t="shared" si="8"/>
        <v>2000</v>
      </c>
      <c r="M24">
        <f t="shared" si="8"/>
        <v>2500</v>
      </c>
      <c r="N24">
        <f t="shared" si="8"/>
        <v>3000</v>
      </c>
      <c r="O24">
        <f t="shared" si="8"/>
        <v>3500</v>
      </c>
      <c r="P24">
        <f t="shared" si="8"/>
        <v>4000</v>
      </c>
      <c r="Q24">
        <f t="shared" si="8"/>
        <v>5000</v>
      </c>
      <c r="V24" s="65" t="s">
        <v>605</v>
      </c>
      <c r="W24">
        <f>LARGE(W19:W22,1)</f>
        <v>10.199999999999999</v>
      </c>
      <c r="X24">
        <f t="shared" ref="X24:AL24" si="9">LARGE(X19:X22,1)</f>
        <v>20.399999999999999</v>
      </c>
      <c r="Y24">
        <f t="shared" si="9"/>
        <v>40.799999999999997</v>
      </c>
      <c r="Z24">
        <f t="shared" si="9"/>
        <v>61.199999999999996</v>
      </c>
      <c r="AA24">
        <f t="shared" si="9"/>
        <v>102</v>
      </c>
      <c r="AB24">
        <f t="shared" si="9"/>
        <v>153</v>
      </c>
      <c r="AC24">
        <f>LARGE(AC19:AC22,1)</f>
        <v>204</v>
      </c>
      <c r="AD24">
        <f t="shared" si="9"/>
        <v>306</v>
      </c>
      <c r="AE24">
        <f t="shared" si="9"/>
        <v>408</v>
      </c>
      <c r="AF24">
        <f t="shared" si="9"/>
        <v>612</v>
      </c>
      <c r="AG24">
        <f t="shared" si="9"/>
        <v>816</v>
      </c>
      <c r="AH24">
        <f t="shared" si="9"/>
        <v>1019.9999999999999</v>
      </c>
      <c r="AI24">
        <f t="shared" si="9"/>
        <v>1224</v>
      </c>
      <c r="AJ24" s="6">
        <f t="shared" si="9"/>
        <v>1428</v>
      </c>
      <c r="AK24">
        <f t="shared" si="9"/>
        <v>1632</v>
      </c>
      <c r="AL24">
        <f t="shared" si="9"/>
        <v>2039.9999999999998</v>
      </c>
      <c r="AO24" t="s">
        <v>691</v>
      </c>
    </row>
    <row r="25" spans="1:79" x14ac:dyDescent="0.25">
      <c r="W25">
        <f>W20/W18</f>
        <v>2.04</v>
      </c>
      <c r="X25">
        <f t="shared" ref="X25:AL25" si="10">X20/X18</f>
        <v>2.04</v>
      </c>
      <c r="Y25">
        <f t="shared" si="10"/>
        <v>2.04</v>
      </c>
      <c r="Z25">
        <f t="shared" si="10"/>
        <v>2.04</v>
      </c>
      <c r="AA25">
        <f t="shared" si="10"/>
        <v>2.04</v>
      </c>
      <c r="AB25">
        <f t="shared" si="10"/>
        <v>2.04</v>
      </c>
      <c r="AC25">
        <f t="shared" si="10"/>
        <v>2.04</v>
      </c>
      <c r="AD25">
        <f t="shared" si="10"/>
        <v>2.04</v>
      </c>
      <c r="AE25">
        <f t="shared" si="10"/>
        <v>2.04</v>
      </c>
      <c r="AF25">
        <f t="shared" si="10"/>
        <v>2.04</v>
      </c>
      <c r="AG25">
        <f t="shared" si="10"/>
        <v>2.04</v>
      </c>
      <c r="AH25">
        <f t="shared" si="10"/>
        <v>2.0399999999999996</v>
      </c>
      <c r="AI25">
        <f t="shared" si="10"/>
        <v>2.04</v>
      </c>
      <c r="AJ25">
        <f t="shared" si="10"/>
        <v>2.04</v>
      </c>
      <c r="AK25">
        <f t="shared" si="10"/>
        <v>2.04</v>
      </c>
      <c r="AL25">
        <f t="shared" si="10"/>
        <v>2.0399999999999996</v>
      </c>
      <c r="AO25" t="s">
        <v>692</v>
      </c>
      <c r="AP25">
        <v>0.5</v>
      </c>
    </row>
    <row r="26" spans="1:79" x14ac:dyDescent="0.25">
      <c r="V26" s="65" t="s">
        <v>681</v>
      </c>
      <c r="AO26" t="s">
        <v>689</v>
      </c>
    </row>
    <row r="28" spans="1:79" x14ac:dyDescent="0.25">
      <c r="A28" t="s">
        <v>593</v>
      </c>
      <c r="V28" t="s">
        <v>604</v>
      </c>
      <c r="AO28" t="s">
        <v>535</v>
      </c>
    </row>
    <row r="29" spans="1:79" x14ac:dyDescent="0.25">
      <c r="A29" t="s">
        <v>156</v>
      </c>
      <c r="B29">
        <v>5</v>
      </c>
      <c r="C29">
        <v>10</v>
      </c>
      <c r="D29">
        <v>20</v>
      </c>
      <c r="E29">
        <v>30</v>
      </c>
      <c r="F29">
        <v>50</v>
      </c>
      <c r="G29">
        <v>75</v>
      </c>
      <c r="H29">
        <v>100</v>
      </c>
      <c r="I29">
        <v>150</v>
      </c>
      <c r="J29">
        <v>200</v>
      </c>
      <c r="K29">
        <v>300</v>
      </c>
      <c r="L29">
        <v>400</v>
      </c>
      <c r="M29">
        <v>500</v>
      </c>
      <c r="N29">
        <v>600</v>
      </c>
      <c r="O29">
        <v>700</v>
      </c>
      <c r="P29">
        <v>800</v>
      </c>
      <c r="Q29">
        <v>1000</v>
      </c>
      <c r="V29" t="s">
        <v>156</v>
      </c>
      <c r="W29">
        <v>5</v>
      </c>
      <c r="X29">
        <v>10</v>
      </c>
      <c r="Y29">
        <v>20</v>
      </c>
      <c r="Z29">
        <v>30</v>
      </c>
      <c r="AA29">
        <v>50</v>
      </c>
      <c r="AB29">
        <v>75</v>
      </c>
      <c r="AC29">
        <v>100</v>
      </c>
      <c r="AD29">
        <v>150</v>
      </c>
      <c r="AE29">
        <v>200</v>
      </c>
      <c r="AF29">
        <v>300</v>
      </c>
      <c r="AG29">
        <v>400</v>
      </c>
      <c r="AH29">
        <v>500</v>
      </c>
      <c r="AI29">
        <v>600</v>
      </c>
      <c r="AJ29">
        <v>700</v>
      </c>
      <c r="AK29">
        <v>800</v>
      </c>
      <c r="AL29">
        <v>1000</v>
      </c>
      <c r="AO29" s="10" t="s">
        <v>156</v>
      </c>
      <c r="AP29" s="10">
        <v>5</v>
      </c>
      <c r="AQ29" s="10">
        <v>10</v>
      </c>
      <c r="AR29" s="10">
        <v>20</v>
      </c>
      <c r="AS29" s="10">
        <v>30</v>
      </c>
      <c r="AT29" s="10">
        <v>50</v>
      </c>
      <c r="AU29" s="10">
        <v>75</v>
      </c>
      <c r="AV29" s="10">
        <v>100</v>
      </c>
      <c r="AW29" s="10">
        <v>150</v>
      </c>
      <c r="AX29" s="10">
        <v>200</v>
      </c>
      <c r="AY29" s="10">
        <v>300</v>
      </c>
      <c r="AZ29" s="10">
        <v>400</v>
      </c>
      <c r="BA29" s="10">
        <v>500</v>
      </c>
      <c r="BB29" s="10">
        <v>600</v>
      </c>
      <c r="BC29" s="10">
        <v>700</v>
      </c>
      <c r="BD29" s="10">
        <v>800</v>
      </c>
      <c r="BE29" s="10">
        <v>1000</v>
      </c>
      <c r="BK29" t="s">
        <v>112</v>
      </c>
    </row>
    <row r="30" spans="1:79" x14ac:dyDescent="0.25">
      <c r="A30" t="s">
        <v>618</v>
      </c>
      <c r="B30">
        <v>1</v>
      </c>
      <c r="C30">
        <v>1</v>
      </c>
      <c r="D30">
        <v>1</v>
      </c>
      <c r="E30">
        <v>1</v>
      </c>
      <c r="F30">
        <v>1</v>
      </c>
      <c r="G30">
        <v>1</v>
      </c>
      <c r="H30">
        <v>1</v>
      </c>
      <c r="I30">
        <v>2</v>
      </c>
      <c r="J30">
        <v>2</v>
      </c>
      <c r="K30">
        <v>3</v>
      </c>
      <c r="L30">
        <v>4</v>
      </c>
      <c r="M30">
        <v>4</v>
      </c>
      <c r="N30">
        <v>5</v>
      </c>
      <c r="O30">
        <v>6</v>
      </c>
      <c r="P30">
        <v>7</v>
      </c>
      <c r="Q30">
        <v>8</v>
      </c>
      <c r="V30" t="s">
        <v>618</v>
      </c>
      <c r="W30">
        <v>1</v>
      </c>
      <c r="X30">
        <v>1</v>
      </c>
      <c r="Y30">
        <v>1</v>
      </c>
      <c r="Z30">
        <v>1</v>
      </c>
      <c r="AA30">
        <v>1</v>
      </c>
      <c r="AB30">
        <v>2</v>
      </c>
      <c r="AC30">
        <v>2</v>
      </c>
      <c r="AD30">
        <v>2</v>
      </c>
      <c r="AE30">
        <v>3</v>
      </c>
      <c r="AF30">
        <v>4</v>
      </c>
      <c r="AG30">
        <v>6</v>
      </c>
      <c r="AH30">
        <v>7</v>
      </c>
      <c r="AI30">
        <v>8</v>
      </c>
      <c r="AJ30">
        <v>10</v>
      </c>
      <c r="AK30">
        <v>11</v>
      </c>
      <c r="AL30">
        <v>14</v>
      </c>
      <c r="BK30" t="s">
        <v>623</v>
      </c>
    </row>
    <row r="31" spans="1:79" x14ac:dyDescent="0.25">
      <c r="A31" t="s">
        <v>150</v>
      </c>
      <c r="B31">
        <v>5</v>
      </c>
      <c r="C31">
        <v>7.0710678118654755</v>
      </c>
      <c r="D31">
        <v>10</v>
      </c>
      <c r="E31">
        <v>12.24744871391589</v>
      </c>
      <c r="F31">
        <v>15.811388300841896</v>
      </c>
      <c r="G31">
        <v>19.364916731037084</v>
      </c>
      <c r="H31">
        <v>22.360679774997898</v>
      </c>
      <c r="I31">
        <v>19.364916731037084</v>
      </c>
      <c r="J31">
        <v>22.360679774997898</v>
      </c>
      <c r="K31">
        <v>22.360679774997898</v>
      </c>
      <c r="L31">
        <v>22.360679774997898</v>
      </c>
      <c r="M31">
        <v>25</v>
      </c>
      <c r="N31">
        <v>24.494897427831781</v>
      </c>
      <c r="O31">
        <v>24.152294576982399</v>
      </c>
      <c r="P31">
        <v>23.904572186687872</v>
      </c>
      <c r="Q31">
        <v>25</v>
      </c>
      <c r="V31" t="s">
        <v>150</v>
      </c>
      <c r="W31" s="7">
        <v>1.8439088914585775</v>
      </c>
      <c r="X31" s="7">
        <v>2.6076809620810595</v>
      </c>
      <c r="Y31" s="7">
        <v>3.687817782917155</v>
      </c>
      <c r="Z31" s="7">
        <v>4.5166359162544856</v>
      </c>
      <c r="AA31" s="7">
        <v>5.8309518948453007</v>
      </c>
      <c r="AB31" s="7">
        <v>3.5707142142714252</v>
      </c>
      <c r="AC31" s="7">
        <v>4.1231056256176606</v>
      </c>
      <c r="AD31" s="7">
        <v>6.12</v>
      </c>
      <c r="AE31">
        <v>5.44</v>
      </c>
      <c r="AF31">
        <v>6.12</v>
      </c>
      <c r="AG31" s="7">
        <v>5.44</v>
      </c>
      <c r="AH31" s="7">
        <v>5.8285714285714283</v>
      </c>
      <c r="AI31" s="7">
        <v>6.12</v>
      </c>
      <c r="AJ31" s="7">
        <v>5.7119999999999997</v>
      </c>
      <c r="AK31" s="7">
        <v>5.9345454545454546</v>
      </c>
      <c r="AL31" s="7">
        <v>5.8285714285714283</v>
      </c>
      <c r="AO31" t="s">
        <v>150</v>
      </c>
      <c r="AP31">
        <f>$AP$25*2</f>
        <v>1</v>
      </c>
      <c r="AQ31">
        <f t="shared" ref="AQ31:BE31" si="11">$AP$25*2</f>
        <v>1</v>
      </c>
      <c r="AR31">
        <f t="shared" si="11"/>
        <v>1</v>
      </c>
      <c r="AS31">
        <f t="shared" si="11"/>
        <v>1</v>
      </c>
      <c r="AT31">
        <f t="shared" si="11"/>
        <v>1</v>
      </c>
      <c r="AU31">
        <f t="shared" si="11"/>
        <v>1</v>
      </c>
      <c r="AV31">
        <f t="shared" si="11"/>
        <v>1</v>
      </c>
      <c r="AW31">
        <f t="shared" si="11"/>
        <v>1</v>
      </c>
      <c r="AX31">
        <f t="shared" si="11"/>
        <v>1</v>
      </c>
      <c r="AY31">
        <f t="shared" si="11"/>
        <v>1</v>
      </c>
      <c r="AZ31">
        <f t="shared" si="11"/>
        <v>1</v>
      </c>
      <c r="BA31">
        <f t="shared" si="11"/>
        <v>1</v>
      </c>
      <c r="BB31">
        <f t="shared" si="11"/>
        <v>1</v>
      </c>
      <c r="BC31">
        <f t="shared" si="11"/>
        <v>1</v>
      </c>
      <c r="BD31">
        <f t="shared" si="11"/>
        <v>1</v>
      </c>
      <c r="BE31">
        <f t="shared" si="11"/>
        <v>1</v>
      </c>
      <c r="BK31" s="10" t="s">
        <v>156</v>
      </c>
      <c r="BL31" s="10">
        <v>5</v>
      </c>
      <c r="BM31" s="10">
        <v>10</v>
      </c>
      <c r="BN31" s="10">
        <v>20</v>
      </c>
      <c r="BO31" s="10">
        <v>30</v>
      </c>
      <c r="BP31" s="10">
        <v>50</v>
      </c>
      <c r="BQ31" s="10">
        <v>75</v>
      </c>
      <c r="BR31" s="10">
        <v>100</v>
      </c>
      <c r="BS31" s="10">
        <v>150</v>
      </c>
      <c r="BT31" s="10">
        <v>200</v>
      </c>
      <c r="BU31" s="10">
        <v>300</v>
      </c>
      <c r="BV31" s="10">
        <v>400</v>
      </c>
      <c r="BW31" s="10">
        <v>500</v>
      </c>
      <c r="BX31" s="10">
        <v>600</v>
      </c>
      <c r="BY31" s="10">
        <v>700</v>
      </c>
      <c r="BZ31" s="10">
        <v>800</v>
      </c>
      <c r="CA31" s="10">
        <v>1000</v>
      </c>
    </row>
    <row r="32" spans="1:79" x14ac:dyDescent="0.25">
      <c r="A32" t="s">
        <v>116</v>
      </c>
      <c r="B32">
        <v>5</v>
      </c>
      <c r="C32">
        <v>7.0710678118654755</v>
      </c>
      <c r="D32">
        <v>10</v>
      </c>
      <c r="E32">
        <v>12.24744871391589</v>
      </c>
      <c r="F32">
        <v>15.811388300841896</v>
      </c>
      <c r="G32">
        <v>19.364916731037084</v>
      </c>
      <c r="H32">
        <v>22.360679774997898</v>
      </c>
      <c r="I32">
        <v>19.364916731037084</v>
      </c>
      <c r="J32">
        <v>22.360679774997898</v>
      </c>
      <c r="K32">
        <v>22.360679774997898</v>
      </c>
      <c r="L32">
        <v>22.360679774997898</v>
      </c>
      <c r="M32">
        <v>25</v>
      </c>
      <c r="N32">
        <v>24.494897427831781</v>
      </c>
      <c r="O32">
        <v>24.152294576982399</v>
      </c>
      <c r="P32">
        <v>23.904572186687872</v>
      </c>
      <c r="Q32">
        <v>25</v>
      </c>
      <c r="V32" t="s">
        <v>116</v>
      </c>
      <c r="W32" s="7">
        <v>5.531726674375733</v>
      </c>
      <c r="X32" s="7">
        <v>7.8230428862431785</v>
      </c>
      <c r="Y32" s="7">
        <v>11.063453348751466</v>
      </c>
      <c r="Z32" s="7">
        <v>13.549907748763456</v>
      </c>
      <c r="AA32" s="7">
        <v>17.492855684535904</v>
      </c>
      <c r="AB32" s="7">
        <v>21.42428528562855</v>
      </c>
      <c r="AC32" s="7">
        <v>24.738633753705962</v>
      </c>
      <c r="AD32">
        <v>25</v>
      </c>
      <c r="AE32">
        <v>25</v>
      </c>
      <c r="AF32">
        <v>25</v>
      </c>
      <c r="AG32">
        <v>25</v>
      </c>
      <c r="AH32">
        <v>25</v>
      </c>
      <c r="AI32">
        <v>25</v>
      </c>
      <c r="AJ32">
        <v>25</v>
      </c>
      <c r="AK32">
        <v>25</v>
      </c>
      <c r="AL32">
        <v>25</v>
      </c>
      <c r="BK32" s="10" t="s">
        <v>148</v>
      </c>
      <c r="BL32">
        <f>AP38*AP39+AP38*0.9*2+AP39*0.9*2</f>
        <v>31.54</v>
      </c>
      <c r="BM32">
        <f t="shared" ref="BM32:CA32" si="12">X31*X32+X31*0.9*2+X32*0.9*2</f>
        <v>39.175302926983626</v>
      </c>
      <c r="BN32">
        <f t="shared" si="12"/>
        <v>67.352288037003518</v>
      </c>
      <c r="BO32">
        <f t="shared" si="12"/>
        <v>93.719778597032288</v>
      </c>
      <c r="BP32">
        <f t="shared" si="12"/>
        <v>143.98285364288617</v>
      </c>
      <c r="BQ32">
        <f t="shared" si="12"/>
        <v>121.49099909981996</v>
      </c>
      <c r="BR32">
        <f t="shared" si="12"/>
        <v>153.95113088278254</v>
      </c>
      <c r="BS32">
        <f t="shared" si="12"/>
        <v>209.01599999999999</v>
      </c>
      <c r="BT32">
        <f t="shared" si="12"/>
        <v>190.792</v>
      </c>
      <c r="BU32">
        <f t="shared" si="12"/>
        <v>209.01599999999999</v>
      </c>
      <c r="BV32">
        <f t="shared" si="12"/>
        <v>190.792</v>
      </c>
      <c r="BW32">
        <f t="shared" si="12"/>
        <v>201.20571428571427</v>
      </c>
      <c r="BX32">
        <f t="shared" si="12"/>
        <v>209.01599999999999</v>
      </c>
      <c r="BY32">
        <f t="shared" si="12"/>
        <v>198.08159999999998</v>
      </c>
      <c r="BZ32">
        <f t="shared" si="12"/>
        <v>204.04581818181819</v>
      </c>
      <c r="CA32">
        <f t="shared" si="12"/>
        <v>201.20571428571427</v>
      </c>
    </row>
    <row r="33" spans="1:79" x14ac:dyDescent="0.25">
      <c r="BK33" s="10" t="s">
        <v>67</v>
      </c>
      <c r="BL33">
        <f>0.3*AP38*2+W32*0.3*2</f>
        <v>5.0590360046254403</v>
      </c>
      <c r="BM33">
        <f t="shared" ref="BM33:CA33" si="13">0.3*X31*2+X32*0.3*2</f>
        <v>6.2584343089945422</v>
      </c>
      <c r="BN33">
        <f t="shared" si="13"/>
        <v>8.8507626790011713</v>
      </c>
      <c r="BO33">
        <f t="shared" si="13"/>
        <v>10.839926199010765</v>
      </c>
      <c r="BP33">
        <f t="shared" si="13"/>
        <v>13.994284547628723</v>
      </c>
      <c r="BQ33">
        <f t="shared" si="13"/>
        <v>14.996999699939984</v>
      </c>
      <c r="BR33">
        <f t="shared" si="13"/>
        <v>17.31704362759417</v>
      </c>
      <c r="BS33">
        <f t="shared" si="13"/>
        <v>18.672000000000001</v>
      </c>
      <c r="BT33">
        <f t="shared" si="13"/>
        <v>18.263999999999999</v>
      </c>
      <c r="BU33">
        <f t="shared" si="13"/>
        <v>18.672000000000001</v>
      </c>
      <c r="BV33">
        <f t="shared" si="13"/>
        <v>18.263999999999999</v>
      </c>
      <c r="BW33">
        <f t="shared" si="13"/>
        <v>18.497142857142858</v>
      </c>
      <c r="BX33">
        <f t="shared" si="13"/>
        <v>18.672000000000001</v>
      </c>
      <c r="BY33">
        <f t="shared" si="13"/>
        <v>18.427199999999999</v>
      </c>
      <c r="BZ33">
        <f t="shared" si="13"/>
        <v>18.560727272727274</v>
      </c>
      <c r="CA33">
        <f t="shared" si="13"/>
        <v>18.497142857142858</v>
      </c>
    </row>
    <row r="34" spans="1:79" x14ac:dyDescent="0.25">
      <c r="A34" t="s">
        <v>682</v>
      </c>
      <c r="V34" t="s">
        <v>682</v>
      </c>
      <c r="BK34" s="10" t="s">
        <v>624</v>
      </c>
    </row>
    <row r="35" spans="1:79" x14ac:dyDescent="0.25">
      <c r="BK35" s="10" t="s">
        <v>626</v>
      </c>
      <c r="BL35">
        <f>BL32+BL33</f>
        <v>36.599036004625439</v>
      </c>
      <c r="BM35">
        <f t="shared" ref="BM35:CA35" si="14">BM32+BM33</f>
        <v>45.433737235978171</v>
      </c>
      <c r="BN35">
        <f t="shared" si="14"/>
        <v>76.203050716004697</v>
      </c>
      <c r="BO35">
        <f t="shared" si="14"/>
        <v>104.55970479604305</v>
      </c>
      <c r="BP35">
        <f t="shared" si="14"/>
        <v>157.97713819051489</v>
      </c>
      <c r="BQ35">
        <f t="shared" si="14"/>
        <v>136.48799879975994</v>
      </c>
      <c r="BR35">
        <f t="shared" si="14"/>
        <v>171.2681745103767</v>
      </c>
      <c r="BS35">
        <f t="shared" si="14"/>
        <v>227.68799999999999</v>
      </c>
      <c r="BT35">
        <f t="shared" si="14"/>
        <v>209.05600000000001</v>
      </c>
      <c r="BU35">
        <f t="shared" si="14"/>
        <v>227.68799999999999</v>
      </c>
      <c r="BV35">
        <f t="shared" si="14"/>
        <v>209.05600000000001</v>
      </c>
      <c r="BW35">
        <f t="shared" si="14"/>
        <v>219.70285714285711</v>
      </c>
      <c r="BX35">
        <f t="shared" si="14"/>
        <v>227.68799999999999</v>
      </c>
      <c r="BY35">
        <f t="shared" si="14"/>
        <v>216.50879999999998</v>
      </c>
      <c r="BZ35">
        <f t="shared" si="14"/>
        <v>222.60654545454545</v>
      </c>
      <c r="CA35">
        <f t="shared" si="14"/>
        <v>219.70285714285711</v>
      </c>
    </row>
    <row r="36" spans="1:79" x14ac:dyDescent="0.25">
      <c r="A36" t="s">
        <v>156</v>
      </c>
      <c r="B36">
        <v>5</v>
      </c>
      <c r="C36">
        <v>10</v>
      </c>
      <c r="D36">
        <v>20</v>
      </c>
      <c r="E36">
        <v>30</v>
      </c>
      <c r="F36">
        <v>50</v>
      </c>
      <c r="G36">
        <v>75</v>
      </c>
      <c r="H36">
        <v>100</v>
      </c>
      <c r="I36">
        <v>150</v>
      </c>
      <c r="J36">
        <v>200</v>
      </c>
      <c r="K36">
        <v>300</v>
      </c>
      <c r="L36">
        <v>400</v>
      </c>
      <c r="M36">
        <v>500</v>
      </c>
      <c r="N36">
        <v>600</v>
      </c>
      <c r="O36">
        <v>700</v>
      </c>
      <c r="P36">
        <v>800</v>
      </c>
      <c r="Q36">
        <v>1000</v>
      </c>
      <c r="V36" t="s">
        <v>156</v>
      </c>
      <c r="W36">
        <v>5</v>
      </c>
      <c r="X36">
        <v>10</v>
      </c>
      <c r="Y36">
        <v>20</v>
      </c>
      <c r="Z36">
        <v>30</v>
      </c>
      <c r="AA36">
        <v>50</v>
      </c>
      <c r="AB36">
        <v>75</v>
      </c>
      <c r="AC36">
        <v>100</v>
      </c>
      <c r="AD36">
        <v>150</v>
      </c>
      <c r="AE36">
        <v>200</v>
      </c>
      <c r="AF36">
        <v>300</v>
      </c>
      <c r="AG36">
        <v>400</v>
      </c>
      <c r="AH36">
        <v>500</v>
      </c>
      <c r="AI36">
        <v>600</v>
      </c>
      <c r="AJ36">
        <v>700</v>
      </c>
      <c r="AK36">
        <v>800</v>
      </c>
      <c r="AL36">
        <v>1000</v>
      </c>
      <c r="AO36" s="10" t="s">
        <v>156</v>
      </c>
      <c r="AP36" s="10">
        <v>5</v>
      </c>
      <c r="AQ36" s="10">
        <v>10</v>
      </c>
      <c r="AR36" s="10">
        <v>20</v>
      </c>
      <c r="AS36" s="10">
        <v>30</v>
      </c>
      <c r="AT36" s="10">
        <v>50</v>
      </c>
      <c r="AU36" s="10">
        <v>75</v>
      </c>
      <c r="AV36" s="10">
        <v>100</v>
      </c>
      <c r="AW36" s="10">
        <v>150</v>
      </c>
      <c r="AX36" s="10">
        <v>200</v>
      </c>
      <c r="AY36" s="10">
        <v>300</v>
      </c>
      <c r="AZ36" s="10">
        <v>400</v>
      </c>
      <c r="BA36" s="10">
        <v>500</v>
      </c>
      <c r="BB36" s="10">
        <v>600</v>
      </c>
      <c r="BC36" s="10">
        <v>700</v>
      </c>
      <c r="BD36" s="10">
        <v>800</v>
      </c>
      <c r="BE36" s="10">
        <v>1000</v>
      </c>
      <c r="BK36" s="10"/>
    </row>
    <row r="37" spans="1:79" x14ac:dyDescent="0.25">
      <c r="A37" t="s">
        <v>618</v>
      </c>
      <c r="B37">
        <v>1</v>
      </c>
      <c r="C37">
        <v>1</v>
      </c>
      <c r="D37">
        <v>1</v>
      </c>
      <c r="E37">
        <v>1</v>
      </c>
      <c r="F37">
        <v>1</v>
      </c>
      <c r="G37">
        <v>1</v>
      </c>
      <c r="H37">
        <v>1</v>
      </c>
      <c r="I37">
        <v>2</v>
      </c>
      <c r="J37">
        <v>2</v>
      </c>
      <c r="K37">
        <v>3</v>
      </c>
      <c r="L37">
        <v>4</v>
      </c>
      <c r="M37">
        <v>4</v>
      </c>
      <c r="N37">
        <v>5</v>
      </c>
      <c r="O37">
        <v>6</v>
      </c>
      <c r="P37">
        <v>7</v>
      </c>
      <c r="Q37">
        <v>8</v>
      </c>
      <c r="V37" t="s">
        <v>618</v>
      </c>
      <c r="W37">
        <v>1</v>
      </c>
      <c r="X37">
        <v>1</v>
      </c>
      <c r="Y37">
        <v>1</v>
      </c>
      <c r="Z37">
        <v>1</v>
      </c>
      <c r="AA37">
        <v>1</v>
      </c>
      <c r="AB37">
        <v>2</v>
      </c>
      <c r="AC37">
        <v>2</v>
      </c>
      <c r="AD37">
        <v>2</v>
      </c>
      <c r="AE37">
        <v>3</v>
      </c>
      <c r="AF37">
        <v>4</v>
      </c>
      <c r="AG37">
        <v>6</v>
      </c>
      <c r="AH37">
        <v>7</v>
      </c>
      <c r="AI37">
        <v>8</v>
      </c>
      <c r="AJ37">
        <v>10</v>
      </c>
      <c r="AK37">
        <v>11</v>
      </c>
      <c r="AL37">
        <v>14</v>
      </c>
      <c r="AO37" s="10" t="s">
        <v>618</v>
      </c>
      <c r="AP37" s="10">
        <v>1</v>
      </c>
      <c r="AQ37" s="10">
        <v>1</v>
      </c>
      <c r="AR37" s="10">
        <v>1</v>
      </c>
      <c r="AS37" s="10">
        <v>1</v>
      </c>
      <c r="AT37" s="10">
        <v>1</v>
      </c>
      <c r="AU37" s="10">
        <v>2</v>
      </c>
      <c r="AV37" s="10">
        <v>2</v>
      </c>
      <c r="AW37" s="10">
        <v>2</v>
      </c>
      <c r="AX37" s="10">
        <v>3</v>
      </c>
      <c r="AY37" s="10">
        <v>4</v>
      </c>
      <c r="AZ37" s="10">
        <v>6</v>
      </c>
      <c r="BA37" s="10">
        <v>7</v>
      </c>
      <c r="BB37" s="10">
        <v>8</v>
      </c>
      <c r="BC37" s="10">
        <v>10</v>
      </c>
      <c r="BD37" s="10">
        <v>11</v>
      </c>
      <c r="BE37" s="10">
        <v>14</v>
      </c>
      <c r="BK37" s="10" t="s">
        <v>625</v>
      </c>
      <c r="BL37">
        <f>BL35*W30</f>
        <v>36.599036004625439</v>
      </c>
      <c r="BM37">
        <f t="shared" ref="BM37:CA37" si="15">BM35*X30</f>
        <v>45.433737235978171</v>
      </c>
      <c r="BN37">
        <f t="shared" si="15"/>
        <v>76.203050716004697</v>
      </c>
      <c r="BO37">
        <f>BO35*Z30</f>
        <v>104.55970479604305</v>
      </c>
      <c r="BP37">
        <f t="shared" si="15"/>
        <v>157.97713819051489</v>
      </c>
      <c r="BQ37">
        <f t="shared" si="15"/>
        <v>272.97599759951987</v>
      </c>
      <c r="BR37">
        <f t="shared" si="15"/>
        <v>342.53634902075339</v>
      </c>
      <c r="BS37">
        <f t="shared" si="15"/>
        <v>455.37599999999998</v>
      </c>
      <c r="BT37">
        <f t="shared" si="15"/>
        <v>627.16800000000001</v>
      </c>
      <c r="BU37">
        <f t="shared" si="15"/>
        <v>910.75199999999995</v>
      </c>
      <c r="BV37">
        <f t="shared" si="15"/>
        <v>1254.336</v>
      </c>
      <c r="BW37">
        <f t="shared" si="15"/>
        <v>1537.9199999999998</v>
      </c>
      <c r="BX37">
        <f t="shared" si="15"/>
        <v>1821.5039999999999</v>
      </c>
      <c r="BY37">
        <f t="shared" si="15"/>
        <v>2165.0879999999997</v>
      </c>
      <c r="BZ37">
        <f t="shared" si="15"/>
        <v>2448.672</v>
      </c>
      <c r="CA37">
        <f t="shared" si="15"/>
        <v>3075.8399999999997</v>
      </c>
    </row>
    <row r="38" spans="1:79" x14ac:dyDescent="0.25">
      <c r="A38" t="s">
        <v>150</v>
      </c>
      <c r="B38" s="7">
        <f>ROUNDUP(B31,1)</f>
        <v>5</v>
      </c>
      <c r="C38" s="7">
        <f t="shared" ref="C38:Q38" si="16">ROUNDUP(C31,1)</f>
        <v>7.1</v>
      </c>
      <c r="D38" s="7">
        <f t="shared" si="16"/>
        <v>10</v>
      </c>
      <c r="E38" s="7">
        <f t="shared" si="16"/>
        <v>12.299999999999999</v>
      </c>
      <c r="F38" s="7">
        <f t="shared" si="16"/>
        <v>15.9</v>
      </c>
      <c r="G38" s="7">
        <f t="shared" si="16"/>
        <v>19.400000000000002</v>
      </c>
      <c r="H38" s="7">
        <f t="shared" si="16"/>
        <v>22.400000000000002</v>
      </c>
      <c r="I38" s="7">
        <f t="shared" si="16"/>
        <v>19.400000000000002</v>
      </c>
      <c r="J38" s="7">
        <f t="shared" si="16"/>
        <v>22.400000000000002</v>
      </c>
      <c r="K38" s="7">
        <f t="shared" si="16"/>
        <v>22.400000000000002</v>
      </c>
      <c r="L38" s="7">
        <f t="shared" si="16"/>
        <v>22.400000000000002</v>
      </c>
      <c r="M38" s="7">
        <f t="shared" si="16"/>
        <v>25</v>
      </c>
      <c r="N38" s="7">
        <f t="shared" si="16"/>
        <v>24.5</v>
      </c>
      <c r="O38" s="7">
        <f t="shared" si="16"/>
        <v>24.200000000000003</v>
      </c>
      <c r="P38" s="7">
        <f t="shared" si="16"/>
        <v>24</v>
      </c>
      <c r="Q38" s="7">
        <f t="shared" si="16"/>
        <v>25</v>
      </c>
      <c r="V38" t="s">
        <v>150</v>
      </c>
      <c r="W38" s="7">
        <f>ROUNDUP(W31,1)</f>
        <v>1.9000000000000001</v>
      </c>
      <c r="X38" s="7">
        <f t="shared" ref="X38:AL38" si="17">ROUNDUP(X31,1)</f>
        <v>2.7</v>
      </c>
      <c r="Y38" s="7">
        <f t="shared" si="17"/>
        <v>3.7</v>
      </c>
      <c r="Z38" s="7">
        <f t="shared" si="17"/>
        <v>4.5999999999999996</v>
      </c>
      <c r="AA38" s="7">
        <f t="shared" si="17"/>
        <v>5.8999999999999995</v>
      </c>
      <c r="AB38" s="7">
        <f t="shared" si="17"/>
        <v>3.6</v>
      </c>
      <c r="AC38" s="7">
        <f t="shared" si="17"/>
        <v>4.1999999999999993</v>
      </c>
      <c r="AD38" s="7">
        <f t="shared" si="17"/>
        <v>6.1999999999999993</v>
      </c>
      <c r="AE38" s="7">
        <f t="shared" si="17"/>
        <v>5.5</v>
      </c>
      <c r="AF38" s="7">
        <f t="shared" si="17"/>
        <v>6.1999999999999993</v>
      </c>
      <c r="AG38" s="7">
        <f t="shared" si="17"/>
        <v>5.5</v>
      </c>
      <c r="AH38" s="7">
        <f t="shared" si="17"/>
        <v>5.8999999999999995</v>
      </c>
      <c r="AI38" s="7">
        <f t="shared" si="17"/>
        <v>6.1999999999999993</v>
      </c>
      <c r="AJ38" s="7">
        <f t="shared" si="17"/>
        <v>5.8</v>
      </c>
      <c r="AK38" s="7">
        <f t="shared" si="17"/>
        <v>6</v>
      </c>
      <c r="AL38" s="7">
        <f t="shared" si="17"/>
        <v>5.8999999999999995</v>
      </c>
      <c r="AO38" s="10" t="s">
        <v>150</v>
      </c>
      <c r="AP38" s="83">
        <f>W38+AP31</f>
        <v>2.9000000000000004</v>
      </c>
      <c r="AQ38" s="83">
        <f t="shared" ref="AQ38:BE38" si="18">X38+AQ31</f>
        <v>3.7</v>
      </c>
      <c r="AR38" s="83">
        <f t="shared" si="18"/>
        <v>4.7</v>
      </c>
      <c r="AS38" s="83">
        <f t="shared" si="18"/>
        <v>5.6</v>
      </c>
      <c r="AT38" s="83">
        <f t="shared" si="18"/>
        <v>6.8999999999999995</v>
      </c>
      <c r="AU38" s="83">
        <f t="shared" si="18"/>
        <v>4.5999999999999996</v>
      </c>
      <c r="AV38" s="83">
        <f t="shared" si="18"/>
        <v>5.1999999999999993</v>
      </c>
      <c r="AW38" s="83">
        <f t="shared" si="18"/>
        <v>7.1999999999999993</v>
      </c>
      <c r="AX38" s="83">
        <f t="shared" si="18"/>
        <v>6.5</v>
      </c>
      <c r="AY38" s="83">
        <f t="shared" si="18"/>
        <v>7.1999999999999993</v>
      </c>
      <c r="AZ38" s="83">
        <f t="shared" si="18"/>
        <v>6.5</v>
      </c>
      <c r="BA38" s="83">
        <f t="shared" si="18"/>
        <v>6.8999999999999995</v>
      </c>
      <c r="BB38" s="83">
        <f t="shared" si="18"/>
        <v>7.1999999999999993</v>
      </c>
      <c r="BC38" s="83">
        <f t="shared" si="18"/>
        <v>6.8</v>
      </c>
      <c r="BD38" s="83">
        <f t="shared" si="18"/>
        <v>7</v>
      </c>
      <c r="BE38" s="83">
        <f t="shared" si="18"/>
        <v>6.8999999999999995</v>
      </c>
    </row>
    <row r="39" spans="1:79" x14ac:dyDescent="0.25">
      <c r="A39" t="s">
        <v>116</v>
      </c>
      <c r="B39" s="7">
        <f>ROUNDUP(B32,1)</f>
        <v>5</v>
      </c>
      <c r="C39" s="7">
        <f t="shared" ref="C39:Q39" si="19">ROUNDUP(C32,1)</f>
        <v>7.1</v>
      </c>
      <c r="D39" s="7">
        <f t="shared" si="19"/>
        <v>10</v>
      </c>
      <c r="E39" s="7">
        <f t="shared" si="19"/>
        <v>12.299999999999999</v>
      </c>
      <c r="F39" s="7">
        <f t="shared" si="19"/>
        <v>15.9</v>
      </c>
      <c r="G39" s="7">
        <f t="shared" si="19"/>
        <v>19.400000000000002</v>
      </c>
      <c r="H39" s="7">
        <f t="shared" si="19"/>
        <v>22.400000000000002</v>
      </c>
      <c r="I39" s="7">
        <f t="shared" si="19"/>
        <v>19.400000000000002</v>
      </c>
      <c r="J39" s="7">
        <f t="shared" si="19"/>
        <v>22.400000000000002</v>
      </c>
      <c r="K39" s="7">
        <f t="shared" si="19"/>
        <v>22.400000000000002</v>
      </c>
      <c r="L39" s="7">
        <f t="shared" si="19"/>
        <v>22.400000000000002</v>
      </c>
      <c r="M39" s="7">
        <f t="shared" si="19"/>
        <v>25</v>
      </c>
      <c r="N39" s="7">
        <f t="shared" si="19"/>
        <v>24.5</v>
      </c>
      <c r="O39" s="7">
        <f t="shared" si="19"/>
        <v>24.200000000000003</v>
      </c>
      <c r="P39" s="7">
        <f t="shared" si="19"/>
        <v>24</v>
      </c>
      <c r="Q39" s="7">
        <f t="shared" si="19"/>
        <v>25</v>
      </c>
      <c r="V39" t="s">
        <v>116</v>
      </c>
      <c r="W39" s="7">
        <f>ROUNDUP(W32,1)</f>
        <v>5.6</v>
      </c>
      <c r="X39" s="7">
        <f t="shared" ref="X39:AL39" si="20">ROUNDUP(X32,1)</f>
        <v>7.8999999999999995</v>
      </c>
      <c r="Y39" s="7">
        <f t="shared" si="20"/>
        <v>11.1</v>
      </c>
      <c r="Z39" s="7">
        <f t="shared" si="20"/>
        <v>13.6</v>
      </c>
      <c r="AA39" s="7">
        <f t="shared" si="20"/>
        <v>17.5</v>
      </c>
      <c r="AB39" s="7">
        <f t="shared" si="20"/>
        <v>21.5</v>
      </c>
      <c r="AC39" s="7">
        <f t="shared" si="20"/>
        <v>24.8</v>
      </c>
      <c r="AD39" s="7">
        <f t="shared" si="20"/>
        <v>25</v>
      </c>
      <c r="AE39" s="7">
        <f t="shared" si="20"/>
        <v>25</v>
      </c>
      <c r="AF39" s="7">
        <f t="shared" si="20"/>
        <v>25</v>
      </c>
      <c r="AG39" s="7">
        <f t="shared" si="20"/>
        <v>25</v>
      </c>
      <c r="AH39" s="7">
        <f t="shared" si="20"/>
        <v>25</v>
      </c>
      <c r="AI39" s="7">
        <f t="shared" si="20"/>
        <v>25</v>
      </c>
      <c r="AJ39" s="7">
        <f t="shared" si="20"/>
        <v>25</v>
      </c>
      <c r="AK39" s="7">
        <f t="shared" si="20"/>
        <v>25</v>
      </c>
      <c r="AL39" s="7">
        <f t="shared" si="20"/>
        <v>25</v>
      </c>
      <c r="AO39" s="10" t="s">
        <v>116</v>
      </c>
      <c r="AP39" s="10">
        <v>5.6</v>
      </c>
      <c r="AQ39" s="10">
        <v>7.8999999999999995</v>
      </c>
      <c r="AR39" s="10">
        <v>11.1</v>
      </c>
      <c r="AS39" s="10">
        <v>13.6</v>
      </c>
      <c r="AT39" s="10">
        <v>17.5</v>
      </c>
      <c r="AU39" s="10">
        <v>21.5</v>
      </c>
      <c r="AV39" s="10">
        <v>24.8</v>
      </c>
      <c r="AW39" s="10">
        <v>25</v>
      </c>
      <c r="AX39" s="10">
        <v>25</v>
      </c>
      <c r="AY39" s="10">
        <v>25</v>
      </c>
      <c r="AZ39" s="10">
        <v>25</v>
      </c>
      <c r="BA39" s="10">
        <v>25</v>
      </c>
      <c r="BB39" s="10">
        <v>25</v>
      </c>
      <c r="BC39" s="10">
        <v>25</v>
      </c>
      <c r="BD39" s="10">
        <v>25</v>
      </c>
      <c r="BE39" s="10">
        <v>25</v>
      </c>
    </row>
    <row r="40" spans="1:79" x14ac:dyDescent="0.25">
      <c r="BK40" t="s">
        <v>627</v>
      </c>
    </row>
    <row r="41" spans="1:79" x14ac:dyDescent="0.25">
      <c r="B41">
        <f>B39*B38*B37</f>
        <v>25</v>
      </c>
      <c r="C41">
        <f t="shared" ref="C41:Q41" si="21">C39*C38*C37</f>
        <v>50.41</v>
      </c>
      <c r="D41">
        <f t="shared" si="21"/>
        <v>100</v>
      </c>
      <c r="E41">
        <f t="shared" si="21"/>
        <v>151.28999999999996</v>
      </c>
      <c r="F41">
        <f t="shared" si="21"/>
        <v>252.81</v>
      </c>
      <c r="G41">
        <f t="shared" si="21"/>
        <v>376.36000000000007</v>
      </c>
      <c r="H41">
        <f t="shared" si="21"/>
        <v>501.7600000000001</v>
      </c>
      <c r="I41">
        <f t="shared" si="21"/>
        <v>752.72000000000014</v>
      </c>
      <c r="J41">
        <f t="shared" si="21"/>
        <v>1003.5200000000002</v>
      </c>
      <c r="K41">
        <f t="shared" si="21"/>
        <v>1505.2800000000002</v>
      </c>
      <c r="L41">
        <f t="shared" si="21"/>
        <v>2007.0400000000004</v>
      </c>
      <c r="M41">
        <f t="shared" si="21"/>
        <v>2500</v>
      </c>
      <c r="N41">
        <f t="shared" si="21"/>
        <v>3001.25</v>
      </c>
      <c r="O41">
        <f t="shared" si="21"/>
        <v>3513.8400000000006</v>
      </c>
      <c r="P41">
        <f t="shared" si="21"/>
        <v>4032</v>
      </c>
      <c r="Q41">
        <f t="shared" si="21"/>
        <v>5000</v>
      </c>
      <c r="BK41" t="s">
        <v>149</v>
      </c>
      <c r="BL41">
        <f t="shared" ref="BL41:CA41" si="22">W31*W32*0.6</f>
        <v>6.12</v>
      </c>
      <c r="BM41">
        <f t="shared" si="22"/>
        <v>12.239999999999998</v>
      </c>
      <c r="BN41">
        <f t="shared" si="22"/>
        <v>24.48</v>
      </c>
      <c r="BO41">
        <f t="shared" si="22"/>
        <v>36.719999999999992</v>
      </c>
      <c r="BP41">
        <f t="shared" si="22"/>
        <v>61.2</v>
      </c>
      <c r="BQ41">
        <f t="shared" si="22"/>
        <v>45.9</v>
      </c>
      <c r="BR41">
        <f t="shared" si="22"/>
        <v>61.199999999999996</v>
      </c>
      <c r="BS41">
        <f t="shared" si="22"/>
        <v>91.8</v>
      </c>
      <c r="BT41">
        <f t="shared" si="22"/>
        <v>81.599999999999994</v>
      </c>
      <c r="BU41">
        <f t="shared" si="22"/>
        <v>91.8</v>
      </c>
      <c r="BV41">
        <f t="shared" si="22"/>
        <v>81.599999999999994</v>
      </c>
      <c r="BW41">
        <f t="shared" si="22"/>
        <v>87.428571428571416</v>
      </c>
      <c r="BX41">
        <f t="shared" si="22"/>
        <v>91.8</v>
      </c>
      <c r="BY41">
        <f t="shared" si="22"/>
        <v>85.679999999999993</v>
      </c>
      <c r="BZ41">
        <f t="shared" si="22"/>
        <v>89.018181818181816</v>
      </c>
      <c r="CA41">
        <f t="shared" si="22"/>
        <v>87.428571428571416</v>
      </c>
    </row>
    <row r="43" spans="1:79" x14ac:dyDescent="0.25">
      <c r="V43" t="s">
        <v>690</v>
      </c>
      <c r="X43">
        <v>12</v>
      </c>
      <c r="AO43" s="10"/>
      <c r="AP43" s="10" t="s">
        <v>125</v>
      </c>
      <c r="AQ43" s="10"/>
      <c r="AR43" s="10"/>
      <c r="AS43" s="10"/>
      <c r="AT43" s="10" t="s">
        <v>696</v>
      </c>
      <c r="AU43" s="10"/>
      <c r="AV43" s="10"/>
      <c r="AW43" s="10"/>
      <c r="AX43" s="10" t="s">
        <v>728</v>
      </c>
      <c r="AY43" s="10"/>
      <c r="AZ43" s="10"/>
      <c r="BA43" s="10"/>
      <c r="BB43" s="10"/>
      <c r="BC43" t="s">
        <v>112</v>
      </c>
      <c r="BD43" s="10"/>
      <c r="BE43" s="10"/>
      <c r="BK43" s="10" t="s">
        <v>625</v>
      </c>
      <c r="BL43">
        <f>BL41*W30</f>
        <v>6.12</v>
      </c>
      <c r="BM43">
        <f t="shared" ref="BM43:CA43" si="23">BM41*X30</f>
        <v>12.239999999999998</v>
      </c>
      <c r="BN43">
        <f t="shared" si="23"/>
        <v>24.48</v>
      </c>
      <c r="BO43">
        <f t="shared" si="23"/>
        <v>36.719999999999992</v>
      </c>
      <c r="BP43">
        <f t="shared" si="23"/>
        <v>61.2</v>
      </c>
      <c r="BQ43">
        <f t="shared" si="23"/>
        <v>91.8</v>
      </c>
      <c r="BR43">
        <f t="shared" si="23"/>
        <v>122.39999999999999</v>
      </c>
      <c r="BS43">
        <f t="shared" si="23"/>
        <v>183.6</v>
      </c>
      <c r="BT43">
        <f t="shared" si="23"/>
        <v>244.79999999999998</v>
      </c>
      <c r="BU43">
        <f t="shared" si="23"/>
        <v>367.2</v>
      </c>
      <c r="BV43">
        <f t="shared" si="23"/>
        <v>489.59999999999997</v>
      </c>
      <c r="BW43">
        <f t="shared" si="23"/>
        <v>611.99999999999989</v>
      </c>
      <c r="BX43">
        <f t="shared" si="23"/>
        <v>734.4</v>
      </c>
      <c r="BY43">
        <f t="shared" si="23"/>
        <v>856.8</v>
      </c>
      <c r="BZ43">
        <f t="shared" si="23"/>
        <v>979.19999999999993</v>
      </c>
      <c r="CA43">
        <f t="shared" si="23"/>
        <v>1223.9999999999998</v>
      </c>
    </row>
    <row r="45" spans="1:79" x14ac:dyDescent="0.25">
      <c r="AO45" s="10" t="s">
        <v>156</v>
      </c>
      <c r="AP45" s="10" t="s">
        <v>618</v>
      </c>
      <c r="AQ45" s="10" t="str">
        <f>AO38</f>
        <v>Length</v>
      </c>
      <c r="AR45" s="10" t="str">
        <f>AO39</f>
        <v>Width</v>
      </c>
      <c r="AT45" s="10" t="s">
        <v>150</v>
      </c>
      <c r="AU45" s="10" t="s">
        <v>116</v>
      </c>
      <c r="AX45" s="10" t="s">
        <v>719</v>
      </c>
      <c r="AY45" s="10" t="s">
        <v>720</v>
      </c>
      <c r="AZ45" s="10" t="s">
        <v>726</v>
      </c>
      <c r="BA45" s="10" t="s">
        <v>727</v>
      </c>
      <c r="BC45" s="10" t="s">
        <v>626</v>
      </c>
      <c r="BD45" s="10" t="s">
        <v>625</v>
      </c>
      <c r="BK45" s="10" t="s">
        <v>618</v>
      </c>
      <c r="BL45" s="10">
        <v>1</v>
      </c>
      <c r="BM45" s="10">
        <v>1</v>
      </c>
      <c r="BN45" s="10">
        <v>1</v>
      </c>
      <c r="BO45" s="10">
        <v>1</v>
      </c>
      <c r="BP45" s="10">
        <v>1</v>
      </c>
      <c r="BQ45" s="10">
        <v>2</v>
      </c>
      <c r="BR45" s="10">
        <v>2</v>
      </c>
      <c r="BS45" s="10">
        <v>2</v>
      </c>
      <c r="BT45" s="10">
        <v>3</v>
      </c>
      <c r="BU45" s="10">
        <v>4</v>
      </c>
      <c r="BV45" s="10">
        <v>6</v>
      </c>
      <c r="BW45" s="10">
        <v>7</v>
      </c>
      <c r="BX45" s="10">
        <v>8</v>
      </c>
      <c r="BY45" s="10">
        <v>10</v>
      </c>
      <c r="BZ45" s="10">
        <v>11</v>
      </c>
      <c r="CA45" s="10">
        <v>14</v>
      </c>
    </row>
    <row r="46" spans="1:79" x14ac:dyDescent="0.25">
      <c r="A46" t="s">
        <v>606</v>
      </c>
      <c r="V46" t="s">
        <v>606</v>
      </c>
      <c r="AO46" s="10">
        <v>5</v>
      </c>
      <c r="AP46" s="10">
        <v>1</v>
      </c>
      <c r="AQ46" s="10">
        <f>AP38</f>
        <v>2.9000000000000004</v>
      </c>
      <c r="AR46" s="10">
        <f>AP39</f>
        <v>5.6</v>
      </c>
      <c r="AT46" s="83">
        <f>W38</f>
        <v>1.9000000000000001</v>
      </c>
      <c r="AU46" s="10">
        <f>AR46</f>
        <v>5.6</v>
      </c>
      <c r="AX46">
        <v>20</v>
      </c>
      <c r="AY46">
        <v>8</v>
      </c>
      <c r="AZ46">
        <v>16</v>
      </c>
      <c r="BA46">
        <v>20</v>
      </c>
      <c r="BC46">
        <f>$BL$35</f>
        <v>36.599036004625439</v>
      </c>
      <c r="BD46">
        <f>$BL$37</f>
        <v>36.599036004625439</v>
      </c>
    </row>
    <row r="47" spans="1:79" x14ac:dyDescent="0.25">
      <c r="A47" t="s">
        <v>608</v>
      </c>
      <c r="V47" t="s">
        <v>608</v>
      </c>
      <c r="AO47" s="10">
        <v>10</v>
      </c>
      <c r="AP47" s="10">
        <v>1</v>
      </c>
      <c r="AQ47" s="10">
        <f>AQ38</f>
        <v>3.7</v>
      </c>
      <c r="AR47" s="10">
        <f>AQ39</f>
        <v>7.8999999999999995</v>
      </c>
      <c r="AT47" s="83">
        <f>X38</f>
        <v>2.7</v>
      </c>
      <c r="AU47" s="10">
        <f t="shared" ref="AU47:AU61" si="24">AR47</f>
        <v>7.8999999999999995</v>
      </c>
      <c r="AX47">
        <v>29</v>
      </c>
      <c r="AY47">
        <v>9</v>
      </c>
      <c r="AZ47">
        <v>18</v>
      </c>
      <c r="BA47">
        <v>29</v>
      </c>
      <c r="BC47">
        <f>$BM$35</f>
        <v>45.433737235978171</v>
      </c>
      <c r="BD47">
        <f>$BM$37</f>
        <v>45.433737235978171</v>
      </c>
    </row>
    <row r="48" spans="1:79" x14ac:dyDescent="0.25">
      <c r="A48" t="s">
        <v>63</v>
      </c>
      <c r="B48">
        <v>0.8</v>
      </c>
      <c r="C48">
        <v>0.8</v>
      </c>
      <c r="D48">
        <v>0.8</v>
      </c>
      <c r="E48">
        <v>0.8</v>
      </c>
      <c r="F48">
        <v>0.8</v>
      </c>
      <c r="G48">
        <v>0.8</v>
      </c>
      <c r="H48">
        <v>0.8</v>
      </c>
      <c r="I48">
        <v>0.8</v>
      </c>
      <c r="J48">
        <v>0.8</v>
      </c>
      <c r="K48">
        <v>0.8</v>
      </c>
      <c r="L48">
        <v>0.8</v>
      </c>
      <c r="M48">
        <v>0.8</v>
      </c>
      <c r="N48">
        <v>0.8</v>
      </c>
      <c r="O48">
        <v>0.8</v>
      </c>
      <c r="P48">
        <v>0.8</v>
      </c>
      <c r="Q48">
        <v>0.8</v>
      </c>
      <c r="V48" t="s">
        <v>63</v>
      </c>
      <c r="W48">
        <v>0.6</v>
      </c>
      <c r="X48">
        <v>0.6</v>
      </c>
      <c r="Y48">
        <v>0.6</v>
      </c>
      <c r="Z48">
        <v>0.6</v>
      </c>
      <c r="AA48">
        <v>0.6</v>
      </c>
      <c r="AB48">
        <v>0.6</v>
      </c>
      <c r="AC48">
        <v>0.6</v>
      </c>
      <c r="AD48">
        <v>0.6</v>
      </c>
      <c r="AE48">
        <v>0.6</v>
      </c>
      <c r="AF48">
        <v>0.6</v>
      </c>
      <c r="AG48">
        <v>0.6</v>
      </c>
      <c r="AH48">
        <v>0.6</v>
      </c>
      <c r="AI48">
        <v>0.6</v>
      </c>
      <c r="AJ48">
        <v>0.6</v>
      </c>
      <c r="AK48">
        <v>0.6</v>
      </c>
      <c r="AL48">
        <v>0.6</v>
      </c>
      <c r="AO48" s="10">
        <v>20</v>
      </c>
      <c r="AP48" s="10">
        <v>1</v>
      </c>
      <c r="AQ48" s="10">
        <f>AR38</f>
        <v>4.7</v>
      </c>
      <c r="AR48" s="10">
        <f>AR39</f>
        <v>11.1</v>
      </c>
      <c r="AT48" s="83">
        <f>Y38</f>
        <v>3.7</v>
      </c>
      <c r="AU48" s="10">
        <f t="shared" si="24"/>
        <v>11.1</v>
      </c>
      <c r="AX48">
        <v>44</v>
      </c>
      <c r="AY48">
        <v>14</v>
      </c>
      <c r="AZ48">
        <v>28</v>
      </c>
      <c r="BA48">
        <v>44</v>
      </c>
      <c r="BC48">
        <f>$BN$35</f>
        <v>76.203050716004697</v>
      </c>
      <c r="BD48">
        <f>$BN$37</f>
        <v>76.203050716004697</v>
      </c>
      <c r="BK48" s="10" t="s">
        <v>748</v>
      </c>
    </row>
    <row r="49" spans="1:79" x14ac:dyDescent="0.25">
      <c r="A49" t="s">
        <v>607</v>
      </c>
      <c r="B49">
        <v>0.3</v>
      </c>
      <c r="C49">
        <v>0.3</v>
      </c>
      <c r="D49">
        <v>0.3</v>
      </c>
      <c r="E49">
        <v>0.3</v>
      </c>
      <c r="F49">
        <v>0.3</v>
      </c>
      <c r="G49">
        <v>0.3</v>
      </c>
      <c r="H49">
        <v>0.3</v>
      </c>
      <c r="I49">
        <v>0.3</v>
      </c>
      <c r="J49">
        <v>0.3</v>
      </c>
      <c r="K49">
        <v>0.3</v>
      </c>
      <c r="L49">
        <v>0.3</v>
      </c>
      <c r="M49">
        <v>0.3</v>
      </c>
      <c r="N49">
        <v>0.3</v>
      </c>
      <c r="O49">
        <v>0.3</v>
      </c>
      <c r="P49">
        <v>0.3</v>
      </c>
      <c r="Q49">
        <v>0.3</v>
      </c>
      <c r="V49" t="s">
        <v>607</v>
      </c>
      <c r="W49">
        <v>0.4</v>
      </c>
      <c r="X49">
        <v>0.4</v>
      </c>
      <c r="Y49">
        <v>0.4</v>
      </c>
      <c r="Z49">
        <v>0.4</v>
      </c>
      <c r="AA49">
        <v>0.4</v>
      </c>
      <c r="AB49">
        <v>0.4</v>
      </c>
      <c r="AC49">
        <v>0.4</v>
      </c>
      <c r="AD49">
        <v>0.4</v>
      </c>
      <c r="AE49">
        <v>0.4</v>
      </c>
      <c r="AF49">
        <v>0.4</v>
      </c>
      <c r="AG49">
        <v>0.4</v>
      </c>
      <c r="AH49">
        <v>0.4</v>
      </c>
      <c r="AI49">
        <v>0.4</v>
      </c>
      <c r="AJ49">
        <v>0.4</v>
      </c>
      <c r="AK49">
        <v>0.4</v>
      </c>
      <c r="AL49">
        <v>0.4</v>
      </c>
      <c r="AO49" s="10">
        <v>30</v>
      </c>
      <c r="AP49" s="10">
        <v>1</v>
      </c>
      <c r="AQ49" s="10">
        <f>AS38</f>
        <v>5.6</v>
      </c>
      <c r="AR49" s="10">
        <f>AS39</f>
        <v>13.6</v>
      </c>
      <c r="AT49" s="83">
        <f>Z38</f>
        <v>4.5999999999999996</v>
      </c>
      <c r="AU49" s="10">
        <f t="shared" si="24"/>
        <v>13.6</v>
      </c>
      <c r="AX49">
        <v>52</v>
      </c>
      <c r="AY49">
        <v>16</v>
      </c>
      <c r="AZ49">
        <v>32</v>
      </c>
      <c r="BA49">
        <v>52</v>
      </c>
      <c r="BC49">
        <f>$BO$35</f>
        <v>104.55970479604305</v>
      </c>
      <c r="BD49">
        <f>$BO$37</f>
        <v>104.55970479604305</v>
      </c>
    </row>
    <row r="50" spans="1:79" x14ac:dyDescent="0.25">
      <c r="A50" t="s">
        <v>150</v>
      </c>
      <c r="B50">
        <f t="shared" ref="B50:Q50" si="25">B24^0.5</f>
        <v>5</v>
      </c>
      <c r="C50" s="7">
        <f t="shared" si="25"/>
        <v>7.0710678118654755</v>
      </c>
      <c r="D50" s="7">
        <f t="shared" si="25"/>
        <v>10</v>
      </c>
      <c r="E50" s="7">
        <f t="shared" si="25"/>
        <v>12.24744871391589</v>
      </c>
      <c r="F50" s="7">
        <f t="shared" si="25"/>
        <v>15.811388300841896</v>
      </c>
      <c r="G50" s="7">
        <f t="shared" si="25"/>
        <v>19.364916731037084</v>
      </c>
      <c r="H50" s="7">
        <f t="shared" si="25"/>
        <v>22.360679774997898</v>
      </c>
      <c r="I50" s="68">
        <f t="shared" si="25"/>
        <v>27.386127875258307</v>
      </c>
      <c r="J50" s="68">
        <f t="shared" si="25"/>
        <v>31.622776601683793</v>
      </c>
      <c r="K50" s="68">
        <f t="shared" si="25"/>
        <v>38.729833462074168</v>
      </c>
      <c r="L50" s="68">
        <f t="shared" si="25"/>
        <v>44.721359549995796</v>
      </c>
      <c r="M50" s="68">
        <f t="shared" si="25"/>
        <v>50</v>
      </c>
      <c r="N50" s="68">
        <f t="shared" si="25"/>
        <v>54.772255750516614</v>
      </c>
      <c r="O50" s="68">
        <f t="shared" si="25"/>
        <v>59.16079783099616</v>
      </c>
      <c r="P50" s="68">
        <f t="shared" si="25"/>
        <v>63.245553203367585</v>
      </c>
      <c r="Q50" s="68">
        <f t="shared" si="25"/>
        <v>70.710678118654755</v>
      </c>
      <c r="V50" t="s">
        <v>150</v>
      </c>
      <c r="W50" s="7">
        <f>(W24/3)^0.5</f>
        <v>1.8439088914585775</v>
      </c>
      <c r="X50" s="7">
        <f t="shared" ref="X50:AB50" si="26">(X24/3)^0.5</f>
        <v>2.6076809620810595</v>
      </c>
      <c r="Y50" s="7">
        <f t="shared" si="26"/>
        <v>3.687817782917155</v>
      </c>
      <c r="Z50" s="7">
        <f>(Z24/3)^0.5</f>
        <v>4.5166359162544856</v>
      </c>
      <c r="AA50" s="7">
        <f t="shared" si="26"/>
        <v>5.8309518948453007</v>
      </c>
      <c r="AB50" s="7">
        <f t="shared" si="26"/>
        <v>7.1414284285428504</v>
      </c>
      <c r="AC50" s="7">
        <f>(AC24/3)^0.5</f>
        <v>8.2462112512353212</v>
      </c>
      <c r="AD50" s="7">
        <f t="shared" ref="AD50:AL50" si="27">AD24/AD51</f>
        <v>12.24</v>
      </c>
      <c r="AE50" s="7">
        <f t="shared" si="27"/>
        <v>16.32</v>
      </c>
      <c r="AF50" s="7">
        <f t="shared" si="27"/>
        <v>24.48</v>
      </c>
      <c r="AG50" s="7">
        <f t="shared" si="27"/>
        <v>32.64</v>
      </c>
      <c r="AH50" s="7">
        <f t="shared" si="27"/>
        <v>40.799999999999997</v>
      </c>
      <c r="AI50" s="7">
        <f t="shared" si="27"/>
        <v>48.96</v>
      </c>
      <c r="AJ50" s="7">
        <f t="shared" si="27"/>
        <v>57.12</v>
      </c>
      <c r="AK50" s="7">
        <f t="shared" si="27"/>
        <v>65.28</v>
      </c>
      <c r="AL50" s="7">
        <f t="shared" si="27"/>
        <v>81.599999999999994</v>
      </c>
      <c r="AO50" s="10">
        <v>50</v>
      </c>
      <c r="AP50" s="10">
        <v>1</v>
      </c>
      <c r="AQ50" s="10">
        <f>AT38</f>
        <v>6.8999999999999995</v>
      </c>
      <c r="AR50" s="10">
        <f>AT39</f>
        <v>17.5</v>
      </c>
      <c r="AT50" s="83">
        <f>AA38</f>
        <v>5.8999999999999995</v>
      </c>
      <c r="AU50" s="10">
        <f t="shared" si="24"/>
        <v>17.5</v>
      </c>
      <c r="AX50">
        <v>68</v>
      </c>
      <c r="AY50">
        <v>20</v>
      </c>
      <c r="AZ50">
        <v>40</v>
      </c>
      <c r="BA50">
        <v>68</v>
      </c>
      <c r="BC50">
        <f>$BP$35</f>
        <v>157.97713819051489</v>
      </c>
      <c r="BD50">
        <f>$BP$37</f>
        <v>157.97713819051489</v>
      </c>
      <c r="BK50" t="s">
        <v>749</v>
      </c>
    </row>
    <row r="51" spans="1:79" x14ac:dyDescent="0.25">
      <c r="A51" t="s">
        <v>116</v>
      </c>
      <c r="B51">
        <f>B50</f>
        <v>5</v>
      </c>
      <c r="C51" s="7">
        <f t="shared" ref="C51:Q51" si="28">C50</f>
        <v>7.0710678118654755</v>
      </c>
      <c r="D51" s="7">
        <f t="shared" si="28"/>
        <v>10</v>
      </c>
      <c r="E51" s="7">
        <f t="shared" si="28"/>
        <v>12.24744871391589</v>
      </c>
      <c r="F51" s="7">
        <f t="shared" si="28"/>
        <v>15.811388300841896</v>
      </c>
      <c r="G51" s="7">
        <f t="shared" si="28"/>
        <v>19.364916731037084</v>
      </c>
      <c r="H51" s="7">
        <f t="shared" si="28"/>
        <v>22.360679774997898</v>
      </c>
      <c r="I51" s="68">
        <f t="shared" si="28"/>
        <v>27.386127875258307</v>
      </c>
      <c r="J51" s="68">
        <f t="shared" si="28"/>
        <v>31.622776601683793</v>
      </c>
      <c r="K51" s="68">
        <f t="shared" si="28"/>
        <v>38.729833462074168</v>
      </c>
      <c r="L51" s="68">
        <f t="shared" si="28"/>
        <v>44.721359549995796</v>
      </c>
      <c r="M51" s="68">
        <f t="shared" si="28"/>
        <v>50</v>
      </c>
      <c r="N51" s="68">
        <f t="shared" si="28"/>
        <v>54.772255750516614</v>
      </c>
      <c r="O51" s="68">
        <f t="shared" si="28"/>
        <v>59.16079783099616</v>
      </c>
      <c r="P51" s="68">
        <f t="shared" si="28"/>
        <v>63.245553203367585</v>
      </c>
      <c r="Q51" s="68">
        <f t="shared" si="28"/>
        <v>70.710678118654755</v>
      </c>
      <c r="V51" t="s">
        <v>116</v>
      </c>
      <c r="W51" s="7">
        <f>W50*3</f>
        <v>5.531726674375733</v>
      </c>
      <c r="X51" s="7">
        <f t="shared" ref="X51:AC51" si="29">X50*3</f>
        <v>7.8230428862431785</v>
      </c>
      <c r="Y51" s="7">
        <f t="shared" si="29"/>
        <v>11.063453348751466</v>
      </c>
      <c r="Z51" s="7">
        <f>Z50*3</f>
        <v>13.549907748763456</v>
      </c>
      <c r="AA51" s="7">
        <f t="shared" si="29"/>
        <v>17.492855684535904</v>
      </c>
      <c r="AB51" s="7">
        <f t="shared" si="29"/>
        <v>21.42428528562855</v>
      </c>
      <c r="AC51" s="7">
        <f t="shared" si="29"/>
        <v>24.738633753705962</v>
      </c>
      <c r="AD51" s="68">
        <v>25</v>
      </c>
      <c r="AE51" s="68">
        <v>25</v>
      </c>
      <c r="AF51" s="68">
        <v>25</v>
      </c>
      <c r="AG51" s="68">
        <v>25</v>
      </c>
      <c r="AH51" s="68">
        <v>25</v>
      </c>
      <c r="AI51" s="68">
        <v>25</v>
      </c>
      <c r="AJ51" s="68">
        <v>25</v>
      </c>
      <c r="AK51" s="68">
        <v>25</v>
      </c>
      <c r="AL51" s="68">
        <v>25</v>
      </c>
      <c r="AO51" s="10">
        <v>75</v>
      </c>
      <c r="AP51" s="10">
        <v>2</v>
      </c>
      <c r="AQ51" s="10">
        <f>AU38</f>
        <v>4.5999999999999996</v>
      </c>
      <c r="AR51" s="10">
        <f>AU39</f>
        <v>21.5</v>
      </c>
      <c r="AT51" s="83">
        <f>AB38</f>
        <v>3.6</v>
      </c>
      <c r="AU51" s="10">
        <f t="shared" si="24"/>
        <v>21.5</v>
      </c>
      <c r="AX51">
        <v>84</v>
      </c>
      <c r="AY51">
        <v>24</v>
      </c>
      <c r="AZ51">
        <v>48</v>
      </c>
      <c r="BA51">
        <v>84</v>
      </c>
      <c r="BC51">
        <f>$BQ$35</f>
        <v>136.48799879975994</v>
      </c>
      <c r="BD51">
        <f>$BQ$37</f>
        <v>272.97599759951987</v>
      </c>
    </row>
    <row r="52" spans="1:79" x14ac:dyDescent="0.25">
      <c r="A52" t="s">
        <v>107</v>
      </c>
      <c r="B52">
        <f>B51*B50</f>
        <v>25</v>
      </c>
      <c r="C52">
        <f t="shared" ref="C52:H52" si="30">C51*C50</f>
        <v>50.000000000000007</v>
      </c>
      <c r="D52">
        <f t="shared" si="30"/>
        <v>100</v>
      </c>
      <c r="E52">
        <f t="shared" si="30"/>
        <v>150</v>
      </c>
      <c r="F52">
        <f t="shared" si="30"/>
        <v>250</v>
      </c>
      <c r="G52">
        <f t="shared" si="30"/>
        <v>375</v>
      </c>
      <c r="H52">
        <f t="shared" si="30"/>
        <v>500.00000000000006</v>
      </c>
      <c r="V52" t="s">
        <v>107</v>
      </c>
      <c r="W52">
        <f>W51*W50</f>
        <v>10.200000000000001</v>
      </c>
      <c r="X52">
        <f t="shared" ref="X52" si="31">X51*X50</f>
        <v>20.399999999999999</v>
      </c>
      <c r="Y52">
        <f t="shared" ref="Y52" si="32">Y51*Y50</f>
        <v>40.800000000000004</v>
      </c>
      <c r="Z52">
        <f t="shared" ref="Z52" si="33">Z51*Z50</f>
        <v>61.199999999999989</v>
      </c>
      <c r="AA52">
        <f t="shared" ref="AA52" si="34">AA51*AA50</f>
        <v>102.00000000000001</v>
      </c>
      <c r="AB52">
        <f t="shared" ref="AB52" si="35">AB51*AB50</f>
        <v>153</v>
      </c>
      <c r="AC52">
        <f>AC51*AC50</f>
        <v>204</v>
      </c>
      <c r="AE52" t="s">
        <v>617</v>
      </c>
      <c r="AO52" s="10">
        <v>100</v>
      </c>
      <c r="AP52" s="10">
        <v>2</v>
      </c>
      <c r="AQ52" s="10">
        <f>AV38</f>
        <v>5.1999999999999993</v>
      </c>
      <c r="AR52" s="10">
        <f>AV39</f>
        <v>24.8</v>
      </c>
      <c r="AT52" s="83">
        <f>AC38</f>
        <v>4.1999999999999993</v>
      </c>
      <c r="AU52" s="10">
        <f t="shared" si="24"/>
        <v>24.8</v>
      </c>
      <c r="AX52">
        <v>97</v>
      </c>
      <c r="AY52">
        <v>26</v>
      </c>
      <c r="AZ52">
        <v>52</v>
      </c>
      <c r="BA52">
        <v>97</v>
      </c>
      <c r="BC52">
        <f>$BR$35</f>
        <v>171.2681745103767</v>
      </c>
      <c r="BD52">
        <f>$BR$37</f>
        <v>342.53634902075339</v>
      </c>
      <c r="BK52" t="s">
        <v>750</v>
      </c>
      <c r="BR52" t="s">
        <v>759</v>
      </c>
    </row>
    <row r="53" spans="1:79" x14ac:dyDescent="0.25">
      <c r="A53" t="s">
        <v>149</v>
      </c>
      <c r="B53">
        <f t="shared" ref="B53:Q53" si="36">B24*(B48+B49)</f>
        <v>27.500000000000004</v>
      </c>
      <c r="C53">
        <f t="shared" si="36"/>
        <v>55.000000000000007</v>
      </c>
      <c r="D53">
        <f t="shared" si="36"/>
        <v>110.00000000000001</v>
      </c>
      <c r="E53">
        <f t="shared" si="36"/>
        <v>165</v>
      </c>
      <c r="F53">
        <f t="shared" si="36"/>
        <v>275</v>
      </c>
      <c r="G53">
        <f t="shared" si="36"/>
        <v>412.50000000000006</v>
      </c>
      <c r="H53">
        <f t="shared" si="36"/>
        <v>550</v>
      </c>
      <c r="I53">
        <f t="shared" si="36"/>
        <v>825.00000000000011</v>
      </c>
      <c r="J53">
        <f t="shared" si="36"/>
        <v>1100</v>
      </c>
      <c r="K53">
        <f t="shared" si="36"/>
        <v>1650.0000000000002</v>
      </c>
      <c r="L53">
        <f t="shared" si="36"/>
        <v>2200</v>
      </c>
      <c r="M53">
        <f t="shared" si="36"/>
        <v>2750</v>
      </c>
      <c r="N53">
        <f t="shared" si="36"/>
        <v>3300.0000000000005</v>
      </c>
      <c r="O53">
        <f t="shared" si="36"/>
        <v>3850.0000000000005</v>
      </c>
      <c r="P53">
        <f t="shared" si="36"/>
        <v>4400</v>
      </c>
      <c r="Q53">
        <f t="shared" si="36"/>
        <v>5500</v>
      </c>
      <c r="V53" t="s">
        <v>609</v>
      </c>
      <c r="AO53" s="10">
        <v>150</v>
      </c>
      <c r="AP53" s="10">
        <v>2</v>
      </c>
      <c r="AQ53" s="10">
        <f>AW38</f>
        <v>7.1999999999999993</v>
      </c>
      <c r="AR53" s="10">
        <f>AW39</f>
        <v>25</v>
      </c>
      <c r="AT53" s="83">
        <f>AD38</f>
        <v>6.1999999999999993</v>
      </c>
      <c r="AU53" s="10">
        <f t="shared" si="24"/>
        <v>25</v>
      </c>
      <c r="AX53">
        <v>100</v>
      </c>
      <c r="AY53">
        <v>27</v>
      </c>
      <c r="AZ53">
        <v>54</v>
      </c>
      <c r="BA53">
        <v>100</v>
      </c>
      <c r="BC53">
        <f>$BS$35</f>
        <v>227.68799999999999</v>
      </c>
      <c r="BD53">
        <f>$BS$37</f>
        <v>455.37599999999998</v>
      </c>
      <c r="BK53">
        <v>3</v>
      </c>
      <c r="BL53" t="s">
        <v>751</v>
      </c>
      <c r="BM53">
        <f>BK53*25.4</f>
        <v>76.199999999999989</v>
      </c>
      <c r="BN53" t="s">
        <v>64</v>
      </c>
      <c r="BO53">
        <f>BM53/1000</f>
        <v>7.619999999999999E-2</v>
      </c>
      <c r="BP53" t="s">
        <v>191</v>
      </c>
    </row>
    <row r="54" spans="1:79" x14ac:dyDescent="0.25">
      <c r="V54" t="s">
        <v>615</v>
      </c>
      <c r="W54" s="7">
        <f>W48*W51</f>
        <v>3.3190360046254397</v>
      </c>
      <c r="X54" s="7">
        <f t="shared" ref="X54:AD54" si="37">X48*X51</f>
        <v>4.6938257317459069</v>
      </c>
      <c r="Y54" s="7">
        <f t="shared" si="37"/>
        <v>6.6380720092508794</v>
      </c>
      <c r="Z54" s="7">
        <f t="shared" si="37"/>
        <v>8.1299446492580731</v>
      </c>
      <c r="AA54" s="7">
        <f t="shared" si="37"/>
        <v>10.495713410721542</v>
      </c>
      <c r="AB54" s="7">
        <f t="shared" si="37"/>
        <v>12.854571171377129</v>
      </c>
      <c r="AC54" s="7">
        <f t="shared" si="37"/>
        <v>14.843180252223576</v>
      </c>
      <c r="AD54" s="7">
        <f t="shared" si="37"/>
        <v>15</v>
      </c>
      <c r="AE54" s="7">
        <f t="shared" ref="AE54:AL54" si="38">AE48*AE51</f>
        <v>15</v>
      </c>
      <c r="AF54" s="7">
        <f t="shared" si="38"/>
        <v>15</v>
      </c>
      <c r="AG54" s="7">
        <f t="shared" si="38"/>
        <v>15</v>
      </c>
      <c r="AH54" s="7">
        <f t="shared" si="38"/>
        <v>15</v>
      </c>
      <c r="AI54" s="7">
        <f t="shared" si="38"/>
        <v>15</v>
      </c>
      <c r="AJ54" s="7">
        <f t="shared" si="38"/>
        <v>15</v>
      </c>
      <c r="AK54" s="7">
        <f t="shared" si="38"/>
        <v>15</v>
      </c>
      <c r="AL54" s="7">
        <f t="shared" si="38"/>
        <v>15</v>
      </c>
      <c r="AO54" s="10">
        <v>200</v>
      </c>
      <c r="AP54" s="10">
        <v>3</v>
      </c>
      <c r="AQ54" s="10">
        <f>AX38</f>
        <v>6.5</v>
      </c>
      <c r="AR54" s="10">
        <f>AX39</f>
        <v>25</v>
      </c>
      <c r="AT54" s="83">
        <f>AE38</f>
        <v>5.5</v>
      </c>
      <c r="AU54" s="10">
        <f t="shared" si="24"/>
        <v>25</v>
      </c>
      <c r="AX54">
        <v>100</v>
      </c>
      <c r="AY54">
        <v>27</v>
      </c>
      <c r="AZ54">
        <v>54</v>
      </c>
      <c r="BA54">
        <v>100</v>
      </c>
      <c r="BC54">
        <f>$BT$35</f>
        <v>209.05600000000001</v>
      </c>
      <c r="BD54">
        <f>$BT$37</f>
        <v>627.16800000000001</v>
      </c>
    </row>
    <row r="55" spans="1:79" x14ac:dyDescent="0.25">
      <c r="A55" t="s">
        <v>664</v>
      </c>
      <c r="V55" t="s">
        <v>610</v>
      </c>
      <c r="W55">
        <f t="shared" ref="W55:AL55" si="39">($P$5*W$18)/W54</f>
        <v>46.097722286464432</v>
      </c>
      <c r="X55">
        <f t="shared" si="39"/>
        <v>65.192024052026483</v>
      </c>
      <c r="Y55">
        <f t="shared" si="39"/>
        <v>92.195444572928864</v>
      </c>
      <c r="Z55">
        <f t="shared" si="39"/>
        <v>112.91589790636216</v>
      </c>
      <c r="AA55">
        <f t="shared" si="39"/>
        <v>145.7737973711325</v>
      </c>
      <c r="AB55" s="6">
        <f>($P$5*AB$18)/AB54</f>
        <v>178.53571071357126</v>
      </c>
      <c r="AC55" s="6">
        <f t="shared" si="39"/>
        <v>206.15528128088306</v>
      </c>
      <c r="AD55" s="6">
        <f t="shared" si="39"/>
        <v>306</v>
      </c>
      <c r="AE55" s="6">
        <f t="shared" si="39"/>
        <v>408</v>
      </c>
      <c r="AF55" s="6">
        <f t="shared" si="39"/>
        <v>612</v>
      </c>
      <c r="AG55" s="6">
        <f t="shared" si="39"/>
        <v>816</v>
      </c>
      <c r="AH55" s="6">
        <f t="shared" si="39"/>
        <v>1019.9999999999999</v>
      </c>
      <c r="AI55" s="6">
        <f t="shared" si="39"/>
        <v>1224</v>
      </c>
      <c r="AJ55" s="6">
        <f t="shared" si="39"/>
        <v>1428</v>
      </c>
      <c r="AK55" s="6">
        <f t="shared" si="39"/>
        <v>1632</v>
      </c>
      <c r="AL55" s="6">
        <f t="shared" si="39"/>
        <v>2039.9999999999998</v>
      </c>
      <c r="AO55" s="10">
        <v>300</v>
      </c>
      <c r="AP55" s="10">
        <v>4</v>
      </c>
      <c r="AQ55" s="10">
        <f>AY38</f>
        <v>7.1999999999999993</v>
      </c>
      <c r="AR55" s="10">
        <f>AY39</f>
        <v>25</v>
      </c>
      <c r="AT55" s="83">
        <f>AF38</f>
        <v>6.1999999999999993</v>
      </c>
      <c r="AU55" s="10">
        <f t="shared" si="24"/>
        <v>25</v>
      </c>
      <c r="AX55">
        <v>100</v>
      </c>
      <c r="AY55">
        <v>27</v>
      </c>
      <c r="AZ55">
        <v>54</v>
      </c>
      <c r="BA55">
        <v>100</v>
      </c>
      <c r="BC55">
        <f>$BU$35</f>
        <v>227.68799999999999</v>
      </c>
      <c r="BD55">
        <f>$BU$37</f>
        <v>910.75199999999995</v>
      </c>
      <c r="BK55" t="s">
        <v>752</v>
      </c>
      <c r="BL55">
        <v>1000</v>
      </c>
      <c r="BM55" t="s">
        <v>663</v>
      </c>
    </row>
    <row r="56" spans="1:79" x14ac:dyDescent="0.25">
      <c r="A56" t="s">
        <v>63</v>
      </c>
      <c r="I56">
        <v>0.8</v>
      </c>
      <c r="J56">
        <v>0.8</v>
      </c>
      <c r="K56">
        <v>0.8</v>
      </c>
      <c r="L56">
        <v>0.8</v>
      </c>
      <c r="M56">
        <v>0.8</v>
      </c>
      <c r="N56">
        <v>0.8</v>
      </c>
      <c r="O56">
        <v>0.8</v>
      </c>
      <c r="P56">
        <v>0.8</v>
      </c>
      <c r="Q56">
        <v>0.8</v>
      </c>
      <c r="V56" t="s">
        <v>399</v>
      </c>
      <c r="W56">
        <f t="shared" ref="W56:AL56" si="40">($P$3*W$18)/W54</f>
        <v>37.360245513213016</v>
      </c>
      <c r="X56">
        <f t="shared" si="40"/>
        <v>52.83536589837442</v>
      </c>
      <c r="Y56">
        <f t="shared" si="40"/>
        <v>74.720491026426032</v>
      </c>
      <c r="Z56">
        <f t="shared" si="40"/>
        <v>91.513538172476544</v>
      </c>
      <c r="AA56">
        <f t="shared" si="40"/>
        <v>118.14346976483942</v>
      </c>
      <c r="AB56">
        <f t="shared" si="40"/>
        <v>144.69560868289437</v>
      </c>
      <c r="AC56">
        <f t="shared" si="40"/>
        <v>167.08009724725167</v>
      </c>
      <c r="AD56">
        <f t="shared" si="40"/>
        <v>248.00000000000003</v>
      </c>
      <c r="AE56">
        <f t="shared" si="40"/>
        <v>330.66666666666674</v>
      </c>
      <c r="AF56" s="6">
        <f t="shared" si="40"/>
        <v>496.00000000000006</v>
      </c>
      <c r="AG56" s="6">
        <f t="shared" si="40"/>
        <v>661.33333333333348</v>
      </c>
      <c r="AH56" s="6">
        <f t="shared" si="40"/>
        <v>826.66666666666674</v>
      </c>
      <c r="AI56" s="6">
        <f t="shared" si="40"/>
        <v>992.00000000000011</v>
      </c>
      <c r="AJ56" s="6">
        <f t="shared" si="40"/>
        <v>1157.3333333333335</v>
      </c>
      <c r="AK56" s="6">
        <f t="shared" si="40"/>
        <v>1322.666666666667</v>
      </c>
      <c r="AL56" s="6">
        <f t="shared" si="40"/>
        <v>1653.3333333333335</v>
      </c>
      <c r="AO56" s="10">
        <v>400</v>
      </c>
      <c r="AP56" s="10">
        <v>6</v>
      </c>
      <c r="AQ56" s="10">
        <f>AZ38</f>
        <v>6.5</v>
      </c>
      <c r="AR56" s="10">
        <f>AZ39</f>
        <v>25</v>
      </c>
      <c r="AT56" s="83">
        <f>AG38</f>
        <v>5.5</v>
      </c>
      <c r="AU56" s="10">
        <f t="shared" si="24"/>
        <v>25</v>
      </c>
      <c r="AX56">
        <v>100</v>
      </c>
      <c r="AY56">
        <v>27</v>
      </c>
      <c r="AZ56">
        <v>54</v>
      </c>
      <c r="BA56">
        <v>100</v>
      </c>
      <c r="BC56">
        <f>$BV$35</f>
        <v>209.05600000000001</v>
      </c>
      <c r="BD56">
        <f>$BV$37</f>
        <v>1254.336</v>
      </c>
      <c r="BK56" t="s">
        <v>519</v>
      </c>
      <c r="BL56">
        <f>P9/(24*60*60)</f>
        <v>6.9444444444444439E-6</v>
      </c>
      <c r="BM56" t="s">
        <v>758</v>
      </c>
    </row>
    <row r="57" spans="1:79" x14ac:dyDescent="0.25">
      <c r="A57" t="s">
        <v>607</v>
      </c>
      <c r="I57">
        <v>0.3</v>
      </c>
      <c r="J57">
        <v>0.3</v>
      </c>
      <c r="K57">
        <v>0.3</v>
      </c>
      <c r="L57">
        <v>0.3</v>
      </c>
      <c r="M57">
        <v>0.3</v>
      </c>
      <c r="N57">
        <v>0.3</v>
      </c>
      <c r="O57">
        <v>0.3</v>
      </c>
      <c r="P57">
        <v>0.3</v>
      </c>
      <c r="Q57">
        <v>0.3</v>
      </c>
      <c r="AO57" s="10">
        <v>500</v>
      </c>
      <c r="AP57" s="10">
        <v>7</v>
      </c>
      <c r="AQ57" s="10">
        <f>BA38</f>
        <v>6.8999999999999995</v>
      </c>
      <c r="AR57" s="10">
        <f>BA39</f>
        <v>25</v>
      </c>
      <c r="AT57" s="83">
        <f>AH38</f>
        <v>5.8999999999999995</v>
      </c>
      <c r="AU57" s="10">
        <f t="shared" si="24"/>
        <v>25</v>
      </c>
      <c r="AX57">
        <v>100</v>
      </c>
      <c r="AY57">
        <v>27</v>
      </c>
      <c r="AZ57">
        <v>54</v>
      </c>
      <c r="BA57">
        <v>100</v>
      </c>
      <c r="BC57">
        <f>$BW$35</f>
        <v>219.70285714285711</v>
      </c>
      <c r="BD57">
        <f>$BW$37</f>
        <v>1537.9199999999998</v>
      </c>
    </row>
    <row r="58" spans="1:79" x14ac:dyDescent="0.25">
      <c r="A58" t="s">
        <v>150</v>
      </c>
      <c r="I58">
        <f t="shared" ref="I58:Q58" si="41">(I24/2)^0.5</f>
        <v>19.364916731037084</v>
      </c>
      <c r="J58">
        <f t="shared" si="41"/>
        <v>22.360679774997898</v>
      </c>
      <c r="K58" s="6">
        <f t="shared" si="41"/>
        <v>27.386127875258307</v>
      </c>
      <c r="L58" s="6">
        <f t="shared" si="41"/>
        <v>31.622776601683793</v>
      </c>
      <c r="M58" s="6">
        <f t="shared" si="41"/>
        <v>35.355339059327378</v>
      </c>
      <c r="N58" s="6">
        <f t="shared" si="41"/>
        <v>38.729833462074168</v>
      </c>
      <c r="O58" s="6">
        <f t="shared" si="41"/>
        <v>41.83300132670378</v>
      </c>
      <c r="P58" s="6">
        <f t="shared" si="41"/>
        <v>44.721359549995796</v>
      </c>
      <c r="Q58" s="6">
        <f t="shared" si="41"/>
        <v>50</v>
      </c>
      <c r="V58" t="s">
        <v>616</v>
      </c>
      <c r="AO58" s="10">
        <v>600</v>
      </c>
      <c r="AP58" s="10">
        <v>8</v>
      </c>
      <c r="AQ58" s="10">
        <f>BB38</f>
        <v>7.1999999999999993</v>
      </c>
      <c r="AR58" s="10">
        <f>BB39</f>
        <v>25</v>
      </c>
      <c r="AT58" s="83">
        <f>AI38</f>
        <v>6.1999999999999993</v>
      </c>
      <c r="AU58" s="10">
        <f t="shared" si="24"/>
        <v>25</v>
      </c>
      <c r="AX58">
        <v>100</v>
      </c>
      <c r="AY58">
        <v>27</v>
      </c>
      <c r="AZ58">
        <v>54</v>
      </c>
      <c r="BA58">
        <v>100</v>
      </c>
      <c r="BC58">
        <f>$BX$35</f>
        <v>227.68799999999999</v>
      </c>
      <c r="BD58">
        <f>$BX$37</f>
        <v>1821.5039999999999</v>
      </c>
      <c r="BK58" t="s">
        <v>754</v>
      </c>
      <c r="BL58">
        <f>PI()/4</f>
        <v>0.78539816339744828</v>
      </c>
    </row>
    <row r="59" spans="1:79" x14ac:dyDescent="0.25">
      <c r="A59" t="s">
        <v>116</v>
      </c>
      <c r="I59">
        <f>I58</f>
        <v>19.364916731037084</v>
      </c>
      <c r="J59">
        <f t="shared" ref="J59:Q59" si="42">J58</f>
        <v>22.360679774997898</v>
      </c>
      <c r="K59" s="6">
        <f t="shared" si="42"/>
        <v>27.386127875258307</v>
      </c>
      <c r="L59" s="6">
        <f t="shared" si="42"/>
        <v>31.622776601683793</v>
      </c>
      <c r="M59" s="6">
        <f t="shared" si="42"/>
        <v>35.355339059327378</v>
      </c>
      <c r="N59" s="6">
        <f t="shared" si="42"/>
        <v>38.729833462074168</v>
      </c>
      <c r="O59" s="6">
        <f t="shared" si="42"/>
        <v>41.83300132670378</v>
      </c>
      <c r="P59" s="6">
        <f t="shared" si="42"/>
        <v>44.721359549995796</v>
      </c>
      <c r="Q59" s="6">
        <f t="shared" si="42"/>
        <v>50</v>
      </c>
      <c r="V59" t="s">
        <v>63</v>
      </c>
      <c r="AB59">
        <f>AB48</f>
        <v>0.6</v>
      </c>
      <c r="AC59">
        <f t="shared" ref="AC59:AL59" si="43">AC48</f>
        <v>0.6</v>
      </c>
      <c r="AD59">
        <f t="shared" si="43"/>
        <v>0.6</v>
      </c>
      <c r="AE59">
        <f t="shared" si="43"/>
        <v>0.6</v>
      </c>
      <c r="AF59">
        <f t="shared" si="43"/>
        <v>0.6</v>
      </c>
      <c r="AG59">
        <f t="shared" si="43"/>
        <v>0.6</v>
      </c>
      <c r="AH59">
        <f t="shared" si="43"/>
        <v>0.6</v>
      </c>
      <c r="AI59">
        <f t="shared" si="43"/>
        <v>0.6</v>
      </c>
      <c r="AJ59">
        <f t="shared" si="43"/>
        <v>0.6</v>
      </c>
      <c r="AK59">
        <f t="shared" si="43"/>
        <v>0.6</v>
      </c>
      <c r="AL59">
        <f t="shared" si="43"/>
        <v>0.6</v>
      </c>
      <c r="AO59" s="10">
        <v>700</v>
      </c>
      <c r="AP59" s="10">
        <v>10</v>
      </c>
      <c r="AQ59" s="10">
        <f>BC38</f>
        <v>6.8</v>
      </c>
      <c r="AR59" s="10">
        <f>BC39</f>
        <v>25</v>
      </c>
      <c r="AT59" s="83">
        <f>AJ38</f>
        <v>5.8</v>
      </c>
      <c r="AU59" s="10">
        <f t="shared" si="24"/>
        <v>25</v>
      </c>
      <c r="AX59">
        <v>100</v>
      </c>
      <c r="AY59">
        <v>27</v>
      </c>
      <c r="AZ59">
        <v>54</v>
      </c>
      <c r="BA59">
        <v>100</v>
      </c>
      <c r="BC59">
        <f>$BY$35</f>
        <v>216.50879999999998</v>
      </c>
      <c r="BD59">
        <f>$BY$37</f>
        <v>2165.0879999999997</v>
      </c>
      <c r="BK59" t="s">
        <v>755</v>
      </c>
      <c r="BL59">
        <f>BO53^2</f>
        <v>5.8064399999999987E-3</v>
      </c>
    </row>
    <row r="60" spans="1:79" x14ac:dyDescent="0.25">
      <c r="V60" t="s">
        <v>607</v>
      </c>
      <c r="AB60">
        <f>AB49</f>
        <v>0.4</v>
      </c>
      <c r="AC60">
        <f t="shared" ref="AC60:AL60" si="44">AC49</f>
        <v>0.4</v>
      </c>
      <c r="AD60">
        <f t="shared" si="44"/>
        <v>0.4</v>
      </c>
      <c r="AE60">
        <f t="shared" si="44"/>
        <v>0.4</v>
      </c>
      <c r="AF60">
        <f t="shared" si="44"/>
        <v>0.4</v>
      </c>
      <c r="AG60">
        <f t="shared" si="44"/>
        <v>0.4</v>
      </c>
      <c r="AH60">
        <f t="shared" si="44"/>
        <v>0.4</v>
      </c>
      <c r="AI60">
        <f t="shared" si="44"/>
        <v>0.4</v>
      </c>
      <c r="AJ60">
        <f t="shared" si="44"/>
        <v>0.4</v>
      </c>
      <c r="AK60">
        <f t="shared" si="44"/>
        <v>0.4</v>
      </c>
      <c r="AL60">
        <f t="shared" si="44"/>
        <v>0.4</v>
      </c>
      <c r="AO60" s="10">
        <v>800</v>
      </c>
      <c r="AP60" s="10">
        <v>11</v>
      </c>
      <c r="AQ60" s="10">
        <f>BD38</f>
        <v>7</v>
      </c>
      <c r="AR60" s="10">
        <f>BD39</f>
        <v>25</v>
      </c>
      <c r="AT60" s="83">
        <f>AK38</f>
        <v>6</v>
      </c>
      <c r="AU60" s="10">
        <f t="shared" si="24"/>
        <v>25</v>
      </c>
      <c r="AX60">
        <v>100</v>
      </c>
      <c r="AY60">
        <v>27</v>
      </c>
      <c r="AZ60">
        <v>54</v>
      </c>
      <c r="BA60">
        <v>100</v>
      </c>
      <c r="BC60">
        <f>$BZ$35</f>
        <v>222.60654545454545</v>
      </c>
      <c r="BD60">
        <f>$BZ$37</f>
        <v>2448.672</v>
      </c>
    </row>
    <row r="61" spans="1:79" x14ac:dyDescent="0.25">
      <c r="A61" t="s">
        <v>670</v>
      </c>
      <c r="V61" t="s">
        <v>150</v>
      </c>
      <c r="AB61">
        <f>AB50/2</f>
        <v>3.5707142142714252</v>
      </c>
      <c r="AC61">
        <f t="shared" ref="AC61:AL61" si="45">AC50/2</f>
        <v>4.1231056256176606</v>
      </c>
      <c r="AD61">
        <f t="shared" si="45"/>
        <v>6.12</v>
      </c>
      <c r="AE61">
        <f t="shared" si="45"/>
        <v>8.16</v>
      </c>
      <c r="AF61">
        <f t="shared" si="45"/>
        <v>12.24</v>
      </c>
      <c r="AG61">
        <f t="shared" si="45"/>
        <v>16.32</v>
      </c>
      <c r="AH61">
        <f t="shared" si="45"/>
        <v>20.399999999999999</v>
      </c>
      <c r="AI61">
        <f t="shared" si="45"/>
        <v>24.48</v>
      </c>
      <c r="AJ61">
        <f t="shared" si="45"/>
        <v>28.56</v>
      </c>
      <c r="AK61">
        <f t="shared" si="45"/>
        <v>32.64</v>
      </c>
      <c r="AL61">
        <f t="shared" si="45"/>
        <v>40.799999999999997</v>
      </c>
      <c r="AO61" s="10">
        <v>1000</v>
      </c>
      <c r="AP61" s="10">
        <v>14</v>
      </c>
      <c r="AQ61" s="10">
        <f>BE38</f>
        <v>6.8999999999999995</v>
      </c>
      <c r="AR61" s="10">
        <f>BE39</f>
        <v>25</v>
      </c>
      <c r="AT61" s="83">
        <f>AL38</f>
        <v>5.8999999999999995</v>
      </c>
      <c r="AU61" s="10">
        <f t="shared" si="24"/>
        <v>25</v>
      </c>
      <c r="AX61">
        <v>100</v>
      </c>
      <c r="AY61">
        <v>27</v>
      </c>
      <c r="AZ61">
        <v>54</v>
      </c>
      <c r="BA61">
        <v>100</v>
      </c>
      <c r="BC61">
        <f>$CA$35</f>
        <v>219.70285714285711</v>
      </c>
      <c r="BD61">
        <f>$CA$37</f>
        <v>3075.8399999999997</v>
      </c>
      <c r="BK61" t="s">
        <v>753</v>
      </c>
      <c r="BL61">
        <f>($BL$56*BL31/AP37)/($BL$58*$BL$59)</f>
        <v>7.6139091103008694E-3</v>
      </c>
      <c r="BM61">
        <f t="shared" ref="BM61:CA61" si="46">($BL$56*BM31/AQ37)/($BL$58*$BL$59)</f>
        <v>1.5227818220601739E-2</v>
      </c>
      <c r="BN61">
        <f t="shared" si="46"/>
        <v>3.0455636441203478E-2</v>
      </c>
      <c r="BO61">
        <f t="shared" si="46"/>
        <v>4.5683454661805213E-2</v>
      </c>
      <c r="BP61">
        <f t="shared" si="46"/>
        <v>7.6139091103008691E-2</v>
      </c>
      <c r="BQ61">
        <f t="shared" si="46"/>
        <v>5.7104318327256522E-2</v>
      </c>
      <c r="BR61">
        <f t="shared" si="46"/>
        <v>7.6139091103008691E-2</v>
      </c>
      <c r="BS61">
        <f t="shared" si="46"/>
        <v>0.11420863665451304</v>
      </c>
      <c r="BT61">
        <f t="shared" si="46"/>
        <v>0.10151878813734491</v>
      </c>
      <c r="BU61">
        <f t="shared" si="46"/>
        <v>0.11420863665451304</v>
      </c>
      <c r="BV61">
        <f t="shared" si="46"/>
        <v>0.10151878813734491</v>
      </c>
      <c r="BW61">
        <f t="shared" si="46"/>
        <v>0.10877013014715527</v>
      </c>
      <c r="BX61">
        <f t="shared" si="46"/>
        <v>0.11420863665451304</v>
      </c>
      <c r="BY61">
        <f t="shared" si="46"/>
        <v>0.10659472754421216</v>
      </c>
      <c r="BZ61">
        <f t="shared" si="46"/>
        <v>0.11074776887710354</v>
      </c>
      <c r="CA61">
        <f t="shared" si="46"/>
        <v>0.10877013014715527</v>
      </c>
    </row>
    <row r="62" spans="1:79" x14ac:dyDescent="0.25">
      <c r="A62" t="s">
        <v>63</v>
      </c>
      <c r="K62">
        <v>0.8</v>
      </c>
      <c r="L62">
        <v>0.8</v>
      </c>
      <c r="M62">
        <v>0.8</v>
      </c>
      <c r="N62">
        <v>0.8</v>
      </c>
      <c r="O62">
        <v>0.8</v>
      </c>
      <c r="P62">
        <v>0.8</v>
      </c>
      <c r="Q62">
        <v>0.8</v>
      </c>
      <c r="V62" t="s">
        <v>116</v>
      </c>
      <c r="AB62" s="7">
        <f t="shared" ref="AB62:AL62" si="47">AB51</f>
        <v>21.42428528562855</v>
      </c>
      <c r="AC62" s="7">
        <f t="shared" si="47"/>
        <v>24.738633753705962</v>
      </c>
      <c r="AD62" s="7">
        <f t="shared" si="47"/>
        <v>25</v>
      </c>
      <c r="AE62" s="7">
        <f t="shared" si="47"/>
        <v>25</v>
      </c>
      <c r="AF62" s="7">
        <f t="shared" si="47"/>
        <v>25</v>
      </c>
      <c r="AG62" s="7">
        <f t="shared" si="47"/>
        <v>25</v>
      </c>
      <c r="AH62" s="7">
        <f t="shared" si="47"/>
        <v>25</v>
      </c>
      <c r="AI62" s="7">
        <f t="shared" si="47"/>
        <v>25</v>
      </c>
      <c r="AJ62" s="7">
        <f t="shared" si="47"/>
        <v>25</v>
      </c>
      <c r="AK62" s="7">
        <f t="shared" si="47"/>
        <v>25</v>
      </c>
      <c r="AL62" s="7">
        <f t="shared" si="47"/>
        <v>25</v>
      </c>
    </row>
    <row r="63" spans="1:79" x14ac:dyDescent="0.25">
      <c r="A63" t="s">
        <v>607</v>
      </c>
      <c r="K63">
        <v>0.3</v>
      </c>
      <c r="L63">
        <v>0.3</v>
      </c>
      <c r="M63">
        <v>0.3</v>
      </c>
      <c r="N63">
        <v>0.3</v>
      </c>
      <c r="O63">
        <v>0.3</v>
      </c>
      <c r="P63">
        <v>0.3</v>
      </c>
      <c r="Q63">
        <v>0.3</v>
      </c>
      <c r="BK63" t="s">
        <v>756</v>
      </c>
      <c r="BL63">
        <f>($BL$56*BL31/AP37)/(AP39*W48)</f>
        <v>1.033399470899471E-5</v>
      </c>
      <c r="BM63">
        <f t="shared" ref="BM63:CA63" si="48">($BL$56*BM31/AQ37)/(AQ39*X48)</f>
        <v>1.4650726676043134E-5</v>
      </c>
      <c r="BN63">
        <f t="shared" si="48"/>
        <v>2.0854187520854188E-5</v>
      </c>
      <c r="BO63">
        <f t="shared" si="48"/>
        <v>2.5531045751633984E-5</v>
      </c>
      <c r="BP63">
        <f t="shared" si="48"/>
        <v>3.3068783068783064E-5</v>
      </c>
      <c r="BQ63">
        <f t="shared" si="48"/>
        <v>2.0187338501291991E-5</v>
      </c>
      <c r="BR63">
        <f t="shared" si="48"/>
        <v>2.3334826762246115E-5</v>
      </c>
      <c r="BS63">
        <f t="shared" si="48"/>
        <v>3.4722222222222222E-5</v>
      </c>
      <c r="BT63">
        <f t="shared" si="48"/>
        <v>3.0864197530864198E-5</v>
      </c>
      <c r="BU63">
        <f t="shared" si="48"/>
        <v>3.4722222222222222E-5</v>
      </c>
      <c r="BV63">
        <f t="shared" si="48"/>
        <v>3.0864197530864198E-5</v>
      </c>
      <c r="BW63">
        <f t="shared" si="48"/>
        <v>3.3068783068783064E-5</v>
      </c>
      <c r="BX63">
        <f t="shared" si="48"/>
        <v>3.4722222222222222E-5</v>
      </c>
      <c r="BY63">
        <f t="shared" si="48"/>
        <v>3.2407407407407401E-5</v>
      </c>
      <c r="BZ63">
        <f t="shared" si="48"/>
        <v>3.3670033670033661E-5</v>
      </c>
      <c r="CA63">
        <f t="shared" si="48"/>
        <v>3.3068783068783064E-5</v>
      </c>
    </row>
    <row r="64" spans="1:79" x14ac:dyDescent="0.25">
      <c r="A64" t="s">
        <v>150</v>
      </c>
      <c r="K64" s="25">
        <f>(K24/3)^0.5</f>
        <v>22.360679774997898</v>
      </c>
      <c r="L64" s="6">
        <f t="shared" ref="L64:Q64" si="49">(L24/3)^0.5</f>
        <v>25.819888974716111</v>
      </c>
      <c r="M64" s="6">
        <f t="shared" si="49"/>
        <v>28.867513459481287</v>
      </c>
      <c r="N64" s="6">
        <f t="shared" si="49"/>
        <v>31.622776601683793</v>
      </c>
      <c r="O64" s="6">
        <f t="shared" si="49"/>
        <v>34.156502553198663</v>
      </c>
      <c r="P64" s="6">
        <f t="shared" si="49"/>
        <v>36.514837167011073</v>
      </c>
      <c r="Q64" s="6">
        <f t="shared" si="49"/>
        <v>40.824829046386306</v>
      </c>
      <c r="V64" t="s">
        <v>609</v>
      </c>
    </row>
    <row r="65" spans="1:79" x14ac:dyDescent="0.25">
      <c r="A65" t="s">
        <v>116</v>
      </c>
      <c r="K65" s="25">
        <f t="shared" ref="K65" si="50">K64</f>
        <v>22.360679774997898</v>
      </c>
      <c r="L65" s="6">
        <f t="shared" ref="L65" si="51">L64</f>
        <v>25.819888974716111</v>
      </c>
      <c r="M65" s="6">
        <f t="shared" ref="M65" si="52">M64</f>
        <v>28.867513459481287</v>
      </c>
      <c r="N65" s="6">
        <f t="shared" ref="N65" si="53">N64</f>
        <v>31.622776601683793</v>
      </c>
      <c r="O65" s="6">
        <f t="shared" ref="O65" si="54">O64</f>
        <v>34.156502553198663</v>
      </c>
      <c r="P65" s="6">
        <f t="shared" ref="P65" si="55">P64</f>
        <v>36.514837167011073</v>
      </c>
      <c r="Q65" s="6">
        <f t="shared" ref="Q65" si="56">Q64</f>
        <v>40.824829046386306</v>
      </c>
      <c r="V65" t="s">
        <v>615</v>
      </c>
      <c r="AB65" s="7">
        <f>AB59*AB62</f>
        <v>12.854571171377129</v>
      </c>
      <c r="AC65" s="7">
        <f t="shared" ref="AC65:AL65" si="57">AC59*AC62</f>
        <v>14.843180252223576</v>
      </c>
      <c r="AD65" s="7">
        <f t="shared" si="57"/>
        <v>15</v>
      </c>
      <c r="AE65" s="7">
        <f t="shared" si="57"/>
        <v>15</v>
      </c>
      <c r="AF65" s="7">
        <f t="shared" si="57"/>
        <v>15</v>
      </c>
      <c r="AG65" s="7">
        <f t="shared" si="57"/>
        <v>15</v>
      </c>
      <c r="AH65" s="7">
        <f t="shared" si="57"/>
        <v>15</v>
      </c>
      <c r="AI65" s="7">
        <f t="shared" si="57"/>
        <v>15</v>
      </c>
      <c r="AJ65" s="7">
        <f t="shared" si="57"/>
        <v>15</v>
      </c>
      <c r="AK65" s="7">
        <f t="shared" si="57"/>
        <v>15</v>
      </c>
      <c r="AL65" s="7">
        <f t="shared" si="57"/>
        <v>15</v>
      </c>
      <c r="BK65" t="s">
        <v>757</v>
      </c>
      <c r="BL65">
        <f>(($BL$55/2)*(BL61^2-BL63^2))/10^5</f>
        <v>2.8985752574237964E-7</v>
      </c>
      <c r="BM65">
        <f t="shared" ref="BM65:CA65" si="58">(($BL$55/2)*(BM61^2-BM63^2))/10^5</f>
        <v>1.1594311655794908E-6</v>
      </c>
      <c r="BN65">
        <f t="shared" si="58"/>
        <v>4.6377267807081202E-6</v>
      </c>
      <c r="BO65">
        <f t="shared" si="58"/>
        <v>1.0434886890014576E-5</v>
      </c>
      <c r="BP65">
        <f t="shared" si="58"/>
        <v>2.8985800502239217E-5</v>
      </c>
      <c r="BQ65">
        <f t="shared" si="58"/>
        <v>1.6304513820460048E-5</v>
      </c>
      <c r="BR65">
        <f t="shared" si="58"/>
        <v>2.8985803247390586E-5</v>
      </c>
      <c r="BS65">
        <f t="shared" si="58"/>
        <v>6.5218057404249321E-5</v>
      </c>
      <c r="BT65">
        <f t="shared" si="58"/>
        <v>5.1530316961382159E-5</v>
      </c>
      <c r="BU65">
        <f t="shared" si="58"/>
        <v>6.5218057404249321E-5</v>
      </c>
      <c r="BV65">
        <f t="shared" si="58"/>
        <v>5.1530316961382159E-5</v>
      </c>
      <c r="BW65">
        <f t="shared" si="58"/>
        <v>5.9154700593423407E-5</v>
      </c>
      <c r="BX65">
        <f t="shared" si="58"/>
        <v>6.5218057404249321E-5</v>
      </c>
      <c r="BY65">
        <f t="shared" si="58"/>
        <v>5.6812174449923837E-5</v>
      </c>
      <c r="BZ65">
        <f t="shared" si="58"/>
        <v>6.1325335887925885E-5</v>
      </c>
      <c r="CA65">
        <f t="shared" si="58"/>
        <v>5.9154700593423407E-5</v>
      </c>
    </row>
    <row r="66" spans="1:79" x14ac:dyDescent="0.25">
      <c r="V66" t="s">
        <v>610</v>
      </c>
      <c r="AB66" s="25">
        <f t="shared" ref="AB66:AL66" si="59">($P$5*AB$18/2)/AB65</f>
        <v>89.267855356785631</v>
      </c>
      <c r="AC66" s="25">
        <f t="shared" si="59"/>
        <v>103.07764064044153</v>
      </c>
      <c r="AD66" s="25">
        <f t="shared" si="59"/>
        <v>153</v>
      </c>
      <c r="AE66" s="6">
        <f t="shared" si="59"/>
        <v>204</v>
      </c>
      <c r="AF66" s="6">
        <f t="shared" si="59"/>
        <v>306</v>
      </c>
      <c r="AG66" s="6">
        <f t="shared" si="59"/>
        <v>408</v>
      </c>
      <c r="AH66" s="6">
        <f t="shared" si="59"/>
        <v>509.99999999999994</v>
      </c>
      <c r="AI66" s="6">
        <f t="shared" si="59"/>
        <v>612</v>
      </c>
      <c r="AJ66" s="6">
        <f t="shared" si="59"/>
        <v>714</v>
      </c>
      <c r="AK66" s="6">
        <f t="shared" si="59"/>
        <v>816</v>
      </c>
      <c r="AL66" s="6">
        <f t="shared" si="59"/>
        <v>1019.9999999999999</v>
      </c>
      <c r="AO66" t="s">
        <v>700</v>
      </c>
    </row>
    <row r="67" spans="1:79" x14ac:dyDescent="0.25">
      <c r="A67" t="s">
        <v>671</v>
      </c>
      <c r="V67" t="s">
        <v>399</v>
      </c>
      <c r="AB67" s="25">
        <f t="shared" ref="AB67:AL67" si="60">($P$3*AB$18/2)/AB65</f>
        <v>72.347804341447187</v>
      </c>
      <c r="AC67" s="25">
        <f t="shared" si="60"/>
        <v>83.540048623625836</v>
      </c>
      <c r="AD67" s="25">
        <f t="shared" si="60"/>
        <v>124.00000000000001</v>
      </c>
      <c r="AE67" s="6">
        <f t="shared" si="60"/>
        <v>165.33333333333337</v>
      </c>
      <c r="AF67" s="6">
        <f t="shared" si="60"/>
        <v>248.00000000000003</v>
      </c>
      <c r="AG67" s="6">
        <f t="shared" si="60"/>
        <v>330.66666666666674</v>
      </c>
      <c r="AH67" s="6">
        <f t="shared" si="60"/>
        <v>413.33333333333337</v>
      </c>
      <c r="AI67" s="6">
        <f t="shared" si="60"/>
        <v>496.00000000000006</v>
      </c>
      <c r="AJ67" s="6">
        <f t="shared" si="60"/>
        <v>578.66666666666674</v>
      </c>
      <c r="AK67" s="6">
        <f t="shared" si="60"/>
        <v>661.33333333333348</v>
      </c>
      <c r="AL67" s="6">
        <f t="shared" si="60"/>
        <v>826.66666666666674</v>
      </c>
    </row>
    <row r="68" spans="1:79" x14ac:dyDescent="0.25">
      <c r="A68" t="s">
        <v>63</v>
      </c>
      <c r="L68">
        <v>0.8</v>
      </c>
      <c r="M68">
        <v>0.8</v>
      </c>
      <c r="N68">
        <v>0.8</v>
      </c>
      <c r="O68">
        <v>0.8</v>
      </c>
      <c r="P68">
        <v>0.8</v>
      </c>
      <c r="Q68">
        <v>0.8</v>
      </c>
      <c r="AO68" t="s">
        <v>701</v>
      </c>
      <c r="BK68" t="s">
        <v>760</v>
      </c>
    </row>
    <row r="69" spans="1:79" x14ac:dyDescent="0.25">
      <c r="A69" t="s">
        <v>607</v>
      </c>
      <c r="L69">
        <v>0.3</v>
      </c>
      <c r="M69">
        <v>0.3</v>
      </c>
      <c r="N69">
        <v>0.3</v>
      </c>
      <c r="O69">
        <v>0.3</v>
      </c>
      <c r="P69">
        <v>0.3</v>
      </c>
      <c r="Q69">
        <v>0.3</v>
      </c>
      <c r="V69">
        <v>3</v>
      </c>
      <c r="W69" t="s">
        <v>618</v>
      </c>
    </row>
    <row r="70" spans="1:79" x14ac:dyDescent="0.25">
      <c r="A70" t="s">
        <v>150</v>
      </c>
      <c r="K70" s="25"/>
      <c r="L70" s="25">
        <f>(L24/4)^0.5</f>
        <v>22.360679774997898</v>
      </c>
      <c r="M70" s="25">
        <f t="shared" ref="M70:Q70" si="61">(M24/4)^0.5</f>
        <v>25</v>
      </c>
      <c r="N70" s="6">
        <f t="shared" si="61"/>
        <v>27.386127875258307</v>
      </c>
      <c r="O70" s="6">
        <f t="shared" si="61"/>
        <v>29.58039891549808</v>
      </c>
      <c r="P70" s="6">
        <f t="shared" si="61"/>
        <v>31.622776601683793</v>
      </c>
      <c r="Q70" s="6">
        <f t="shared" si="61"/>
        <v>35.355339059327378</v>
      </c>
      <c r="V70" t="s">
        <v>63</v>
      </c>
      <c r="AE70">
        <f t="shared" ref="AE70:AL70" si="62">AE59</f>
        <v>0.6</v>
      </c>
      <c r="AF70">
        <f t="shared" si="62"/>
        <v>0.6</v>
      </c>
      <c r="AG70">
        <f t="shared" si="62"/>
        <v>0.6</v>
      </c>
      <c r="AH70">
        <f t="shared" si="62"/>
        <v>0.6</v>
      </c>
      <c r="AI70">
        <f t="shared" si="62"/>
        <v>0.6</v>
      </c>
      <c r="AJ70">
        <f t="shared" si="62"/>
        <v>0.6</v>
      </c>
      <c r="AK70">
        <f t="shared" si="62"/>
        <v>0.6</v>
      </c>
      <c r="AL70">
        <f t="shared" si="62"/>
        <v>0.6</v>
      </c>
      <c r="AO70" t="s">
        <v>702</v>
      </c>
      <c r="BK70" t="s">
        <v>761</v>
      </c>
      <c r="BL70">
        <f>AP39*2+0.6</f>
        <v>11.799999999999999</v>
      </c>
      <c r="BM70">
        <f t="shared" ref="BM70:CA70" si="63">AQ39*2+0.6</f>
        <v>16.399999999999999</v>
      </c>
      <c r="BN70">
        <f t="shared" si="63"/>
        <v>22.8</v>
      </c>
      <c r="BO70">
        <f t="shared" si="63"/>
        <v>27.8</v>
      </c>
      <c r="BP70">
        <f t="shared" si="63"/>
        <v>35.6</v>
      </c>
      <c r="BQ70">
        <f t="shared" si="63"/>
        <v>43.6</v>
      </c>
      <c r="BR70">
        <f t="shared" si="63"/>
        <v>50.2</v>
      </c>
      <c r="BS70">
        <f t="shared" si="63"/>
        <v>50.6</v>
      </c>
      <c r="BT70">
        <f t="shared" si="63"/>
        <v>50.6</v>
      </c>
      <c r="BU70">
        <f t="shared" si="63"/>
        <v>50.6</v>
      </c>
      <c r="BV70">
        <f t="shared" si="63"/>
        <v>50.6</v>
      </c>
      <c r="BW70">
        <f t="shared" si="63"/>
        <v>50.6</v>
      </c>
      <c r="BX70">
        <f t="shared" si="63"/>
        <v>50.6</v>
      </c>
      <c r="BY70">
        <f t="shared" si="63"/>
        <v>50.6</v>
      </c>
      <c r="BZ70">
        <f t="shared" si="63"/>
        <v>50.6</v>
      </c>
      <c r="CA70">
        <f t="shared" si="63"/>
        <v>50.6</v>
      </c>
    </row>
    <row r="71" spans="1:79" x14ac:dyDescent="0.25">
      <c r="A71" t="s">
        <v>116</v>
      </c>
      <c r="K71" s="25"/>
      <c r="L71" s="25">
        <f t="shared" ref="L71" si="64">L70</f>
        <v>22.360679774997898</v>
      </c>
      <c r="M71" s="25">
        <f t="shared" ref="M71" si="65">M70</f>
        <v>25</v>
      </c>
      <c r="N71" s="6">
        <f t="shared" ref="N71" si="66">N70</f>
        <v>27.386127875258307</v>
      </c>
      <c r="O71" s="6">
        <f t="shared" ref="O71" si="67">O70</f>
        <v>29.58039891549808</v>
      </c>
      <c r="P71" s="6">
        <f t="shared" ref="P71" si="68">P70</f>
        <v>31.622776601683793</v>
      </c>
      <c r="Q71" s="6">
        <f t="shared" ref="Q71" si="69">Q70</f>
        <v>35.355339059327378</v>
      </c>
      <c r="V71" t="s">
        <v>607</v>
      </c>
      <c r="AE71">
        <f t="shared" ref="AE71:AL71" si="70">AE60</f>
        <v>0.4</v>
      </c>
      <c r="AF71">
        <f t="shared" si="70"/>
        <v>0.4</v>
      </c>
      <c r="AG71">
        <f t="shared" si="70"/>
        <v>0.4</v>
      </c>
      <c r="AH71">
        <f t="shared" si="70"/>
        <v>0.4</v>
      </c>
      <c r="AI71">
        <f t="shared" si="70"/>
        <v>0.4</v>
      </c>
      <c r="AJ71">
        <f t="shared" si="70"/>
        <v>0.4</v>
      </c>
      <c r="AK71">
        <f t="shared" si="70"/>
        <v>0.4</v>
      </c>
      <c r="AL71">
        <f t="shared" si="70"/>
        <v>0.4</v>
      </c>
      <c r="AO71" t="s">
        <v>703</v>
      </c>
      <c r="BK71" t="s">
        <v>762</v>
      </c>
      <c r="BL71">
        <v>2</v>
      </c>
      <c r="BM71">
        <v>2</v>
      </c>
      <c r="BN71">
        <v>2</v>
      </c>
      <c r="BO71">
        <v>2</v>
      </c>
      <c r="BP71">
        <v>2</v>
      </c>
      <c r="BQ71">
        <v>2</v>
      </c>
      <c r="BR71">
        <v>2</v>
      </c>
      <c r="BS71">
        <v>2</v>
      </c>
      <c r="BT71">
        <v>2</v>
      </c>
      <c r="BU71">
        <v>2</v>
      </c>
      <c r="BV71">
        <v>2</v>
      </c>
      <c r="BW71">
        <v>2</v>
      </c>
      <c r="BX71">
        <v>2</v>
      </c>
      <c r="BY71">
        <v>2</v>
      </c>
      <c r="BZ71">
        <v>2</v>
      </c>
      <c r="CA71">
        <v>2</v>
      </c>
    </row>
    <row r="72" spans="1:79" x14ac:dyDescent="0.25">
      <c r="V72" t="s">
        <v>150</v>
      </c>
      <c r="AE72">
        <f t="shared" ref="AE72:AL72" si="71">AE$50/$V69</f>
        <v>5.44</v>
      </c>
      <c r="AF72">
        <f t="shared" si="71"/>
        <v>8.16</v>
      </c>
      <c r="AG72">
        <f t="shared" si="71"/>
        <v>10.88</v>
      </c>
      <c r="AH72">
        <f t="shared" si="71"/>
        <v>13.6</v>
      </c>
      <c r="AI72">
        <f t="shared" si="71"/>
        <v>16.32</v>
      </c>
      <c r="AJ72">
        <f t="shared" si="71"/>
        <v>19.04</v>
      </c>
      <c r="AK72">
        <f t="shared" si="71"/>
        <v>21.76</v>
      </c>
      <c r="AL72">
        <f t="shared" si="71"/>
        <v>27.2</v>
      </c>
      <c r="BK72" t="s">
        <v>763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>
        <v>1</v>
      </c>
      <c r="BZ72">
        <v>1</v>
      </c>
      <c r="CA72">
        <v>1</v>
      </c>
    </row>
    <row r="73" spans="1:79" x14ac:dyDescent="0.25">
      <c r="A73" t="s">
        <v>672</v>
      </c>
      <c r="V73" t="s">
        <v>116</v>
      </c>
      <c r="AE73" s="7">
        <f t="shared" ref="AE73:AL73" si="72">AE62</f>
        <v>25</v>
      </c>
      <c r="AF73" s="7">
        <f t="shared" si="72"/>
        <v>25</v>
      </c>
      <c r="AG73" s="7">
        <f t="shared" si="72"/>
        <v>25</v>
      </c>
      <c r="AH73" s="7">
        <f t="shared" si="72"/>
        <v>25</v>
      </c>
      <c r="AI73" s="7">
        <f t="shared" si="72"/>
        <v>25</v>
      </c>
      <c r="AJ73" s="7">
        <f t="shared" si="72"/>
        <v>25</v>
      </c>
      <c r="AK73" s="7">
        <f t="shared" si="72"/>
        <v>25</v>
      </c>
      <c r="AL73" s="7">
        <f t="shared" si="72"/>
        <v>25</v>
      </c>
      <c r="AO73" t="s">
        <v>704</v>
      </c>
      <c r="BK73" t="s">
        <v>764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>
        <v>1</v>
      </c>
      <c r="BZ73">
        <v>1</v>
      </c>
      <c r="CA73">
        <v>1</v>
      </c>
    </row>
    <row r="74" spans="1:79" x14ac:dyDescent="0.25">
      <c r="A74" t="s">
        <v>63</v>
      </c>
      <c r="N74" s="25">
        <v>0.8</v>
      </c>
      <c r="O74">
        <v>0.8</v>
      </c>
      <c r="P74">
        <v>0.8</v>
      </c>
      <c r="Q74">
        <v>0.8</v>
      </c>
      <c r="BK74" t="s">
        <v>766</v>
      </c>
      <c r="BL74">
        <v>1</v>
      </c>
      <c r="BM74">
        <v>1</v>
      </c>
      <c r="BN74">
        <v>1</v>
      </c>
      <c r="BO74">
        <v>1</v>
      </c>
      <c r="BP74">
        <v>1</v>
      </c>
      <c r="BQ74">
        <v>1</v>
      </c>
      <c r="BR74">
        <v>1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>
        <v>1</v>
      </c>
      <c r="BZ74">
        <v>1</v>
      </c>
      <c r="CA74">
        <v>1</v>
      </c>
    </row>
    <row r="75" spans="1:79" x14ac:dyDescent="0.25">
      <c r="A75" t="s">
        <v>607</v>
      </c>
      <c r="N75" s="25">
        <v>0.3</v>
      </c>
      <c r="O75">
        <v>0.3</v>
      </c>
      <c r="P75">
        <v>0.3</v>
      </c>
      <c r="Q75">
        <v>0.3</v>
      </c>
      <c r="V75" t="s">
        <v>609</v>
      </c>
      <c r="AO75" t="s">
        <v>705</v>
      </c>
    </row>
    <row r="76" spans="1:79" x14ac:dyDescent="0.25">
      <c r="A76" t="s">
        <v>150</v>
      </c>
      <c r="K76" s="25"/>
      <c r="L76" s="25"/>
      <c r="M76" s="25"/>
      <c r="N76" s="25">
        <f>(N24/5)^0.5</f>
        <v>24.494897427831781</v>
      </c>
      <c r="O76" s="6">
        <f t="shared" ref="O76:Q76" si="73">(O24/5)^0.5</f>
        <v>26.457513110645905</v>
      </c>
      <c r="P76" s="6">
        <f t="shared" si="73"/>
        <v>28.284271247461902</v>
      </c>
      <c r="Q76" s="6">
        <f t="shared" si="73"/>
        <v>31.622776601683793</v>
      </c>
      <c r="V76" t="s">
        <v>615</v>
      </c>
      <c r="AE76" s="7">
        <f>AE70*AE73</f>
        <v>15</v>
      </c>
      <c r="AF76" s="7">
        <f t="shared" ref="AF76:AL76" si="74">AF70*AF73</f>
        <v>15</v>
      </c>
      <c r="AG76" s="7">
        <f t="shared" si="74"/>
        <v>15</v>
      </c>
      <c r="AH76" s="7">
        <f t="shared" si="74"/>
        <v>15</v>
      </c>
      <c r="AI76" s="7">
        <f t="shared" si="74"/>
        <v>15</v>
      </c>
      <c r="AJ76" s="7">
        <f t="shared" si="74"/>
        <v>15</v>
      </c>
      <c r="AK76" s="7">
        <f t="shared" si="74"/>
        <v>15</v>
      </c>
      <c r="AL76" s="7">
        <f t="shared" si="74"/>
        <v>15</v>
      </c>
      <c r="AO76" t="s">
        <v>706</v>
      </c>
    </row>
    <row r="77" spans="1:79" x14ac:dyDescent="0.25">
      <c r="A77" t="s">
        <v>116</v>
      </c>
      <c r="K77" s="25"/>
      <c r="L77" s="25"/>
      <c r="M77" s="25"/>
      <c r="N77" s="25">
        <f t="shared" ref="N77" si="75">N76</f>
        <v>24.494897427831781</v>
      </c>
      <c r="O77" s="6">
        <f t="shared" ref="O77" si="76">O76</f>
        <v>26.457513110645905</v>
      </c>
      <c r="P77" s="6">
        <f t="shared" ref="P77" si="77">P76</f>
        <v>28.284271247461902</v>
      </c>
      <c r="Q77" s="6">
        <f t="shared" ref="Q77" si="78">Q76</f>
        <v>31.622776601683793</v>
      </c>
      <c r="V77" t="s">
        <v>610</v>
      </c>
      <c r="AE77" s="25">
        <f t="shared" ref="AE77:AL77" si="79">($P$5*AE$18/$V69)/AE76</f>
        <v>136</v>
      </c>
      <c r="AF77" s="6">
        <f t="shared" si="79"/>
        <v>204</v>
      </c>
      <c r="AG77" s="6">
        <f t="shared" si="79"/>
        <v>272</v>
      </c>
      <c r="AH77" s="6">
        <f t="shared" si="79"/>
        <v>339.99999999999994</v>
      </c>
      <c r="AI77" s="6">
        <f t="shared" si="79"/>
        <v>408</v>
      </c>
      <c r="AJ77" s="6">
        <f t="shared" si="79"/>
        <v>476</v>
      </c>
      <c r="AK77" s="6">
        <f t="shared" si="79"/>
        <v>544</v>
      </c>
      <c r="AL77" s="6">
        <f t="shared" si="79"/>
        <v>679.99999999999989</v>
      </c>
    </row>
    <row r="78" spans="1:79" x14ac:dyDescent="0.25">
      <c r="V78" t="s">
        <v>399</v>
      </c>
      <c r="AE78" s="25">
        <f t="shared" ref="AE78:AL78" si="80">($P$3*AE$18/$V69)/AE76</f>
        <v>110.22222222222224</v>
      </c>
      <c r="AF78" s="25">
        <f t="shared" si="80"/>
        <v>165.33333333333337</v>
      </c>
      <c r="AG78" s="25">
        <f t="shared" si="80"/>
        <v>220.44444444444449</v>
      </c>
      <c r="AH78" s="25">
        <f t="shared" si="80"/>
        <v>275.5555555555556</v>
      </c>
      <c r="AI78" s="25">
        <f t="shared" si="80"/>
        <v>330.66666666666674</v>
      </c>
      <c r="AJ78" s="6">
        <f t="shared" si="80"/>
        <v>385.77777777777789</v>
      </c>
      <c r="AK78" s="6">
        <f t="shared" si="80"/>
        <v>440.88888888888897</v>
      </c>
      <c r="AL78" s="6">
        <f t="shared" si="80"/>
        <v>551.1111111111112</v>
      </c>
      <c r="AO78" s="10" t="s">
        <v>707</v>
      </c>
      <c r="BK78" t="s">
        <v>14</v>
      </c>
    </row>
    <row r="79" spans="1:79" x14ac:dyDescent="0.25">
      <c r="A79" t="s">
        <v>673</v>
      </c>
      <c r="BK79" t="s">
        <v>116</v>
      </c>
      <c r="BL79">
        <v>1.2</v>
      </c>
      <c r="BM79" t="s">
        <v>191</v>
      </c>
    </row>
    <row r="80" spans="1:79" x14ac:dyDescent="0.25">
      <c r="A80" t="s">
        <v>63</v>
      </c>
      <c r="O80" s="25">
        <v>0.8</v>
      </c>
      <c r="P80">
        <v>0.8</v>
      </c>
      <c r="Q80">
        <v>0.8</v>
      </c>
      <c r="V80">
        <v>4</v>
      </c>
      <c r="W80" t="s">
        <v>618</v>
      </c>
      <c r="AO80" t="s">
        <v>719</v>
      </c>
      <c r="BK80" t="s">
        <v>63</v>
      </c>
      <c r="BL80">
        <v>1</v>
      </c>
      <c r="BM80" t="s">
        <v>191</v>
      </c>
    </row>
    <row r="81" spans="1:79" x14ac:dyDescent="0.25">
      <c r="A81" t="s">
        <v>607</v>
      </c>
      <c r="O81" s="25">
        <v>0.3</v>
      </c>
      <c r="P81">
        <v>0.3</v>
      </c>
      <c r="Q81">
        <v>0.3</v>
      </c>
      <c r="V81" t="s">
        <v>63</v>
      </c>
      <c r="AF81">
        <f t="shared" ref="AF81:AL81" si="81">AF70</f>
        <v>0.6</v>
      </c>
      <c r="AG81">
        <f t="shared" si="81"/>
        <v>0.6</v>
      </c>
      <c r="AH81">
        <f t="shared" si="81"/>
        <v>0.6</v>
      </c>
      <c r="AI81">
        <f t="shared" si="81"/>
        <v>0.6</v>
      </c>
      <c r="AJ81">
        <f t="shared" si="81"/>
        <v>0.6</v>
      </c>
      <c r="AK81">
        <f t="shared" si="81"/>
        <v>0.6</v>
      </c>
      <c r="AL81">
        <f t="shared" si="81"/>
        <v>0.6</v>
      </c>
      <c r="AO81" t="s">
        <v>721</v>
      </c>
      <c r="AP81">
        <f>ROUNDDOWN(AP39,0)</f>
        <v>5</v>
      </c>
      <c r="AQ81">
        <f t="shared" ref="AQ81:BE81" si="82">ROUNDDOWN(AQ39,0)</f>
        <v>7</v>
      </c>
      <c r="AR81">
        <f t="shared" si="82"/>
        <v>11</v>
      </c>
      <c r="AS81">
        <f t="shared" si="82"/>
        <v>13</v>
      </c>
      <c r="AT81">
        <f t="shared" si="82"/>
        <v>17</v>
      </c>
      <c r="AU81">
        <f t="shared" si="82"/>
        <v>21</v>
      </c>
      <c r="AV81">
        <f t="shared" si="82"/>
        <v>24</v>
      </c>
      <c r="AW81">
        <f t="shared" si="82"/>
        <v>25</v>
      </c>
      <c r="AX81">
        <f t="shared" si="82"/>
        <v>25</v>
      </c>
      <c r="AY81">
        <f t="shared" si="82"/>
        <v>25</v>
      </c>
      <c r="AZ81">
        <f t="shared" si="82"/>
        <v>25</v>
      </c>
      <c r="BA81">
        <f t="shared" si="82"/>
        <v>25</v>
      </c>
      <c r="BB81">
        <f t="shared" si="82"/>
        <v>25</v>
      </c>
      <c r="BC81">
        <f t="shared" si="82"/>
        <v>25</v>
      </c>
      <c r="BD81">
        <f t="shared" si="82"/>
        <v>25</v>
      </c>
      <c r="BE81">
        <f t="shared" si="82"/>
        <v>25</v>
      </c>
      <c r="BK81" t="s">
        <v>150</v>
      </c>
      <c r="BL81">
        <v>0.5</v>
      </c>
      <c r="BM81" t="s">
        <v>191</v>
      </c>
    </row>
    <row r="82" spans="1:79" x14ac:dyDescent="0.25">
      <c r="A82" t="s">
        <v>150</v>
      </c>
      <c r="K82" s="25"/>
      <c r="L82" s="25"/>
      <c r="M82" s="25"/>
      <c r="N82" s="6"/>
      <c r="O82" s="25">
        <f t="shared" ref="O82:Q82" si="83">(O24/6)^0.5</f>
        <v>24.152294576982399</v>
      </c>
      <c r="P82" s="6">
        <f t="shared" si="83"/>
        <v>25.819888974716111</v>
      </c>
      <c r="Q82" s="6">
        <f t="shared" si="83"/>
        <v>28.867513459481287</v>
      </c>
      <c r="V82" t="s">
        <v>607</v>
      </c>
      <c r="AF82">
        <f t="shared" ref="AF82:AL82" si="84">AF71</f>
        <v>0.4</v>
      </c>
      <c r="AG82">
        <f t="shared" si="84"/>
        <v>0.4</v>
      </c>
      <c r="AH82">
        <f t="shared" si="84"/>
        <v>0.4</v>
      </c>
      <c r="AI82">
        <f t="shared" si="84"/>
        <v>0.4</v>
      </c>
      <c r="AJ82">
        <f t="shared" si="84"/>
        <v>0.4</v>
      </c>
      <c r="AK82">
        <f t="shared" si="84"/>
        <v>0.4</v>
      </c>
      <c r="AL82">
        <f t="shared" si="84"/>
        <v>0.4</v>
      </c>
    </row>
    <row r="83" spans="1:79" x14ac:dyDescent="0.25">
      <c r="A83" t="s">
        <v>116</v>
      </c>
      <c r="K83" s="25"/>
      <c r="L83" s="25"/>
      <c r="M83" s="25"/>
      <c r="N83" s="6"/>
      <c r="O83" s="25">
        <f t="shared" ref="O83" si="85">O82</f>
        <v>24.152294576982399</v>
      </c>
      <c r="P83" s="6">
        <f t="shared" ref="P83" si="86">P82</f>
        <v>25.819888974716111</v>
      </c>
      <c r="Q83" s="6">
        <f t="shared" ref="Q83" si="87">Q82</f>
        <v>28.867513459481287</v>
      </c>
      <c r="V83" t="s">
        <v>150</v>
      </c>
      <c r="AF83">
        <f t="shared" ref="AF83:AL83" si="88">AF$50/$V80</f>
        <v>6.12</v>
      </c>
      <c r="AG83">
        <f t="shared" si="88"/>
        <v>8.16</v>
      </c>
      <c r="AH83">
        <f t="shared" si="88"/>
        <v>10.199999999999999</v>
      </c>
      <c r="AI83">
        <f t="shared" si="88"/>
        <v>12.24</v>
      </c>
      <c r="AJ83">
        <f t="shared" si="88"/>
        <v>14.28</v>
      </c>
      <c r="AK83">
        <f t="shared" si="88"/>
        <v>16.32</v>
      </c>
      <c r="AL83">
        <f t="shared" si="88"/>
        <v>20.399999999999999</v>
      </c>
      <c r="AO83" t="s">
        <v>67</v>
      </c>
      <c r="AP83">
        <f>AP39-AP81</f>
        <v>0.59999999999999964</v>
      </c>
      <c r="AQ83">
        <f t="shared" ref="AQ83:BE83" si="89">AQ39-AQ81</f>
        <v>0.89999999999999947</v>
      </c>
      <c r="AR83">
        <f t="shared" si="89"/>
        <v>9.9999999999999645E-2</v>
      </c>
      <c r="AS83">
        <f t="shared" si="89"/>
        <v>0.59999999999999964</v>
      </c>
      <c r="AT83">
        <f t="shared" si="89"/>
        <v>0.5</v>
      </c>
      <c r="AU83">
        <f t="shared" si="89"/>
        <v>0.5</v>
      </c>
      <c r="AV83">
        <f t="shared" si="89"/>
        <v>0.80000000000000071</v>
      </c>
      <c r="AW83">
        <f t="shared" si="89"/>
        <v>0</v>
      </c>
      <c r="AX83">
        <f t="shared" si="89"/>
        <v>0</v>
      </c>
      <c r="AY83">
        <f t="shared" si="89"/>
        <v>0</v>
      </c>
      <c r="AZ83">
        <f t="shared" si="89"/>
        <v>0</v>
      </c>
      <c r="BA83">
        <f t="shared" si="89"/>
        <v>0</v>
      </c>
      <c r="BB83">
        <f t="shared" si="89"/>
        <v>0</v>
      </c>
      <c r="BC83">
        <f t="shared" si="89"/>
        <v>0</v>
      </c>
      <c r="BD83">
        <f t="shared" si="89"/>
        <v>0</v>
      </c>
      <c r="BE83">
        <f t="shared" si="89"/>
        <v>0</v>
      </c>
    </row>
    <row r="84" spans="1:79" x14ac:dyDescent="0.25">
      <c r="V84" t="s">
        <v>116</v>
      </c>
      <c r="AF84" s="7">
        <f t="shared" ref="AF84:AL84" si="90">AF73</f>
        <v>25</v>
      </c>
      <c r="AG84" s="7">
        <f t="shared" si="90"/>
        <v>25</v>
      </c>
      <c r="AH84" s="7">
        <f t="shared" si="90"/>
        <v>25</v>
      </c>
      <c r="AI84" s="7">
        <f t="shared" si="90"/>
        <v>25</v>
      </c>
      <c r="AJ84" s="7">
        <f t="shared" si="90"/>
        <v>25</v>
      </c>
      <c r="AK84" s="7">
        <f t="shared" si="90"/>
        <v>25</v>
      </c>
      <c r="AL84" s="7">
        <f t="shared" si="90"/>
        <v>25</v>
      </c>
      <c r="AO84" t="s">
        <v>722</v>
      </c>
      <c r="BK84" t="s">
        <v>125</v>
      </c>
      <c r="BL84">
        <f>$BL$79*$BL$80*$BL$81*BL90</f>
        <v>0.6</v>
      </c>
      <c r="BM84">
        <f t="shared" ref="BM84:CA84" si="91">$BL$79*$BL$80*$BL$81*BM90</f>
        <v>0.6</v>
      </c>
      <c r="BN84">
        <f t="shared" si="91"/>
        <v>0.6</v>
      </c>
      <c r="BO84">
        <f t="shared" si="91"/>
        <v>0.6</v>
      </c>
      <c r="BP84">
        <f t="shared" si="91"/>
        <v>0.6</v>
      </c>
      <c r="BQ84">
        <f t="shared" si="91"/>
        <v>1.2</v>
      </c>
      <c r="BR84">
        <f t="shared" si="91"/>
        <v>1.2</v>
      </c>
      <c r="BS84">
        <f t="shared" si="91"/>
        <v>1.2</v>
      </c>
      <c r="BT84">
        <f t="shared" si="91"/>
        <v>1.7999999999999998</v>
      </c>
      <c r="BU84">
        <f t="shared" si="91"/>
        <v>2.4</v>
      </c>
      <c r="BV84">
        <f t="shared" si="91"/>
        <v>3.5999999999999996</v>
      </c>
      <c r="BW84">
        <f t="shared" si="91"/>
        <v>4.2</v>
      </c>
      <c r="BX84">
        <f t="shared" si="91"/>
        <v>4.8</v>
      </c>
      <c r="BY84">
        <f t="shared" si="91"/>
        <v>6</v>
      </c>
      <c r="BZ84">
        <f t="shared" si="91"/>
        <v>6.6</v>
      </c>
      <c r="CA84">
        <f t="shared" si="91"/>
        <v>8.4</v>
      </c>
    </row>
    <row r="85" spans="1:79" x14ac:dyDescent="0.25">
      <c r="A85" t="s">
        <v>674</v>
      </c>
      <c r="AO85" t="s">
        <v>723</v>
      </c>
      <c r="AP85">
        <v>1</v>
      </c>
      <c r="AR85">
        <v>1</v>
      </c>
      <c r="AS85">
        <v>1</v>
      </c>
      <c r="AT85">
        <v>1</v>
      </c>
      <c r="AU85">
        <v>1</v>
      </c>
    </row>
    <row r="86" spans="1:79" x14ac:dyDescent="0.25">
      <c r="A86" t="s">
        <v>63</v>
      </c>
      <c r="O86" s="25"/>
      <c r="P86">
        <v>0.8</v>
      </c>
      <c r="Q86">
        <v>0.8</v>
      </c>
      <c r="V86" t="s">
        <v>609</v>
      </c>
      <c r="AO86" t="s">
        <v>724</v>
      </c>
      <c r="AQ86">
        <v>1</v>
      </c>
      <c r="AV86">
        <v>1</v>
      </c>
      <c r="BK86" t="s">
        <v>112</v>
      </c>
      <c r="BL86">
        <f>($BL$79*$BL$80*4+$BL$81*$BL$79)*BL90</f>
        <v>5.3999999999999995</v>
      </c>
      <c r="BM86">
        <f t="shared" ref="BM86:CA86" si="92">($BL$79*$BL$80*4+$BL$81*$BL$79)*BM90</f>
        <v>5.3999999999999995</v>
      </c>
      <c r="BN86">
        <f t="shared" si="92"/>
        <v>5.3999999999999995</v>
      </c>
      <c r="BO86">
        <f t="shared" si="92"/>
        <v>5.3999999999999995</v>
      </c>
      <c r="BP86">
        <f t="shared" si="92"/>
        <v>5.3999999999999995</v>
      </c>
      <c r="BQ86">
        <f t="shared" si="92"/>
        <v>10.799999999999999</v>
      </c>
      <c r="BR86">
        <f t="shared" si="92"/>
        <v>10.799999999999999</v>
      </c>
      <c r="BS86">
        <f t="shared" si="92"/>
        <v>10.799999999999999</v>
      </c>
      <c r="BT86">
        <f t="shared" si="92"/>
        <v>16.2</v>
      </c>
      <c r="BU86">
        <f t="shared" si="92"/>
        <v>21.599999999999998</v>
      </c>
      <c r="BV86">
        <f t="shared" si="92"/>
        <v>32.4</v>
      </c>
      <c r="BW86">
        <f t="shared" si="92"/>
        <v>37.799999999999997</v>
      </c>
      <c r="BX86">
        <f t="shared" si="92"/>
        <v>43.199999999999996</v>
      </c>
      <c r="BY86">
        <f t="shared" si="92"/>
        <v>53.999999999999993</v>
      </c>
      <c r="BZ86">
        <f t="shared" si="92"/>
        <v>59.399999999999991</v>
      </c>
      <c r="CA86">
        <f t="shared" si="92"/>
        <v>75.599999999999994</v>
      </c>
    </row>
    <row r="87" spans="1:79" x14ac:dyDescent="0.25">
      <c r="A87" t="s">
        <v>607</v>
      </c>
      <c r="O87" s="25"/>
      <c r="P87">
        <v>0.3</v>
      </c>
      <c r="Q87">
        <v>0.3</v>
      </c>
      <c r="V87" t="s">
        <v>615</v>
      </c>
      <c r="AF87" s="7">
        <f t="shared" ref="AF87:AL87" si="93">AF81*AF84</f>
        <v>15</v>
      </c>
      <c r="AG87" s="7">
        <f t="shared" si="93"/>
        <v>15</v>
      </c>
      <c r="AH87" s="7">
        <f t="shared" si="93"/>
        <v>15</v>
      </c>
      <c r="AI87" s="7">
        <f t="shared" si="93"/>
        <v>15</v>
      </c>
      <c r="AJ87" s="7">
        <f t="shared" si="93"/>
        <v>15</v>
      </c>
      <c r="AK87" s="7">
        <f t="shared" si="93"/>
        <v>15</v>
      </c>
      <c r="AL87" s="7">
        <f t="shared" si="93"/>
        <v>15</v>
      </c>
    </row>
    <row r="88" spans="1:79" x14ac:dyDescent="0.25">
      <c r="A88" t="s">
        <v>150</v>
      </c>
      <c r="K88" s="25"/>
      <c r="L88" s="25"/>
      <c r="M88" s="25"/>
      <c r="N88" s="6"/>
      <c r="O88" s="25"/>
      <c r="P88" s="25">
        <f>(P24/7)^0.5</f>
        <v>23.904572186687872</v>
      </c>
      <c r="Q88" s="6">
        <f>(Q24/7)^0.5</f>
        <v>26.726124191242441</v>
      </c>
      <c r="V88" t="s">
        <v>610</v>
      </c>
      <c r="AF88" s="25">
        <f t="shared" ref="AF88:AL88" si="94">($P$5*AF$18/$V80)/AF87</f>
        <v>153</v>
      </c>
      <c r="AG88" s="6">
        <f t="shared" si="94"/>
        <v>204</v>
      </c>
      <c r="AH88" s="6">
        <f t="shared" si="94"/>
        <v>254.99999999999997</v>
      </c>
      <c r="AI88" s="6">
        <f t="shared" si="94"/>
        <v>306</v>
      </c>
      <c r="AJ88" s="6">
        <f t="shared" si="94"/>
        <v>357</v>
      </c>
      <c r="AK88" s="6">
        <f t="shared" si="94"/>
        <v>408</v>
      </c>
      <c r="AL88" s="6">
        <f t="shared" si="94"/>
        <v>509.99999999999994</v>
      </c>
      <c r="AO88" t="s">
        <v>719</v>
      </c>
      <c r="AP88">
        <f>AP81*4+AP86</f>
        <v>20</v>
      </c>
      <c r="AQ88">
        <f t="shared" ref="AQ88:BE88" si="95">AQ81*4+AQ86</f>
        <v>29</v>
      </c>
      <c r="AR88">
        <f t="shared" si="95"/>
        <v>44</v>
      </c>
      <c r="AS88">
        <f t="shared" si="95"/>
        <v>52</v>
      </c>
      <c r="AT88">
        <f t="shared" si="95"/>
        <v>68</v>
      </c>
      <c r="AU88">
        <f t="shared" si="95"/>
        <v>84</v>
      </c>
      <c r="AV88">
        <f t="shared" si="95"/>
        <v>97</v>
      </c>
      <c r="AW88">
        <f t="shared" si="95"/>
        <v>100</v>
      </c>
      <c r="AX88">
        <f t="shared" si="95"/>
        <v>100</v>
      </c>
      <c r="AY88">
        <f t="shared" si="95"/>
        <v>100</v>
      </c>
      <c r="AZ88">
        <f t="shared" si="95"/>
        <v>100</v>
      </c>
      <c r="BA88">
        <f t="shared" si="95"/>
        <v>100</v>
      </c>
      <c r="BB88">
        <f t="shared" si="95"/>
        <v>100</v>
      </c>
      <c r="BC88">
        <f t="shared" si="95"/>
        <v>100</v>
      </c>
      <c r="BD88">
        <f t="shared" si="95"/>
        <v>100</v>
      </c>
      <c r="BE88">
        <f t="shared" si="95"/>
        <v>100</v>
      </c>
    </row>
    <row r="89" spans="1:79" x14ac:dyDescent="0.25">
      <c r="A89" t="s">
        <v>116</v>
      </c>
      <c r="K89" s="25"/>
      <c r="L89" s="25"/>
      <c r="M89" s="25"/>
      <c r="N89" s="6"/>
      <c r="O89" s="25"/>
      <c r="P89" s="25">
        <f t="shared" ref="P89:Q89" si="96">P88</f>
        <v>23.904572186687872</v>
      </c>
      <c r="Q89" s="6">
        <f t="shared" si="96"/>
        <v>26.726124191242441</v>
      </c>
      <c r="V89" t="s">
        <v>399</v>
      </c>
      <c r="AF89" s="25">
        <f t="shared" ref="AF89:AL89" si="97">($P$3*AF$18/$V80)/AF87</f>
        <v>124.00000000000001</v>
      </c>
      <c r="AG89" s="25">
        <f t="shared" si="97"/>
        <v>165.33333333333337</v>
      </c>
      <c r="AH89" s="25">
        <f t="shared" si="97"/>
        <v>206.66666666666669</v>
      </c>
      <c r="AI89" s="25">
        <f t="shared" si="97"/>
        <v>248.00000000000003</v>
      </c>
      <c r="AJ89" s="25">
        <f t="shared" si="97"/>
        <v>289.33333333333337</v>
      </c>
      <c r="AK89" s="25">
        <f t="shared" si="97"/>
        <v>330.66666666666674</v>
      </c>
      <c r="AL89" s="25">
        <f t="shared" si="97"/>
        <v>413.33333333333337</v>
      </c>
    </row>
    <row r="90" spans="1:79" x14ac:dyDescent="0.25">
      <c r="AO90" t="s">
        <v>720</v>
      </c>
      <c r="AP90">
        <f>AP81+2+AP85</f>
        <v>8</v>
      </c>
      <c r="AQ90">
        <f t="shared" ref="AQ90:BE90" si="98">AQ81+2+AQ85</f>
        <v>9</v>
      </c>
      <c r="AR90">
        <f t="shared" si="98"/>
        <v>14</v>
      </c>
      <c r="AS90">
        <f t="shared" si="98"/>
        <v>16</v>
      </c>
      <c r="AT90">
        <f t="shared" si="98"/>
        <v>20</v>
      </c>
      <c r="AU90">
        <f t="shared" si="98"/>
        <v>24</v>
      </c>
      <c r="AV90">
        <f t="shared" si="98"/>
        <v>26</v>
      </c>
      <c r="AW90">
        <f t="shared" si="98"/>
        <v>27</v>
      </c>
      <c r="AX90">
        <f t="shared" si="98"/>
        <v>27</v>
      </c>
      <c r="AY90">
        <f t="shared" si="98"/>
        <v>27</v>
      </c>
      <c r="AZ90">
        <f t="shared" si="98"/>
        <v>27</v>
      </c>
      <c r="BA90">
        <f t="shared" si="98"/>
        <v>27</v>
      </c>
      <c r="BB90">
        <f t="shared" si="98"/>
        <v>27</v>
      </c>
      <c r="BC90">
        <f t="shared" si="98"/>
        <v>27</v>
      </c>
      <c r="BD90">
        <f t="shared" si="98"/>
        <v>27</v>
      </c>
      <c r="BE90">
        <f t="shared" si="98"/>
        <v>27</v>
      </c>
      <c r="BK90" s="10" t="s">
        <v>618</v>
      </c>
      <c r="BL90" s="10">
        <v>1</v>
      </c>
      <c r="BM90" s="10">
        <v>1</v>
      </c>
      <c r="BN90" s="10">
        <v>1</v>
      </c>
      <c r="BO90" s="10">
        <v>1</v>
      </c>
      <c r="BP90" s="10">
        <v>1</v>
      </c>
      <c r="BQ90" s="10">
        <v>2</v>
      </c>
      <c r="BR90" s="10">
        <v>2</v>
      </c>
      <c r="BS90" s="10">
        <v>2</v>
      </c>
      <c r="BT90" s="10">
        <v>3</v>
      </c>
      <c r="BU90" s="10">
        <v>4</v>
      </c>
      <c r="BV90" s="10">
        <v>6</v>
      </c>
      <c r="BW90" s="10">
        <v>7</v>
      </c>
      <c r="BX90" s="10">
        <v>8</v>
      </c>
      <c r="BY90" s="10">
        <v>10</v>
      </c>
      <c r="BZ90" s="10">
        <v>11</v>
      </c>
      <c r="CA90" s="10">
        <v>14</v>
      </c>
    </row>
    <row r="91" spans="1:79" x14ac:dyDescent="0.25">
      <c r="A91" t="s">
        <v>675</v>
      </c>
      <c r="V91">
        <v>5</v>
      </c>
      <c r="W91" t="s">
        <v>618</v>
      </c>
    </row>
    <row r="92" spans="1:79" x14ac:dyDescent="0.25">
      <c r="A92" t="s">
        <v>63</v>
      </c>
      <c r="O92" s="25"/>
      <c r="Q92" s="25">
        <v>0.8</v>
      </c>
      <c r="V92" t="s">
        <v>63</v>
      </c>
      <c r="AG92">
        <f t="shared" ref="AG92:AL92" si="99">AG81</f>
        <v>0.6</v>
      </c>
      <c r="AH92">
        <f t="shared" si="99"/>
        <v>0.6</v>
      </c>
      <c r="AI92">
        <f t="shared" si="99"/>
        <v>0.6</v>
      </c>
      <c r="AJ92">
        <f t="shared" si="99"/>
        <v>0.6</v>
      </c>
      <c r="AK92">
        <f t="shared" si="99"/>
        <v>0.6</v>
      </c>
      <c r="AL92">
        <f t="shared" si="99"/>
        <v>0.6</v>
      </c>
      <c r="AO92" t="s">
        <v>725</v>
      </c>
      <c r="AP92">
        <f>(AP90-1)*8+4</f>
        <v>60</v>
      </c>
      <c r="AQ92">
        <f t="shared" ref="AQ92:BE92" si="100">(AQ90-1)*8+4</f>
        <v>68</v>
      </c>
      <c r="AR92">
        <f t="shared" si="100"/>
        <v>108</v>
      </c>
      <c r="AS92">
        <f t="shared" si="100"/>
        <v>124</v>
      </c>
      <c r="AT92">
        <f t="shared" si="100"/>
        <v>156</v>
      </c>
      <c r="AU92">
        <f t="shared" si="100"/>
        <v>188</v>
      </c>
      <c r="AV92">
        <f t="shared" si="100"/>
        <v>204</v>
      </c>
      <c r="AW92">
        <f t="shared" si="100"/>
        <v>212</v>
      </c>
      <c r="AX92">
        <f t="shared" si="100"/>
        <v>212</v>
      </c>
      <c r="AY92">
        <f t="shared" si="100"/>
        <v>212</v>
      </c>
      <c r="AZ92">
        <f t="shared" si="100"/>
        <v>212</v>
      </c>
      <c r="BA92">
        <f t="shared" si="100"/>
        <v>212</v>
      </c>
      <c r="BB92">
        <f t="shared" si="100"/>
        <v>212</v>
      </c>
      <c r="BC92">
        <f t="shared" si="100"/>
        <v>212</v>
      </c>
      <c r="BD92">
        <f t="shared" si="100"/>
        <v>212</v>
      </c>
      <c r="BE92">
        <f t="shared" si="100"/>
        <v>212</v>
      </c>
      <c r="BK92" t="s">
        <v>765</v>
      </c>
    </row>
    <row r="93" spans="1:79" x14ac:dyDescent="0.25">
      <c r="A93" t="s">
        <v>607</v>
      </c>
      <c r="O93" s="25"/>
      <c r="Q93" s="25">
        <v>0.3</v>
      </c>
      <c r="V93" t="s">
        <v>607</v>
      </c>
      <c r="AG93">
        <f t="shared" ref="AG93:AL93" si="101">AG82</f>
        <v>0.4</v>
      </c>
      <c r="AH93">
        <f t="shared" si="101"/>
        <v>0.4</v>
      </c>
      <c r="AI93">
        <f t="shared" si="101"/>
        <v>0.4</v>
      </c>
      <c r="AJ93">
        <f t="shared" si="101"/>
        <v>0.4</v>
      </c>
      <c r="AK93">
        <f t="shared" si="101"/>
        <v>0.4</v>
      </c>
      <c r="AL93">
        <f t="shared" si="101"/>
        <v>0.4</v>
      </c>
      <c r="BK93" t="s">
        <v>767</v>
      </c>
    </row>
    <row r="94" spans="1:79" x14ac:dyDescent="0.25">
      <c r="A94" t="s">
        <v>150</v>
      </c>
      <c r="K94" s="25"/>
      <c r="L94" s="25"/>
      <c r="M94" s="25"/>
      <c r="N94" s="6"/>
      <c r="O94" s="25"/>
      <c r="P94" s="25"/>
      <c r="Q94" s="25">
        <f>(Q24/8)^0.5</f>
        <v>25</v>
      </c>
      <c r="V94" t="s">
        <v>150</v>
      </c>
      <c r="AG94">
        <f t="shared" ref="AG94:AL94" si="102">AG$50/$V91</f>
        <v>6.5280000000000005</v>
      </c>
      <c r="AH94">
        <f t="shared" si="102"/>
        <v>8.16</v>
      </c>
      <c r="AI94">
        <f t="shared" si="102"/>
        <v>9.7919999999999998</v>
      </c>
      <c r="AJ94">
        <f t="shared" si="102"/>
        <v>11.423999999999999</v>
      </c>
      <c r="AK94">
        <f t="shared" si="102"/>
        <v>13.056000000000001</v>
      </c>
      <c r="AL94">
        <f t="shared" si="102"/>
        <v>16.32</v>
      </c>
      <c r="AO94" t="s">
        <v>726</v>
      </c>
      <c r="AP94">
        <f>AP90*2</f>
        <v>16</v>
      </c>
      <c r="AQ94">
        <f t="shared" ref="AQ94:BE94" si="103">AQ90*2</f>
        <v>18</v>
      </c>
      <c r="AR94">
        <f t="shared" si="103"/>
        <v>28</v>
      </c>
      <c r="AS94">
        <f t="shared" si="103"/>
        <v>32</v>
      </c>
      <c r="AT94">
        <f t="shared" si="103"/>
        <v>40</v>
      </c>
      <c r="AU94">
        <f t="shared" si="103"/>
        <v>48</v>
      </c>
      <c r="AV94">
        <f t="shared" si="103"/>
        <v>52</v>
      </c>
      <c r="AW94">
        <f t="shared" si="103"/>
        <v>54</v>
      </c>
      <c r="AX94">
        <f t="shared" si="103"/>
        <v>54</v>
      </c>
      <c r="AY94">
        <f t="shared" si="103"/>
        <v>54</v>
      </c>
      <c r="AZ94">
        <f t="shared" si="103"/>
        <v>54</v>
      </c>
      <c r="BA94">
        <f t="shared" si="103"/>
        <v>54</v>
      </c>
      <c r="BB94">
        <f t="shared" si="103"/>
        <v>54</v>
      </c>
      <c r="BC94">
        <f t="shared" si="103"/>
        <v>54</v>
      </c>
      <c r="BD94">
        <f t="shared" si="103"/>
        <v>54</v>
      </c>
      <c r="BE94">
        <f t="shared" si="103"/>
        <v>54</v>
      </c>
      <c r="BK94" t="s">
        <v>761</v>
      </c>
      <c r="BL94">
        <v>0</v>
      </c>
      <c r="BM94">
        <v>0</v>
      </c>
      <c r="BN94">
        <v>0</v>
      </c>
      <c r="BO94">
        <v>0</v>
      </c>
      <c r="BP94">
        <v>0</v>
      </c>
      <c r="BQ94">
        <f>AU39</f>
        <v>21.5</v>
      </c>
      <c r="BR94">
        <f>AV39</f>
        <v>24.8</v>
      </c>
      <c r="BS94">
        <f>AW39</f>
        <v>25</v>
      </c>
      <c r="BT94">
        <f>AX39*2</f>
        <v>50</v>
      </c>
      <c r="BU94">
        <f>AY39*(BU90-1)</f>
        <v>75</v>
      </c>
      <c r="BV94">
        <f>AZ39*2.625*2+AZ38+1.5</f>
        <v>139.25</v>
      </c>
      <c r="BW94">
        <f>BA39*3.625+BA38+1.5+BA39*2.625</f>
        <v>164.65</v>
      </c>
      <c r="BX94">
        <f>BB39*3.625*2+BB38+1.5</f>
        <v>189.95</v>
      </c>
      <c r="BY94">
        <f>BC39*3.625*2+BC38*2+1.5*2+BC39*1.625</f>
        <v>238.47499999999999</v>
      </c>
      <c r="BZ94">
        <f>BD39*3.625*2+BD38*2+1.5*2+BD39*2.625</f>
        <v>263.875</v>
      </c>
      <c r="CA94">
        <f>BE39*3.625*3+(BE38+1.5)*3</f>
        <v>297.07499999999999</v>
      </c>
    </row>
    <row r="95" spans="1:79" x14ac:dyDescent="0.25">
      <c r="A95" t="s">
        <v>116</v>
      </c>
      <c r="K95" s="25"/>
      <c r="L95" s="25"/>
      <c r="M95" s="25"/>
      <c r="N95" s="6"/>
      <c r="O95" s="25"/>
      <c r="P95" s="25"/>
      <c r="Q95" s="25">
        <f t="shared" ref="Q95" si="104">Q94</f>
        <v>25</v>
      </c>
      <c r="V95" t="s">
        <v>116</v>
      </c>
      <c r="AG95" s="7">
        <f t="shared" ref="AG95:AL95" si="105">AG84</f>
        <v>25</v>
      </c>
      <c r="AH95" s="7">
        <f t="shared" si="105"/>
        <v>25</v>
      </c>
      <c r="AI95" s="7">
        <f t="shared" si="105"/>
        <v>25</v>
      </c>
      <c r="AJ95" s="7">
        <f t="shared" si="105"/>
        <v>25</v>
      </c>
      <c r="AK95" s="7">
        <f t="shared" si="105"/>
        <v>25</v>
      </c>
      <c r="AL95" s="7">
        <f t="shared" si="105"/>
        <v>25</v>
      </c>
      <c r="BK95" t="s">
        <v>763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1</v>
      </c>
      <c r="BR95">
        <v>1</v>
      </c>
      <c r="BS95">
        <v>1</v>
      </c>
      <c r="BT95">
        <f>BT97-1</f>
        <v>2</v>
      </c>
      <c r="BU95">
        <f>BU97-1</f>
        <v>3</v>
      </c>
      <c r="BV95">
        <f>BV97</f>
        <v>6</v>
      </c>
      <c r="BW95">
        <f>7</f>
        <v>7</v>
      </c>
      <c r="BX95">
        <f>8</f>
        <v>8</v>
      </c>
      <c r="BY95">
        <v>9</v>
      </c>
      <c r="BZ95">
        <f>10</f>
        <v>10</v>
      </c>
      <c r="CA95">
        <v>13</v>
      </c>
    </row>
    <row r="96" spans="1:79" x14ac:dyDescent="0.25">
      <c r="AO96" t="s">
        <v>727</v>
      </c>
      <c r="AP96">
        <f>AP88</f>
        <v>20</v>
      </c>
      <c r="AQ96">
        <f t="shared" ref="AQ96:BE96" si="106">AQ88</f>
        <v>29</v>
      </c>
      <c r="AR96">
        <f t="shared" si="106"/>
        <v>44</v>
      </c>
      <c r="AS96">
        <f t="shared" si="106"/>
        <v>52</v>
      </c>
      <c r="AT96">
        <f t="shared" si="106"/>
        <v>68</v>
      </c>
      <c r="AU96">
        <f t="shared" si="106"/>
        <v>84</v>
      </c>
      <c r="AV96">
        <f t="shared" si="106"/>
        <v>97</v>
      </c>
      <c r="AW96">
        <f t="shared" si="106"/>
        <v>100</v>
      </c>
      <c r="AX96">
        <f t="shared" si="106"/>
        <v>100</v>
      </c>
      <c r="AY96">
        <f t="shared" si="106"/>
        <v>100</v>
      </c>
      <c r="AZ96">
        <f t="shared" si="106"/>
        <v>100</v>
      </c>
      <c r="BA96">
        <f t="shared" si="106"/>
        <v>100</v>
      </c>
      <c r="BB96">
        <f t="shared" si="106"/>
        <v>100</v>
      </c>
      <c r="BC96">
        <f t="shared" si="106"/>
        <v>100</v>
      </c>
      <c r="BD96">
        <f t="shared" si="106"/>
        <v>100</v>
      </c>
      <c r="BE96">
        <f t="shared" si="106"/>
        <v>100</v>
      </c>
      <c r="BK96" t="s">
        <v>764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3</v>
      </c>
      <c r="BW96">
        <v>3</v>
      </c>
      <c r="BX96">
        <f>BW96</f>
        <v>3</v>
      </c>
      <c r="BY96">
        <v>4</v>
      </c>
      <c r="BZ96">
        <f>BY96</f>
        <v>4</v>
      </c>
      <c r="CA96">
        <v>5</v>
      </c>
    </row>
    <row r="97" spans="2:79" x14ac:dyDescent="0.25">
      <c r="I97" t="s">
        <v>857</v>
      </c>
      <c r="V97" t="s">
        <v>609</v>
      </c>
      <c r="BK97" t="s">
        <v>766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2</v>
      </c>
      <c r="BR97">
        <v>2</v>
      </c>
      <c r="BS97">
        <v>2</v>
      </c>
      <c r="BT97">
        <f t="shared" ref="BT97:CA97" si="107">BT90</f>
        <v>3</v>
      </c>
      <c r="BU97">
        <f t="shared" si="107"/>
        <v>4</v>
      </c>
      <c r="BV97">
        <f t="shared" si="107"/>
        <v>6</v>
      </c>
      <c r="BW97">
        <f t="shared" si="107"/>
        <v>7</v>
      </c>
      <c r="BX97">
        <f t="shared" si="107"/>
        <v>8</v>
      </c>
      <c r="BY97">
        <f t="shared" si="107"/>
        <v>10</v>
      </c>
      <c r="BZ97">
        <f t="shared" si="107"/>
        <v>11</v>
      </c>
      <c r="CA97">
        <f t="shared" si="107"/>
        <v>14</v>
      </c>
    </row>
    <row r="98" spans="2:79" x14ac:dyDescent="0.25">
      <c r="B98" t="s">
        <v>856</v>
      </c>
      <c r="V98" t="s">
        <v>615</v>
      </c>
      <c r="AG98" s="7">
        <f t="shared" ref="AG98:AL98" si="108">AG92*AG95</f>
        <v>15</v>
      </c>
      <c r="AH98" s="7">
        <f t="shared" si="108"/>
        <v>15</v>
      </c>
      <c r="AI98" s="7">
        <f t="shared" si="108"/>
        <v>15</v>
      </c>
      <c r="AJ98" s="7">
        <f t="shared" si="108"/>
        <v>15</v>
      </c>
      <c r="AK98" s="7">
        <f t="shared" si="108"/>
        <v>15</v>
      </c>
      <c r="AL98" s="7">
        <f t="shared" si="108"/>
        <v>15</v>
      </c>
    </row>
    <row r="99" spans="2:79" x14ac:dyDescent="0.25">
      <c r="V99" t="s">
        <v>610</v>
      </c>
      <c r="AG99" s="6">
        <f t="shared" ref="AG99:AL99" si="109">($P$5*AG$18/$V91)/AG98</f>
        <v>163.19999999999999</v>
      </c>
      <c r="AH99" s="6">
        <f t="shared" si="109"/>
        <v>203.99999999999997</v>
      </c>
      <c r="AI99" s="6">
        <f t="shared" si="109"/>
        <v>244.8</v>
      </c>
      <c r="AJ99" s="6">
        <f t="shared" si="109"/>
        <v>285.60000000000002</v>
      </c>
      <c r="AK99" s="6">
        <f t="shared" si="109"/>
        <v>326.39999999999998</v>
      </c>
      <c r="AL99" s="6">
        <f t="shared" si="109"/>
        <v>407.99999999999994</v>
      </c>
    </row>
    <row r="100" spans="2:79" x14ac:dyDescent="0.25">
      <c r="V100" t="s">
        <v>399</v>
      </c>
      <c r="AG100" s="25">
        <f t="shared" ref="AG100:AL100" si="110">($P$3*AG$18/$V91)/AG98</f>
        <v>132.26666666666671</v>
      </c>
      <c r="AH100" s="25">
        <f t="shared" si="110"/>
        <v>165.33333333333337</v>
      </c>
      <c r="AI100" s="25">
        <f t="shared" si="110"/>
        <v>198.40000000000003</v>
      </c>
      <c r="AJ100" s="25">
        <f t="shared" si="110"/>
        <v>231.46666666666673</v>
      </c>
      <c r="AK100" s="25">
        <f t="shared" si="110"/>
        <v>264.53333333333342</v>
      </c>
      <c r="AL100" s="25">
        <f t="shared" si="110"/>
        <v>330.66666666666674</v>
      </c>
      <c r="BK100" s="10" t="s">
        <v>625</v>
      </c>
    </row>
    <row r="101" spans="2:79" x14ac:dyDescent="0.25">
      <c r="B101" t="s">
        <v>156</v>
      </c>
      <c r="C101" t="s">
        <v>150</v>
      </c>
      <c r="D101" t="s">
        <v>116</v>
      </c>
      <c r="E101" t="s">
        <v>63</v>
      </c>
      <c r="F101" t="s">
        <v>607</v>
      </c>
      <c r="I101" t="s">
        <v>618</v>
      </c>
      <c r="J101" t="s">
        <v>150</v>
      </c>
      <c r="K101" t="s">
        <v>116</v>
      </c>
      <c r="L101" t="s">
        <v>63</v>
      </c>
      <c r="M101" t="s">
        <v>607</v>
      </c>
      <c r="BK101" t="s">
        <v>14</v>
      </c>
      <c r="BL101">
        <f>BL84</f>
        <v>0.6</v>
      </c>
      <c r="BM101">
        <f t="shared" ref="BM101:CA101" si="111">BM84</f>
        <v>0.6</v>
      </c>
      <c r="BN101">
        <f t="shared" si="111"/>
        <v>0.6</v>
      </c>
      <c r="BO101">
        <f t="shared" si="111"/>
        <v>0.6</v>
      </c>
      <c r="BP101">
        <f t="shared" si="111"/>
        <v>0.6</v>
      </c>
      <c r="BQ101">
        <f t="shared" si="111"/>
        <v>1.2</v>
      </c>
      <c r="BR101">
        <f t="shared" si="111"/>
        <v>1.2</v>
      </c>
      <c r="BS101">
        <f t="shared" si="111"/>
        <v>1.2</v>
      </c>
      <c r="BT101">
        <f t="shared" si="111"/>
        <v>1.7999999999999998</v>
      </c>
      <c r="BU101">
        <f t="shared" si="111"/>
        <v>2.4</v>
      </c>
      <c r="BV101">
        <f t="shared" si="111"/>
        <v>3.5999999999999996</v>
      </c>
      <c r="BW101">
        <f t="shared" si="111"/>
        <v>4.2</v>
      </c>
      <c r="BX101">
        <f t="shared" si="111"/>
        <v>4.8</v>
      </c>
      <c r="BY101">
        <f t="shared" si="111"/>
        <v>6</v>
      </c>
      <c r="BZ101">
        <f t="shared" si="111"/>
        <v>6.6</v>
      </c>
      <c r="CA101">
        <f t="shared" si="111"/>
        <v>8.4</v>
      </c>
    </row>
    <row r="102" spans="2:79" x14ac:dyDescent="0.25">
      <c r="B102">
        <v>5</v>
      </c>
      <c r="C102">
        <f>ROUNDUP($B$51,1)</f>
        <v>5</v>
      </c>
      <c r="D102" s="7">
        <f>C102</f>
        <v>5</v>
      </c>
      <c r="E102">
        <f>$B$48</f>
        <v>0.8</v>
      </c>
      <c r="F102">
        <f>$B$49</f>
        <v>0.3</v>
      </c>
      <c r="I102">
        <f>$B$37</f>
        <v>1</v>
      </c>
      <c r="J102" s="7">
        <f>$B$38</f>
        <v>5</v>
      </c>
      <c r="K102" s="7">
        <f>J102</f>
        <v>5</v>
      </c>
      <c r="L102">
        <f>$B$48</f>
        <v>0.8</v>
      </c>
      <c r="M102">
        <f>$B$49</f>
        <v>0.3</v>
      </c>
      <c r="V102">
        <v>6</v>
      </c>
      <c r="W102" t="s">
        <v>618</v>
      </c>
      <c r="BK102" t="s">
        <v>761</v>
      </c>
      <c r="BL102">
        <f>BL94+BL70</f>
        <v>11.799999999999999</v>
      </c>
      <c r="BM102">
        <f t="shared" ref="BM102:CA102" si="112">BM94+BM70</f>
        <v>16.399999999999999</v>
      </c>
      <c r="BN102">
        <f t="shared" si="112"/>
        <v>22.8</v>
      </c>
      <c r="BO102">
        <f t="shared" si="112"/>
        <v>27.8</v>
      </c>
      <c r="BP102">
        <f t="shared" si="112"/>
        <v>35.6</v>
      </c>
      <c r="BQ102">
        <f t="shared" si="112"/>
        <v>65.099999999999994</v>
      </c>
      <c r="BR102">
        <f t="shared" si="112"/>
        <v>75</v>
      </c>
      <c r="BS102">
        <f t="shared" si="112"/>
        <v>75.599999999999994</v>
      </c>
      <c r="BT102">
        <f t="shared" si="112"/>
        <v>100.6</v>
      </c>
      <c r="BU102">
        <f t="shared" si="112"/>
        <v>125.6</v>
      </c>
      <c r="BV102">
        <f t="shared" si="112"/>
        <v>189.85</v>
      </c>
      <c r="BW102">
        <f t="shared" si="112"/>
        <v>215.25</v>
      </c>
      <c r="BX102">
        <f t="shared" si="112"/>
        <v>240.54999999999998</v>
      </c>
      <c r="BY102">
        <f t="shared" si="112"/>
        <v>289.07499999999999</v>
      </c>
      <c r="BZ102">
        <f t="shared" si="112"/>
        <v>314.47500000000002</v>
      </c>
      <c r="CA102">
        <f t="shared" si="112"/>
        <v>347.67500000000001</v>
      </c>
    </row>
    <row r="103" spans="2:79" x14ac:dyDescent="0.25">
      <c r="B103">
        <v>10</v>
      </c>
      <c r="C103" s="7">
        <f>$C$51</f>
        <v>7.0710678118654755</v>
      </c>
      <c r="D103" s="7">
        <f t="shared" ref="D103:D117" si="113">C103</f>
        <v>7.0710678118654755</v>
      </c>
      <c r="E103">
        <f t="shared" ref="E103:E117" si="114">$B$48</f>
        <v>0.8</v>
      </c>
      <c r="F103">
        <f t="shared" ref="F103:F117" si="115">$B$49</f>
        <v>0.3</v>
      </c>
      <c r="I103">
        <f>$C$37</f>
        <v>1</v>
      </c>
      <c r="J103" s="7">
        <f>$C$38</f>
        <v>7.1</v>
      </c>
      <c r="K103" s="7">
        <f t="shared" ref="K103:K117" si="116">J103</f>
        <v>7.1</v>
      </c>
      <c r="L103">
        <f t="shared" ref="L103:L117" si="117">$B$48</f>
        <v>0.8</v>
      </c>
      <c r="M103">
        <f t="shared" ref="M103:M117" si="118">$B$49</f>
        <v>0.3</v>
      </c>
      <c r="V103" t="s">
        <v>63</v>
      </c>
      <c r="AG103">
        <f t="shared" ref="AG103:AL103" si="119">AG92</f>
        <v>0.6</v>
      </c>
      <c r="AH103">
        <f t="shared" si="119"/>
        <v>0.6</v>
      </c>
      <c r="AI103">
        <f t="shared" si="119"/>
        <v>0.6</v>
      </c>
      <c r="AJ103">
        <f t="shared" si="119"/>
        <v>0.6</v>
      </c>
      <c r="AK103">
        <f t="shared" si="119"/>
        <v>0.6</v>
      </c>
      <c r="AL103">
        <f t="shared" si="119"/>
        <v>0.6</v>
      </c>
      <c r="BK103" t="s">
        <v>762</v>
      </c>
      <c r="BL103">
        <f>BL71</f>
        <v>2</v>
      </c>
      <c r="BM103">
        <f t="shared" ref="BM103:CA103" si="120">BM71</f>
        <v>2</v>
      </c>
      <c r="BN103">
        <f t="shared" si="120"/>
        <v>2</v>
      </c>
      <c r="BO103">
        <f t="shared" si="120"/>
        <v>2</v>
      </c>
      <c r="BP103">
        <f t="shared" si="120"/>
        <v>2</v>
      </c>
      <c r="BQ103">
        <f t="shared" si="120"/>
        <v>2</v>
      </c>
      <c r="BR103">
        <f t="shared" si="120"/>
        <v>2</v>
      </c>
      <c r="BS103">
        <f t="shared" si="120"/>
        <v>2</v>
      </c>
      <c r="BT103">
        <f t="shared" si="120"/>
        <v>2</v>
      </c>
      <c r="BU103">
        <f t="shared" si="120"/>
        <v>2</v>
      </c>
      <c r="BV103">
        <f t="shared" si="120"/>
        <v>2</v>
      </c>
      <c r="BW103">
        <f t="shared" si="120"/>
        <v>2</v>
      </c>
      <c r="BX103">
        <f t="shared" si="120"/>
        <v>2</v>
      </c>
      <c r="BY103">
        <f t="shared" si="120"/>
        <v>2</v>
      </c>
      <c r="BZ103">
        <f t="shared" si="120"/>
        <v>2</v>
      </c>
      <c r="CA103">
        <f t="shared" si="120"/>
        <v>2</v>
      </c>
    </row>
    <row r="104" spans="2:79" x14ac:dyDescent="0.25">
      <c r="B104">
        <v>20</v>
      </c>
      <c r="C104" s="7">
        <f>$D$51</f>
        <v>10</v>
      </c>
      <c r="D104" s="7">
        <f t="shared" si="113"/>
        <v>10</v>
      </c>
      <c r="E104">
        <f t="shared" si="114"/>
        <v>0.8</v>
      </c>
      <c r="F104">
        <f t="shared" si="115"/>
        <v>0.3</v>
      </c>
      <c r="I104">
        <f>$D$37</f>
        <v>1</v>
      </c>
      <c r="J104" s="7">
        <f>$D$38</f>
        <v>10</v>
      </c>
      <c r="K104" s="7">
        <f t="shared" si="116"/>
        <v>10</v>
      </c>
      <c r="L104">
        <f t="shared" si="117"/>
        <v>0.8</v>
      </c>
      <c r="M104">
        <f t="shared" si="118"/>
        <v>0.3</v>
      </c>
      <c r="V104" t="s">
        <v>607</v>
      </c>
      <c r="AG104">
        <f t="shared" ref="AG104:AL104" si="121">AG93</f>
        <v>0.4</v>
      </c>
      <c r="AH104">
        <f t="shared" si="121"/>
        <v>0.4</v>
      </c>
      <c r="AI104">
        <f t="shared" si="121"/>
        <v>0.4</v>
      </c>
      <c r="AJ104">
        <f t="shared" si="121"/>
        <v>0.4</v>
      </c>
      <c r="AK104">
        <f t="shared" si="121"/>
        <v>0.4</v>
      </c>
      <c r="AL104">
        <f t="shared" si="121"/>
        <v>0.4</v>
      </c>
      <c r="BK104" t="s">
        <v>763</v>
      </c>
      <c r="BL104">
        <f>BL72+BL95</f>
        <v>1</v>
      </c>
      <c r="BM104">
        <f t="shared" ref="BM104:CA104" si="122">BM72+BM95</f>
        <v>1</v>
      </c>
      <c r="BN104">
        <f t="shared" si="122"/>
        <v>1</v>
      </c>
      <c r="BO104">
        <f t="shared" si="122"/>
        <v>1</v>
      </c>
      <c r="BP104">
        <f t="shared" si="122"/>
        <v>1</v>
      </c>
      <c r="BQ104">
        <f t="shared" si="122"/>
        <v>2</v>
      </c>
      <c r="BR104">
        <f t="shared" si="122"/>
        <v>2</v>
      </c>
      <c r="BS104">
        <f t="shared" si="122"/>
        <v>2</v>
      </c>
      <c r="BT104">
        <f t="shared" si="122"/>
        <v>3</v>
      </c>
      <c r="BU104">
        <f t="shared" si="122"/>
        <v>4</v>
      </c>
      <c r="BV104">
        <f t="shared" si="122"/>
        <v>7</v>
      </c>
      <c r="BW104">
        <f t="shared" si="122"/>
        <v>8</v>
      </c>
      <c r="BX104">
        <f t="shared" si="122"/>
        <v>9</v>
      </c>
      <c r="BY104">
        <f t="shared" si="122"/>
        <v>10</v>
      </c>
      <c r="BZ104">
        <f t="shared" si="122"/>
        <v>11</v>
      </c>
      <c r="CA104">
        <f t="shared" si="122"/>
        <v>14</v>
      </c>
    </row>
    <row r="105" spans="2:79" x14ac:dyDescent="0.25">
      <c r="B105">
        <v>30</v>
      </c>
      <c r="C105" s="7">
        <f>$E$51</f>
        <v>12.24744871391589</v>
      </c>
      <c r="D105" s="7">
        <f t="shared" si="113"/>
        <v>12.24744871391589</v>
      </c>
      <c r="E105">
        <f t="shared" si="114"/>
        <v>0.8</v>
      </c>
      <c r="F105">
        <f t="shared" si="115"/>
        <v>0.3</v>
      </c>
      <c r="I105">
        <f>$E$37</f>
        <v>1</v>
      </c>
      <c r="J105" s="7">
        <f>$E$38</f>
        <v>12.299999999999999</v>
      </c>
      <c r="K105" s="7">
        <f t="shared" si="116"/>
        <v>12.299999999999999</v>
      </c>
      <c r="L105">
        <f t="shared" si="117"/>
        <v>0.8</v>
      </c>
      <c r="M105">
        <f t="shared" si="118"/>
        <v>0.3</v>
      </c>
      <c r="V105" t="s">
        <v>150</v>
      </c>
      <c r="AG105">
        <f t="shared" ref="AG105:AL105" si="123">AG$50/$V102</f>
        <v>5.44</v>
      </c>
      <c r="AH105">
        <f t="shared" si="123"/>
        <v>6.8</v>
      </c>
      <c r="AI105">
        <f t="shared" si="123"/>
        <v>8.16</v>
      </c>
      <c r="AJ105">
        <f t="shared" si="123"/>
        <v>9.52</v>
      </c>
      <c r="AK105">
        <f t="shared" si="123"/>
        <v>10.88</v>
      </c>
      <c r="AL105">
        <f t="shared" si="123"/>
        <v>13.6</v>
      </c>
      <c r="BK105" t="s">
        <v>764</v>
      </c>
      <c r="BL105">
        <f>BL73+BL96</f>
        <v>1</v>
      </c>
      <c r="BM105">
        <f t="shared" ref="BM105:CA105" si="124">BM73+BM96</f>
        <v>1</v>
      </c>
      <c r="BN105">
        <f t="shared" si="124"/>
        <v>1</v>
      </c>
      <c r="BO105">
        <f t="shared" si="124"/>
        <v>1</v>
      </c>
      <c r="BP105">
        <f t="shared" si="124"/>
        <v>1</v>
      </c>
      <c r="BQ105">
        <f t="shared" si="124"/>
        <v>2</v>
      </c>
      <c r="BR105">
        <f t="shared" si="124"/>
        <v>2</v>
      </c>
      <c r="BS105">
        <f t="shared" si="124"/>
        <v>2</v>
      </c>
      <c r="BT105">
        <f t="shared" si="124"/>
        <v>2</v>
      </c>
      <c r="BU105">
        <f t="shared" si="124"/>
        <v>2</v>
      </c>
      <c r="BV105">
        <f t="shared" si="124"/>
        <v>4</v>
      </c>
      <c r="BW105">
        <f t="shared" si="124"/>
        <v>4</v>
      </c>
      <c r="BX105">
        <f t="shared" si="124"/>
        <v>4</v>
      </c>
      <c r="BY105">
        <f t="shared" si="124"/>
        <v>5</v>
      </c>
      <c r="BZ105">
        <f t="shared" si="124"/>
        <v>5</v>
      </c>
      <c r="CA105">
        <f t="shared" si="124"/>
        <v>6</v>
      </c>
    </row>
    <row r="106" spans="2:79" x14ac:dyDescent="0.25">
      <c r="B106">
        <v>50</v>
      </c>
      <c r="C106" s="7">
        <f>$F$51</f>
        <v>15.811388300841896</v>
      </c>
      <c r="D106" s="7">
        <f t="shared" si="113"/>
        <v>15.811388300841896</v>
      </c>
      <c r="E106">
        <f t="shared" si="114"/>
        <v>0.8</v>
      </c>
      <c r="F106">
        <f t="shared" si="115"/>
        <v>0.3</v>
      </c>
      <c r="I106">
        <f>$F$37</f>
        <v>1</v>
      </c>
      <c r="J106" s="7">
        <f>$F$38</f>
        <v>15.9</v>
      </c>
      <c r="K106" s="7">
        <f t="shared" si="116"/>
        <v>15.9</v>
      </c>
      <c r="L106">
        <f t="shared" si="117"/>
        <v>0.8</v>
      </c>
      <c r="M106">
        <f t="shared" si="118"/>
        <v>0.3</v>
      </c>
      <c r="V106" t="s">
        <v>116</v>
      </c>
      <c r="AG106" s="7">
        <f t="shared" ref="AG106:AL106" si="125">AG95</f>
        <v>25</v>
      </c>
      <c r="AH106" s="7">
        <f t="shared" si="125"/>
        <v>25</v>
      </c>
      <c r="AI106" s="7">
        <f t="shared" si="125"/>
        <v>25</v>
      </c>
      <c r="AJ106" s="7">
        <f t="shared" si="125"/>
        <v>25</v>
      </c>
      <c r="AK106" s="7">
        <f t="shared" si="125"/>
        <v>25</v>
      </c>
      <c r="AL106" s="7">
        <f t="shared" si="125"/>
        <v>25</v>
      </c>
      <c r="BK106" t="s">
        <v>766</v>
      </c>
      <c r="BL106">
        <f>BL74+BL97</f>
        <v>2</v>
      </c>
      <c r="BM106">
        <f t="shared" ref="BM106:CA106" si="126">BM74+BM97</f>
        <v>2</v>
      </c>
      <c r="BN106">
        <f t="shared" si="126"/>
        <v>2</v>
      </c>
      <c r="BO106">
        <f t="shared" si="126"/>
        <v>2</v>
      </c>
      <c r="BP106">
        <f t="shared" si="126"/>
        <v>2</v>
      </c>
      <c r="BQ106">
        <f t="shared" si="126"/>
        <v>3</v>
      </c>
      <c r="BR106">
        <f t="shared" si="126"/>
        <v>3</v>
      </c>
      <c r="BS106">
        <f t="shared" si="126"/>
        <v>3</v>
      </c>
      <c r="BT106">
        <f t="shared" si="126"/>
        <v>4</v>
      </c>
      <c r="BU106">
        <f t="shared" si="126"/>
        <v>5</v>
      </c>
      <c r="BV106">
        <f t="shared" si="126"/>
        <v>7</v>
      </c>
      <c r="BW106">
        <f t="shared" si="126"/>
        <v>8</v>
      </c>
      <c r="BX106">
        <f t="shared" si="126"/>
        <v>9</v>
      </c>
      <c r="BY106">
        <f t="shared" si="126"/>
        <v>11</v>
      </c>
      <c r="BZ106">
        <f t="shared" si="126"/>
        <v>12</v>
      </c>
      <c r="CA106">
        <f t="shared" si="126"/>
        <v>15</v>
      </c>
    </row>
    <row r="107" spans="2:79" x14ac:dyDescent="0.25">
      <c r="B107">
        <v>75</v>
      </c>
      <c r="C107" s="7">
        <f>$G$51</f>
        <v>19.364916731037084</v>
      </c>
      <c r="D107" s="7">
        <f t="shared" si="113"/>
        <v>19.364916731037084</v>
      </c>
      <c r="E107">
        <f t="shared" si="114"/>
        <v>0.8</v>
      </c>
      <c r="F107">
        <f t="shared" si="115"/>
        <v>0.3</v>
      </c>
      <c r="I107">
        <f>$G$37</f>
        <v>1</v>
      </c>
      <c r="J107" s="7">
        <f>$G$38</f>
        <v>19.400000000000002</v>
      </c>
      <c r="K107" s="7">
        <f t="shared" si="116"/>
        <v>19.400000000000002</v>
      </c>
      <c r="L107">
        <f t="shared" si="117"/>
        <v>0.8</v>
      </c>
      <c r="M107">
        <f t="shared" si="118"/>
        <v>0.3</v>
      </c>
      <c r="BK107" t="str">
        <f t="shared" ref="BK107:CA107" si="127">BK86</f>
        <v>Geotextile</v>
      </c>
      <c r="BL107">
        <f t="shared" si="127"/>
        <v>5.3999999999999995</v>
      </c>
      <c r="BM107">
        <f t="shared" si="127"/>
        <v>5.3999999999999995</v>
      </c>
      <c r="BN107">
        <f t="shared" si="127"/>
        <v>5.3999999999999995</v>
      </c>
      <c r="BO107">
        <f t="shared" si="127"/>
        <v>5.3999999999999995</v>
      </c>
      <c r="BP107">
        <f t="shared" si="127"/>
        <v>5.3999999999999995</v>
      </c>
      <c r="BQ107">
        <f t="shared" si="127"/>
        <v>10.799999999999999</v>
      </c>
      <c r="BR107">
        <f t="shared" si="127"/>
        <v>10.799999999999999</v>
      </c>
      <c r="BS107">
        <f t="shared" si="127"/>
        <v>10.799999999999999</v>
      </c>
      <c r="BT107">
        <f t="shared" si="127"/>
        <v>16.2</v>
      </c>
      <c r="BU107">
        <f t="shared" si="127"/>
        <v>21.599999999999998</v>
      </c>
      <c r="BV107">
        <f t="shared" si="127"/>
        <v>32.4</v>
      </c>
      <c r="BW107">
        <f t="shared" si="127"/>
        <v>37.799999999999997</v>
      </c>
      <c r="BX107">
        <f t="shared" si="127"/>
        <v>43.199999999999996</v>
      </c>
      <c r="BY107">
        <f t="shared" si="127"/>
        <v>53.999999999999993</v>
      </c>
      <c r="BZ107">
        <f t="shared" si="127"/>
        <v>59.399999999999991</v>
      </c>
      <c r="CA107">
        <f t="shared" si="127"/>
        <v>75.599999999999994</v>
      </c>
    </row>
    <row r="108" spans="2:79" x14ac:dyDescent="0.25">
      <c r="B108">
        <v>100</v>
      </c>
      <c r="C108" s="7">
        <f>$H$51</f>
        <v>22.360679774997898</v>
      </c>
      <c r="D108" s="7">
        <f t="shared" si="113"/>
        <v>22.360679774997898</v>
      </c>
      <c r="E108">
        <f t="shared" si="114"/>
        <v>0.8</v>
      </c>
      <c r="F108">
        <f t="shared" si="115"/>
        <v>0.3</v>
      </c>
      <c r="I108">
        <f>$H$37</f>
        <v>1</v>
      </c>
      <c r="J108" s="7">
        <f>$H$38</f>
        <v>22.400000000000002</v>
      </c>
      <c r="K108" s="7">
        <f t="shared" si="116"/>
        <v>22.400000000000002</v>
      </c>
      <c r="L108">
        <f t="shared" si="117"/>
        <v>0.8</v>
      </c>
      <c r="M108">
        <f t="shared" si="118"/>
        <v>0.3</v>
      </c>
      <c r="V108" t="s">
        <v>609</v>
      </c>
    </row>
    <row r="109" spans="2:79" x14ac:dyDescent="0.25">
      <c r="B109">
        <v>150</v>
      </c>
      <c r="C109" s="7">
        <f>$I$51</f>
        <v>27.386127875258307</v>
      </c>
      <c r="D109" s="7">
        <f t="shared" si="113"/>
        <v>27.386127875258307</v>
      </c>
      <c r="E109">
        <f t="shared" si="114"/>
        <v>0.8</v>
      </c>
      <c r="F109">
        <f t="shared" si="115"/>
        <v>0.3</v>
      </c>
      <c r="I109">
        <f>$I$37</f>
        <v>2</v>
      </c>
      <c r="J109" s="7">
        <f>$I$38</f>
        <v>19.400000000000002</v>
      </c>
      <c r="K109" s="7">
        <f t="shared" si="116"/>
        <v>19.400000000000002</v>
      </c>
      <c r="L109">
        <f t="shared" si="117"/>
        <v>0.8</v>
      </c>
      <c r="M109">
        <f t="shared" si="118"/>
        <v>0.3</v>
      </c>
      <c r="V109" t="s">
        <v>615</v>
      </c>
      <c r="AG109" s="7">
        <f t="shared" ref="AG109:AL109" si="128">AG103*AG106</f>
        <v>15</v>
      </c>
      <c r="AH109" s="7">
        <f t="shared" si="128"/>
        <v>15</v>
      </c>
      <c r="AI109" s="7">
        <f t="shared" si="128"/>
        <v>15</v>
      </c>
      <c r="AJ109" s="7">
        <f t="shared" si="128"/>
        <v>15</v>
      </c>
      <c r="AK109" s="7">
        <f t="shared" si="128"/>
        <v>15</v>
      </c>
      <c r="AL109" s="7">
        <f t="shared" si="128"/>
        <v>15</v>
      </c>
      <c r="BK109" t="s">
        <v>14</v>
      </c>
      <c r="BL109" t="s">
        <v>761</v>
      </c>
      <c r="BM109" t="s">
        <v>762</v>
      </c>
      <c r="BN109" t="s">
        <v>763</v>
      </c>
      <c r="BO109" t="s">
        <v>764</v>
      </c>
      <c r="BP109" t="s">
        <v>766</v>
      </c>
      <c r="BQ109" t="s">
        <v>112</v>
      </c>
    </row>
    <row r="110" spans="2:79" x14ac:dyDescent="0.25">
      <c r="B110">
        <v>200</v>
      </c>
      <c r="C110" s="7">
        <f>$J$51</f>
        <v>31.622776601683793</v>
      </c>
      <c r="D110" s="7">
        <f t="shared" si="113"/>
        <v>31.622776601683793</v>
      </c>
      <c r="E110">
        <f t="shared" si="114"/>
        <v>0.8</v>
      </c>
      <c r="F110">
        <f t="shared" si="115"/>
        <v>0.3</v>
      </c>
      <c r="I110">
        <f>$J$37</f>
        <v>2</v>
      </c>
      <c r="J110" s="7">
        <f>$J$38</f>
        <v>22.400000000000002</v>
      </c>
      <c r="K110" s="7">
        <f t="shared" si="116"/>
        <v>22.400000000000002</v>
      </c>
      <c r="L110">
        <f t="shared" si="117"/>
        <v>0.8</v>
      </c>
      <c r="M110">
        <f t="shared" si="118"/>
        <v>0.3</v>
      </c>
      <c r="V110" t="s">
        <v>610</v>
      </c>
      <c r="AG110" s="25">
        <f t="shared" ref="AG110:AL110" si="129">($P$5*AG$18/$V102)/AG109</f>
        <v>136</v>
      </c>
      <c r="AH110" s="6">
        <f t="shared" si="129"/>
        <v>169.99999999999997</v>
      </c>
      <c r="AI110" s="6">
        <f t="shared" si="129"/>
        <v>204</v>
      </c>
      <c r="AJ110" s="6">
        <f t="shared" si="129"/>
        <v>238</v>
      </c>
      <c r="AK110" s="6">
        <f t="shared" si="129"/>
        <v>272</v>
      </c>
      <c r="AL110" s="6">
        <f t="shared" si="129"/>
        <v>339.99999999999994</v>
      </c>
      <c r="BK110">
        <v>0.6</v>
      </c>
      <c r="BL110">
        <v>11.799999999999999</v>
      </c>
      <c r="BM110">
        <v>2</v>
      </c>
      <c r="BN110">
        <v>1</v>
      </c>
      <c r="BO110">
        <v>1</v>
      </c>
      <c r="BP110">
        <v>2</v>
      </c>
      <c r="BQ110">
        <v>5.3999999999999995</v>
      </c>
    </row>
    <row r="111" spans="2:79" x14ac:dyDescent="0.25">
      <c r="B111">
        <v>300</v>
      </c>
      <c r="C111" s="7">
        <f>$K$51</f>
        <v>38.729833462074168</v>
      </c>
      <c r="D111" s="7">
        <f t="shared" si="113"/>
        <v>38.729833462074168</v>
      </c>
      <c r="E111">
        <f t="shared" si="114"/>
        <v>0.8</v>
      </c>
      <c r="F111">
        <f t="shared" si="115"/>
        <v>0.3</v>
      </c>
      <c r="I111">
        <f>$K$37</f>
        <v>3</v>
      </c>
      <c r="J111" s="7">
        <f>$K$38</f>
        <v>22.400000000000002</v>
      </c>
      <c r="K111" s="7">
        <f t="shared" si="116"/>
        <v>22.400000000000002</v>
      </c>
      <c r="L111">
        <f t="shared" si="117"/>
        <v>0.8</v>
      </c>
      <c r="M111">
        <f t="shared" si="118"/>
        <v>0.3</v>
      </c>
      <c r="V111" t="s">
        <v>399</v>
      </c>
      <c r="AG111" s="25">
        <f t="shared" ref="AG111:AL111" si="130">($P$3*AG$18/$V102)/AG109</f>
        <v>110.22222222222224</v>
      </c>
      <c r="AH111" s="25">
        <f t="shared" si="130"/>
        <v>137.7777777777778</v>
      </c>
      <c r="AI111" s="25">
        <f t="shared" si="130"/>
        <v>165.33333333333337</v>
      </c>
      <c r="AJ111" s="25">
        <f t="shared" si="130"/>
        <v>192.88888888888894</v>
      </c>
      <c r="AK111" s="25">
        <f t="shared" si="130"/>
        <v>220.44444444444449</v>
      </c>
      <c r="AL111" s="25">
        <f t="shared" si="130"/>
        <v>275.5555555555556</v>
      </c>
      <c r="BK111">
        <v>0.6</v>
      </c>
      <c r="BL111">
        <v>16.399999999999999</v>
      </c>
      <c r="BM111">
        <v>2</v>
      </c>
      <c r="BN111">
        <v>1</v>
      </c>
      <c r="BO111">
        <v>1</v>
      </c>
      <c r="BP111">
        <v>2</v>
      </c>
      <c r="BQ111">
        <v>5.3999999999999995</v>
      </c>
    </row>
    <row r="112" spans="2:79" x14ac:dyDescent="0.25">
      <c r="B112">
        <v>400</v>
      </c>
      <c r="C112" s="7">
        <f>$L$51</f>
        <v>44.721359549995796</v>
      </c>
      <c r="D112" s="7">
        <f t="shared" si="113"/>
        <v>44.721359549995796</v>
      </c>
      <c r="E112">
        <f t="shared" si="114"/>
        <v>0.8</v>
      </c>
      <c r="F112">
        <f t="shared" si="115"/>
        <v>0.3</v>
      </c>
      <c r="I112">
        <f>$L$37</f>
        <v>4</v>
      </c>
      <c r="J112" s="7">
        <f>$L$38</f>
        <v>22.400000000000002</v>
      </c>
      <c r="K112" s="7">
        <f t="shared" si="116"/>
        <v>22.400000000000002</v>
      </c>
      <c r="L112">
        <f t="shared" si="117"/>
        <v>0.8</v>
      </c>
      <c r="M112">
        <f t="shared" si="118"/>
        <v>0.3</v>
      </c>
      <c r="BK112">
        <v>0.6</v>
      </c>
      <c r="BL112">
        <v>22.8</v>
      </c>
      <c r="BM112">
        <v>2</v>
      </c>
      <c r="BN112">
        <v>1</v>
      </c>
      <c r="BO112">
        <v>1</v>
      </c>
      <c r="BP112">
        <v>2</v>
      </c>
      <c r="BQ112">
        <v>5.3999999999999995</v>
      </c>
    </row>
    <row r="113" spans="2:69" x14ac:dyDescent="0.25">
      <c r="B113">
        <v>500</v>
      </c>
      <c r="C113" s="7">
        <f>$M$51</f>
        <v>50</v>
      </c>
      <c r="D113" s="7">
        <f t="shared" si="113"/>
        <v>50</v>
      </c>
      <c r="E113">
        <f t="shared" si="114"/>
        <v>0.8</v>
      </c>
      <c r="F113">
        <f t="shared" si="115"/>
        <v>0.3</v>
      </c>
      <c r="I113">
        <f>$M$37</f>
        <v>4</v>
      </c>
      <c r="J113" s="7">
        <f>$M$38</f>
        <v>25</v>
      </c>
      <c r="K113" s="7">
        <f t="shared" si="116"/>
        <v>25</v>
      </c>
      <c r="L113">
        <f t="shared" si="117"/>
        <v>0.8</v>
      </c>
      <c r="M113">
        <f t="shared" si="118"/>
        <v>0.3</v>
      </c>
      <c r="V113">
        <v>7</v>
      </c>
      <c r="W113" t="s">
        <v>618</v>
      </c>
      <c r="BK113">
        <v>0.6</v>
      </c>
      <c r="BL113">
        <v>27.8</v>
      </c>
      <c r="BM113">
        <v>2</v>
      </c>
      <c r="BN113">
        <v>1</v>
      </c>
      <c r="BO113">
        <v>1</v>
      </c>
      <c r="BP113">
        <v>2</v>
      </c>
      <c r="BQ113">
        <v>5.3999999999999995</v>
      </c>
    </row>
    <row r="114" spans="2:69" x14ac:dyDescent="0.25">
      <c r="B114">
        <v>600</v>
      </c>
      <c r="C114" s="7">
        <f>$N$51</f>
        <v>54.772255750516614</v>
      </c>
      <c r="D114" s="7">
        <f t="shared" si="113"/>
        <v>54.772255750516614</v>
      </c>
      <c r="E114">
        <f t="shared" si="114"/>
        <v>0.8</v>
      </c>
      <c r="F114">
        <f t="shared" si="115"/>
        <v>0.3</v>
      </c>
      <c r="I114">
        <f>$N$37</f>
        <v>5</v>
      </c>
      <c r="J114" s="7">
        <f>$N$38</f>
        <v>24.5</v>
      </c>
      <c r="K114" s="7">
        <f t="shared" si="116"/>
        <v>24.5</v>
      </c>
      <c r="L114">
        <f t="shared" si="117"/>
        <v>0.8</v>
      </c>
      <c r="M114">
        <f t="shared" si="118"/>
        <v>0.3</v>
      </c>
      <c r="V114" t="s">
        <v>63</v>
      </c>
      <c r="AH114">
        <f t="shared" ref="AH114:AL114" si="131">AH103</f>
        <v>0.6</v>
      </c>
      <c r="AI114">
        <f t="shared" si="131"/>
        <v>0.6</v>
      </c>
      <c r="AJ114">
        <f t="shared" si="131"/>
        <v>0.6</v>
      </c>
      <c r="AK114">
        <f t="shared" si="131"/>
        <v>0.6</v>
      </c>
      <c r="AL114">
        <f t="shared" si="131"/>
        <v>0.6</v>
      </c>
      <c r="BK114">
        <v>0.6</v>
      </c>
      <c r="BL114">
        <v>35.6</v>
      </c>
      <c r="BM114">
        <v>2</v>
      </c>
      <c r="BN114">
        <v>1</v>
      </c>
      <c r="BO114">
        <v>1</v>
      </c>
      <c r="BP114">
        <v>2</v>
      </c>
      <c r="BQ114">
        <v>5.3999999999999995</v>
      </c>
    </row>
    <row r="115" spans="2:69" x14ac:dyDescent="0.25">
      <c r="B115">
        <v>700</v>
      </c>
      <c r="C115" s="7">
        <f>$O$51</f>
        <v>59.16079783099616</v>
      </c>
      <c r="D115" s="7">
        <f t="shared" si="113"/>
        <v>59.16079783099616</v>
      </c>
      <c r="E115">
        <f t="shared" si="114"/>
        <v>0.8</v>
      </c>
      <c r="F115">
        <f t="shared" si="115"/>
        <v>0.3</v>
      </c>
      <c r="I115">
        <f>$O$37</f>
        <v>6</v>
      </c>
      <c r="J115" s="7">
        <f>$O$38</f>
        <v>24.200000000000003</v>
      </c>
      <c r="K115" s="7">
        <f t="shared" si="116"/>
        <v>24.200000000000003</v>
      </c>
      <c r="L115">
        <f t="shared" si="117"/>
        <v>0.8</v>
      </c>
      <c r="M115">
        <f t="shared" si="118"/>
        <v>0.3</v>
      </c>
      <c r="V115" t="s">
        <v>607</v>
      </c>
      <c r="AH115">
        <f t="shared" ref="AH115:AL115" si="132">AH104</f>
        <v>0.4</v>
      </c>
      <c r="AI115">
        <f t="shared" si="132"/>
        <v>0.4</v>
      </c>
      <c r="AJ115">
        <f t="shared" si="132"/>
        <v>0.4</v>
      </c>
      <c r="AK115">
        <f t="shared" si="132"/>
        <v>0.4</v>
      </c>
      <c r="AL115">
        <f t="shared" si="132"/>
        <v>0.4</v>
      </c>
      <c r="BK115">
        <v>1.2</v>
      </c>
      <c r="BL115">
        <v>65.099999999999994</v>
      </c>
      <c r="BM115">
        <v>2</v>
      </c>
      <c r="BN115">
        <v>2</v>
      </c>
      <c r="BO115">
        <v>2</v>
      </c>
      <c r="BP115">
        <v>3</v>
      </c>
      <c r="BQ115">
        <v>10.799999999999999</v>
      </c>
    </row>
    <row r="116" spans="2:69" x14ac:dyDescent="0.25">
      <c r="B116">
        <v>800</v>
      </c>
      <c r="C116" s="7">
        <f>$P$51</f>
        <v>63.245553203367585</v>
      </c>
      <c r="D116" s="7">
        <f t="shared" si="113"/>
        <v>63.245553203367585</v>
      </c>
      <c r="E116">
        <f t="shared" si="114"/>
        <v>0.8</v>
      </c>
      <c r="F116">
        <f t="shared" si="115"/>
        <v>0.3</v>
      </c>
      <c r="I116">
        <f>$P$37</f>
        <v>7</v>
      </c>
      <c r="J116" s="7">
        <f>$P$38</f>
        <v>24</v>
      </c>
      <c r="K116" s="7">
        <f t="shared" si="116"/>
        <v>24</v>
      </c>
      <c r="L116">
        <f t="shared" si="117"/>
        <v>0.8</v>
      </c>
      <c r="M116">
        <f t="shared" si="118"/>
        <v>0.3</v>
      </c>
      <c r="V116" t="s">
        <v>150</v>
      </c>
      <c r="AH116">
        <f>AH$50/$V113</f>
        <v>5.8285714285714283</v>
      </c>
      <c r="AI116">
        <f>AI$50/$V113</f>
        <v>6.9942857142857147</v>
      </c>
      <c r="AJ116">
        <f>AJ$50/$V113</f>
        <v>8.16</v>
      </c>
      <c r="AK116">
        <f>AK$50/$V113</f>
        <v>9.3257142857142856</v>
      </c>
      <c r="AL116">
        <f>AL$50/$V113</f>
        <v>11.657142857142857</v>
      </c>
      <c r="BK116">
        <v>1.2</v>
      </c>
      <c r="BL116">
        <v>75</v>
      </c>
      <c r="BM116">
        <v>2</v>
      </c>
      <c r="BN116">
        <v>2</v>
      </c>
      <c r="BO116">
        <v>2</v>
      </c>
      <c r="BP116">
        <v>3</v>
      </c>
      <c r="BQ116">
        <v>10.799999999999999</v>
      </c>
    </row>
    <row r="117" spans="2:69" x14ac:dyDescent="0.25">
      <c r="B117">
        <v>1000</v>
      </c>
      <c r="C117" s="7">
        <f>$Q$51</f>
        <v>70.710678118654755</v>
      </c>
      <c r="D117" s="7">
        <f t="shared" si="113"/>
        <v>70.710678118654755</v>
      </c>
      <c r="E117">
        <f t="shared" si="114"/>
        <v>0.8</v>
      </c>
      <c r="F117">
        <f t="shared" si="115"/>
        <v>0.3</v>
      </c>
      <c r="I117">
        <f>$Q$37</f>
        <v>8</v>
      </c>
      <c r="J117" s="7">
        <f>$Q$38</f>
        <v>25</v>
      </c>
      <c r="K117" s="7">
        <f t="shared" si="116"/>
        <v>25</v>
      </c>
      <c r="L117">
        <f t="shared" si="117"/>
        <v>0.8</v>
      </c>
      <c r="M117">
        <f t="shared" si="118"/>
        <v>0.3</v>
      </c>
      <c r="V117" t="s">
        <v>116</v>
      </c>
      <c r="AG117" s="7"/>
      <c r="AH117" s="7">
        <f t="shared" ref="AH117:AL117" si="133">AH106</f>
        <v>25</v>
      </c>
      <c r="AI117" s="7">
        <f t="shared" si="133"/>
        <v>25</v>
      </c>
      <c r="AJ117" s="7">
        <f t="shared" si="133"/>
        <v>25</v>
      </c>
      <c r="AK117" s="7">
        <f t="shared" si="133"/>
        <v>25</v>
      </c>
      <c r="AL117" s="7">
        <f t="shared" si="133"/>
        <v>25</v>
      </c>
      <c r="BK117">
        <v>1.2</v>
      </c>
      <c r="BL117">
        <v>75.599999999999994</v>
      </c>
      <c r="BM117">
        <v>2</v>
      </c>
      <c r="BN117">
        <v>2</v>
      </c>
      <c r="BO117">
        <v>2</v>
      </c>
      <c r="BP117">
        <v>3</v>
      </c>
      <c r="BQ117">
        <v>10.799999999999999</v>
      </c>
    </row>
    <row r="118" spans="2:69" x14ac:dyDescent="0.25">
      <c r="BK118">
        <v>1.7999999999999998</v>
      </c>
      <c r="BL118">
        <v>100.6</v>
      </c>
      <c r="BM118">
        <v>2</v>
      </c>
      <c r="BN118">
        <v>3</v>
      </c>
      <c r="BO118">
        <v>2</v>
      </c>
      <c r="BP118">
        <v>4</v>
      </c>
      <c r="BQ118">
        <v>16.2</v>
      </c>
    </row>
    <row r="119" spans="2:69" x14ac:dyDescent="0.25">
      <c r="V119" t="s">
        <v>609</v>
      </c>
      <c r="BK119">
        <v>2.4</v>
      </c>
      <c r="BL119">
        <v>125.6</v>
      </c>
      <c r="BM119">
        <v>2</v>
      </c>
      <c r="BN119">
        <v>4</v>
      </c>
      <c r="BO119">
        <v>2</v>
      </c>
      <c r="BP119">
        <v>5</v>
      </c>
      <c r="BQ119">
        <v>21.599999999999998</v>
      </c>
    </row>
    <row r="120" spans="2:69" x14ac:dyDescent="0.25">
      <c r="B120" t="s">
        <v>858</v>
      </c>
      <c r="V120" t="s">
        <v>615</v>
      </c>
      <c r="AG120" s="7"/>
      <c r="AH120" s="7">
        <f t="shared" ref="AH120:AL120" si="134">AH114*AH117</f>
        <v>15</v>
      </c>
      <c r="AI120" s="7">
        <f t="shared" si="134"/>
        <v>15</v>
      </c>
      <c r="AJ120" s="7">
        <f t="shared" si="134"/>
        <v>15</v>
      </c>
      <c r="AK120" s="7">
        <f t="shared" si="134"/>
        <v>15</v>
      </c>
      <c r="AL120" s="7">
        <f t="shared" si="134"/>
        <v>15</v>
      </c>
      <c r="BK120">
        <v>3.5999999999999996</v>
      </c>
      <c r="BL120">
        <v>189.85</v>
      </c>
      <c r="BM120">
        <v>2</v>
      </c>
      <c r="BN120">
        <v>7</v>
      </c>
      <c r="BO120">
        <v>4</v>
      </c>
      <c r="BP120">
        <v>7</v>
      </c>
      <c r="BQ120">
        <v>32.4</v>
      </c>
    </row>
    <row r="121" spans="2:69" x14ac:dyDescent="0.25">
      <c r="V121" t="s">
        <v>610</v>
      </c>
      <c r="AG121" s="25"/>
      <c r="AH121" s="25">
        <f>($P$5*AH$18/$V113)/AH120</f>
        <v>145.71428571428569</v>
      </c>
      <c r="AI121" s="6">
        <f>($P$5*AI$18/$V113)/AI120</f>
        <v>174.85714285714283</v>
      </c>
      <c r="AJ121" s="6">
        <f>($P$5*AJ$18/$V113)/AJ120</f>
        <v>204</v>
      </c>
      <c r="AK121" s="6">
        <f>($P$5*AK$18/$V113)/AK120</f>
        <v>233.14285714285717</v>
      </c>
      <c r="AL121" s="6">
        <f>($P$5*AL$18/$V113)/AL120</f>
        <v>291.42857142857139</v>
      </c>
      <c r="BK121">
        <v>4.2</v>
      </c>
      <c r="BL121">
        <v>215.25</v>
      </c>
      <c r="BM121">
        <v>2</v>
      </c>
      <c r="BN121">
        <v>8</v>
      </c>
      <c r="BO121">
        <v>4</v>
      </c>
      <c r="BP121">
        <v>8</v>
      </c>
      <c r="BQ121">
        <v>37.799999999999997</v>
      </c>
    </row>
    <row r="122" spans="2:69" x14ac:dyDescent="0.25">
      <c r="G122" t="s">
        <v>63</v>
      </c>
      <c r="J122" t="s">
        <v>868</v>
      </c>
      <c r="V122" t="s">
        <v>399</v>
      </c>
      <c r="AG122" s="25"/>
      <c r="AH122" s="25">
        <f>($P$3*AH$18/$V113)/AH120</f>
        <v>118.09523809523812</v>
      </c>
      <c r="AI122" s="25">
        <f>($P$3*AI$18/$V113)/AI120</f>
        <v>141.71428571428572</v>
      </c>
      <c r="AJ122" s="25">
        <f>($P$3*AJ$18/$V113)/AJ120</f>
        <v>165.33333333333337</v>
      </c>
      <c r="AK122" s="25">
        <f>($P$3*AK$18/$V113)/AK120</f>
        <v>188.95238095238099</v>
      </c>
      <c r="AL122" s="25">
        <f>($P$3*AL$18/$V113)/AL120</f>
        <v>236.19047619047623</v>
      </c>
      <c r="BK122">
        <v>4.8</v>
      </c>
      <c r="BL122">
        <v>240.54999999999998</v>
      </c>
      <c r="BM122">
        <v>2</v>
      </c>
      <c r="BN122">
        <v>9</v>
      </c>
      <c r="BO122">
        <v>4</v>
      </c>
      <c r="BP122">
        <v>9</v>
      </c>
      <c r="BQ122">
        <v>43.199999999999996</v>
      </c>
    </row>
    <row r="123" spans="2:69" x14ac:dyDescent="0.25">
      <c r="B123" t="s">
        <v>859</v>
      </c>
      <c r="C123" t="s">
        <v>860</v>
      </c>
      <c r="D123" t="s">
        <v>64</v>
      </c>
      <c r="F123" t="s">
        <v>866</v>
      </c>
      <c r="G123">
        <v>0.15</v>
      </c>
      <c r="BK123">
        <v>6</v>
      </c>
      <c r="BL123">
        <v>289.07499999999999</v>
      </c>
      <c r="BM123">
        <v>2</v>
      </c>
      <c r="BN123">
        <v>10</v>
      </c>
      <c r="BO123">
        <v>5</v>
      </c>
      <c r="BP123">
        <v>11</v>
      </c>
      <c r="BQ123">
        <v>53.999999999999993</v>
      </c>
    </row>
    <row r="124" spans="2:69" x14ac:dyDescent="0.25">
      <c r="B124" t="s">
        <v>861</v>
      </c>
      <c r="C124" s="91">
        <f>C126</f>
        <v>10</v>
      </c>
      <c r="D124" s="7" t="str">
        <f>D126</f>
        <v>mm</v>
      </c>
      <c r="E124" s="1"/>
      <c r="F124" t="s">
        <v>867</v>
      </c>
      <c r="G124">
        <f>(0.75-0.2)*(2/3)</f>
        <v>0.3666666666666667</v>
      </c>
      <c r="H124" s="7"/>
      <c r="I124" s="7"/>
      <c r="J124" s="7"/>
      <c r="K124" s="7"/>
      <c r="L124" s="7"/>
      <c r="M124" s="7"/>
      <c r="N124" s="7"/>
      <c r="O124" s="7"/>
      <c r="P124" s="7"/>
      <c r="Q124" s="7"/>
      <c r="V124">
        <v>8</v>
      </c>
      <c r="W124" t="s">
        <v>618</v>
      </c>
      <c r="BK124">
        <v>6.6</v>
      </c>
      <c r="BL124">
        <v>314.47500000000002</v>
      </c>
      <c r="BM124">
        <v>2</v>
      </c>
      <c r="BN124">
        <v>11</v>
      </c>
      <c r="BO124">
        <v>5</v>
      </c>
      <c r="BP124">
        <v>12</v>
      </c>
      <c r="BQ124">
        <v>59.399999999999991</v>
      </c>
    </row>
    <row r="125" spans="2:69" x14ac:dyDescent="0.25">
      <c r="B125" t="s">
        <v>862</v>
      </c>
      <c r="C125" t="s">
        <v>863</v>
      </c>
      <c r="F125" t="s">
        <v>865</v>
      </c>
      <c r="G125">
        <f>((0.75-0.2)*(1/3))+0.05*2</f>
        <v>0.28333333333333333</v>
      </c>
      <c r="V125" t="s">
        <v>63</v>
      </c>
      <c r="AI125">
        <f t="shared" ref="AI125:AL125" si="135">AI114</f>
        <v>0.6</v>
      </c>
      <c r="AJ125">
        <f t="shared" si="135"/>
        <v>0.6</v>
      </c>
      <c r="AK125">
        <f t="shared" si="135"/>
        <v>0.6</v>
      </c>
      <c r="AL125">
        <f t="shared" si="135"/>
        <v>0.6</v>
      </c>
      <c r="BK125">
        <v>8.4</v>
      </c>
      <c r="BL125">
        <v>347.67500000000001</v>
      </c>
      <c r="BM125">
        <v>2</v>
      </c>
      <c r="BN125">
        <v>14</v>
      </c>
      <c r="BO125">
        <v>6</v>
      </c>
      <c r="BP125">
        <v>15</v>
      </c>
      <c r="BQ125">
        <v>75.599999999999994</v>
      </c>
    </row>
    <row r="126" spans="2:69" x14ac:dyDescent="0.25">
      <c r="B126" t="s">
        <v>864</v>
      </c>
      <c r="C126">
        <v>10</v>
      </c>
      <c r="D126" t="s">
        <v>64</v>
      </c>
      <c r="V126" t="s">
        <v>607</v>
      </c>
      <c r="AI126">
        <f t="shared" ref="AI126:AL126" si="136">AI115</f>
        <v>0.4</v>
      </c>
      <c r="AJ126">
        <f t="shared" si="136"/>
        <v>0.4</v>
      </c>
      <c r="AK126">
        <f t="shared" si="136"/>
        <v>0.4</v>
      </c>
      <c r="AL126">
        <f t="shared" si="136"/>
        <v>0.4</v>
      </c>
    </row>
    <row r="127" spans="2:69" x14ac:dyDescent="0.25">
      <c r="V127" t="s">
        <v>150</v>
      </c>
      <c r="AI127">
        <f>AI$50/$V124</f>
        <v>6.12</v>
      </c>
      <c r="AJ127">
        <f>AJ$50/$V124</f>
        <v>7.14</v>
      </c>
      <c r="AK127">
        <f>AK$50/$V124</f>
        <v>8.16</v>
      </c>
      <c r="AL127">
        <f>AL$50/$V124</f>
        <v>10.199999999999999</v>
      </c>
    </row>
    <row r="128" spans="2:69" x14ac:dyDescent="0.25">
      <c r="V128" t="s">
        <v>116</v>
      </c>
      <c r="AG128" s="7"/>
      <c r="AH128" s="7"/>
      <c r="AI128" s="7">
        <f t="shared" ref="AI128:AL128" si="137">AI117</f>
        <v>25</v>
      </c>
      <c r="AJ128" s="7">
        <f t="shared" si="137"/>
        <v>25</v>
      </c>
      <c r="AK128" s="7">
        <f t="shared" si="137"/>
        <v>25</v>
      </c>
      <c r="AL128" s="7">
        <f t="shared" si="137"/>
        <v>25</v>
      </c>
    </row>
    <row r="129" spans="2:38" x14ac:dyDescent="0.25">
      <c r="B129" t="s">
        <v>869</v>
      </c>
    </row>
    <row r="130" spans="2:38" x14ac:dyDescent="0.2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V130" t="s">
        <v>609</v>
      </c>
    </row>
    <row r="131" spans="2:38" x14ac:dyDescent="0.25">
      <c r="B131" t="s">
        <v>870</v>
      </c>
      <c r="I131" t="s">
        <v>857</v>
      </c>
      <c r="V131" t="s">
        <v>615</v>
      </c>
      <c r="AG131" s="7"/>
      <c r="AH131" s="7"/>
      <c r="AI131" s="7">
        <f t="shared" ref="AI131:AL131" si="138">AI125*AI128</f>
        <v>15</v>
      </c>
      <c r="AJ131" s="7">
        <f t="shared" si="138"/>
        <v>15</v>
      </c>
      <c r="AK131" s="7">
        <f t="shared" si="138"/>
        <v>15</v>
      </c>
      <c r="AL131" s="7">
        <f t="shared" si="138"/>
        <v>15</v>
      </c>
    </row>
    <row r="132" spans="2:38" x14ac:dyDescent="0.25">
      <c r="V132" t="s">
        <v>610</v>
      </c>
      <c r="AG132" s="25"/>
      <c r="AH132" s="6"/>
      <c r="AI132" s="25">
        <f>($P$5*AI$18/$V124)/AI131</f>
        <v>153</v>
      </c>
      <c r="AJ132" s="6">
        <f>($P$5*AJ$18/$V124)/AJ131</f>
        <v>178.5</v>
      </c>
      <c r="AK132" s="6">
        <f>($P$5*AK$18/$V124)/AK131</f>
        <v>204</v>
      </c>
      <c r="AL132" s="6">
        <f>($P$5*AL$18/$V124)/AL131</f>
        <v>254.99999999999997</v>
      </c>
    </row>
    <row r="133" spans="2:38" x14ac:dyDescent="0.25">
      <c r="B133" s="10" t="s">
        <v>156</v>
      </c>
      <c r="C133" s="10" t="s">
        <v>148</v>
      </c>
      <c r="D133" s="10" t="s">
        <v>67</v>
      </c>
      <c r="E133" s="10" t="s">
        <v>624</v>
      </c>
      <c r="F133" s="10" t="s">
        <v>625</v>
      </c>
      <c r="I133" s="10" t="s">
        <v>156</v>
      </c>
      <c r="J133" s="10" t="s">
        <v>909</v>
      </c>
      <c r="K133" s="10" t="s">
        <v>67</v>
      </c>
      <c r="L133" s="10" t="s">
        <v>624</v>
      </c>
      <c r="M133" s="10" t="s">
        <v>910</v>
      </c>
      <c r="P133" s="10" t="s">
        <v>125</v>
      </c>
      <c r="V133" t="s">
        <v>399</v>
      </c>
      <c r="AG133" s="25"/>
      <c r="AH133" s="25"/>
      <c r="AI133" s="25">
        <f>($P$3*AI$18/$V124)/AI131</f>
        <v>124.00000000000001</v>
      </c>
      <c r="AJ133" s="25">
        <f>($P$3*AJ$18/$V124)/AJ131</f>
        <v>144.66666666666669</v>
      </c>
      <c r="AK133" s="25">
        <f>($P$3*AK$18/$V124)/AK131</f>
        <v>165.33333333333337</v>
      </c>
      <c r="AL133" s="25">
        <f>($P$3*AL$18/$V124)/AL131</f>
        <v>206.66666666666669</v>
      </c>
    </row>
    <row r="134" spans="2:38" x14ac:dyDescent="0.25">
      <c r="B134">
        <v>5</v>
      </c>
      <c r="C134">
        <f>C102*D102*(E102+F102)</f>
        <v>27.500000000000004</v>
      </c>
      <c r="E134">
        <f>C102*0.3*4</f>
        <v>6</v>
      </c>
      <c r="F134">
        <f>E134+C134</f>
        <v>33.5</v>
      </c>
      <c r="I134">
        <v>5</v>
      </c>
      <c r="J134">
        <f>J102*K102*(L102+M102)</f>
        <v>27.500000000000004</v>
      </c>
      <c r="L134">
        <f>J102*0.3*4</f>
        <v>6</v>
      </c>
      <c r="M134">
        <f>J134+L134</f>
        <v>33.5</v>
      </c>
      <c r="P134">
        <f>M134*I102</f>
        <v>33.5</v>
      </c>
    </row>
    <row r="135" spans="2:38" x14ac:dyDescent="0.25">
      <c r="B135">
        <v>10</v>
      </c>
      <c r="C135">
        <f t="shared" ref="C135:C149" si="139">C103*D103*(E103+F103)</f>
        <v>55.000000000000014</v>
      </c>
      <c r="E135">
        <f t="shared" ref="E135:E149" si="140">C103*0.3*4</f>
        <v>8.4852813742385695</v>
      </c>
      <c r="F135">
        <f t="shared" ref="F135:F148" si="141">E135+C135</f>
        <v>63.485281374238582</v>
      </c>
      <c r="I135">
        <v>10</v>
      </c>
      <c r="J135">
        <f t="shared" ref="J135:J149" si="142">J103*K103*(L103+M103)</f>
        <v>55.451000000000001</v>
      </c>
      <c r="L135">
        <f t="shared" ref="L135:L149" si="143">J103*0.3*4</f>
        <v>8.52</v>
      </c>
      <c r="M135">
        <f t="shared" ref="M135:M149" si="144">J135+L135</f>
        <v>63.971000000000004</v>
      </c>
      <c r="P135">
        <f t="shared" ref="P135:P149" si="145">M135*I103</f>
        <v>63.971000000000004</v>
      </c>
      <c r="V135">
        <v>9</v>
      </c>
      <c r="W135" t="s">
        <v>618</v>
      </c>
    </row>
    <row r="136" spans="2:38" x14ac:dyDescent="0.25">
      <c r="B136">
        <v>20</v>
      </c>
      <c r="C136">
        <f t="shared" si="139"/>
        <v>110.00000000000001</v>
      </c>
      <c r="E136">
        <f t="shared" si="140"/>
        <v>12</v>
      </c>
      <c r="F136">
        <f t="shared" si="141"/>
        <v>122.00000000000001</v>
      </c>
      <c r="I136">
        <v>20</v>
      </c>
      <c r="J136">
        <f t="shared" si="142"/>
        <v>110.00000000000001</v>
      </c>
      <c r="L136">
        <f t="shared" si="143"/>
        <v>12</v>
      </c>
      <c r="M136">
        <f t="shared" si="144"/>
        <v>122.00000000000001</v>
      </c>
      <c r="P136">
        <f t="shared" si="145"/>
        <v>122.00000000000001</v>
      </c>
      <c r="V136" t="s">
        <v>63</v>
      </c>
      <c r="AJ136">
        <f t="shared" ref="AJ136:AL136" si="146">AJ125</f>
        <v>0.6</v>
      </c>
      <c r="AK136">
        <f t="shared" si="146"/>
        <v>0.6</v>
      </c>
      <c r="AL136">
        <f t="shared" si="146"/>
        <v>0.6</v>
      </c>
    </row>
    <row r="137" spans="2:38" x14ac:dyDescent="0.25">
      <c r="B137">
        <v>30</v>
      </c>
      <c r="C137">
        <f t="shared" si="139"/>
        <v>165</v>
      </c>
      <c r="E137">
        <f t="shared" si="140"/>
        <v>14.696938456699067</v>
      </c>
      <c r="F137">
        <f t="shared" si="141"/>
        <v>179.69693845669906</v>
      </c>
      <c r="I137">
        <v>30</v>
      </c>
      <c r="J137">
        <f t="shared" si="142"/>
        <v>166.41899999999998</v>
      </c>
      <c r="L137">
        <f t="shared" si="143"/>
        <v>14.759999999999998</v>
      </c>
      <c r="M137">
        <f t="shared" si="144"/>
        <v>181.17899999999997</v>
      </c>
      <c r="P137">
        <f t="shared" si="145"/>
        <v>181.17899999999997</v>
      </c>
      <c r="V137" t="s">
        <v>607</v>
      </c>
      <c r="AJ137">
        <f t="shared" ref="AJ137:AL137" si="147">AJ126</f>
        <v>0.4</v>
      </c>
      <c r="AK137">
        <f t="shared" si="147"/>
        <v>0.4</v>
      </c>
      <c r="AL137">
        <f t="shared" si="147"/>
        <v>0.4</v>
      </c>
    </row>
    <row r="138" spans="2:38" x14ac:dyDescent="0.25">
      <c r="B138">
        <v>50</v>
      </c>
      <c r="C138">
        <f t="shared" si="139"/>
        <v>275</v>
      </c>
      <c r="E138">
        <f t="shared" si="140"/>
        <v>18.973665961010276</v>
      </c>
      <c r="F138">
        <f t="shared" si="141"/>
        <v>293.97366596101028</v>
      </c>
      <c r="I138">
        <v>50</v>
      </c>
      <c r="J138">
        <f t="shared" si="142"/>
        <v>278.09100000000001</v>
      </c>
      <c r="L138">
        <f t="shared" si="143"/>
        <v>19.079999999999998</v>
      </c>
      <c r="M138">
        <f t="shared" si="144"/>
        <v>297.17099999999999</v>
      </c>
      <c r="P138">
        <f t="shared" si="145"/>
        <v>297.17099999999999</v>
      </c>
      <c r="V138" t="s">
        <v>150</v>
      </c>
      <c r="AJ138">
        <f>AJ$50/$V135</f>
        <v>6.3466666666666667</v>
      </c>
      <c r="AK138">
        <f>AK$50/$V135</f>
        <v>7.2533333333333339</v>
      </c>
      <c r="AL138">
        <f>AL$50/$V135</f>
        <v>9.0666666666666664</v>
      </c>
    </row>
    <row r="139" spans="2:38" x14ac:dyDescent="0.25">
      <c r="B139">
        <v>75</v>
      </c>
      <c r="C139">
        <f t="shared" si="139"/>
        <v>412.50000000000006</v>
      </c>
      <c r="E139">
        <f>C107*0.3*4</f>
        <v>23.2379000772445</v>
      </c>
      <c r="F139">
        <f t="shared" si="141"/>
        <v>435.73790007724455</v>
      </c>
      <c r="I139">
        <v>75</v>
      </c>
      <c r="J139">
        <f t="shared" si="142"/>
        <v>413.99600000000009</v>
      </c>
      <c r="L139">
        <f>J107*0.3*4</f>
        <v>23.28</v>
      </c>
      <c r="M139">
        <f t="shared" si="144"/>
        <v>437.27600000000007</v>
      </c>
      <c r="P139">
        <f t="shared" si="145"/>
        <v>437.27600000000007</v>
      </c>
      <c r="V139" t="s">
        <v>116</v>
      </c>
      <c r="AG139" s="7"/>
      <c r="AH139" s="7"/>
      <c r="AI139" s="7"/>
      <c r="AJ139" s="7">
        <f t="shared" ref="AJ139:AL139" si="148">AJ128</f>
        <v>25</v>
      </c>
      <c r="AK139" s="7">
        <f t="shared" si="148"/>
        <v>25</v>
      </c>
      <c r="AL139" s="7">
        <f t="shared" si="148"/>
        <v>25</v>
      </c>
    </row>
    <row r="140" spans="2:38" x14ac:dyDescent="0.25">
      <c r="B140">
        <v>100</v>
      </c>
      <c r="C140">
        <f t="shared" si="139"/>
        <v>550.00000000000011</v>
      </c>
      <c r="E140">
        <f t="shared" si="140"/>
        <v>26.832815729997478</v>
      </c>
      <c r="F140">
        <f t="shared" si="141"/>
        <v>576.83281572999761</v>
      </c>
      <c r="I140">
        <v>100</v>
      </c>
      <c r="J140">
        <f t="shared" si="142"/>
        <v>551.93600000000015</v>
      </c>
      <c r="L140">
        <f t="shared" si="143"/>
        <v>26.880000000000003</v>
      </c>
      <c r="M140">
        <f t="shared" si="144"/>
        <v>578.81600000000014</v>
      </c>
      <c r="P140">
        <f t="shared" si="145"/>
        <v>578.81600000000014</v>
      </c>
    </row>
    <row r="141" spans="2:38" x14ac:dyDescent="0.25">
      <c r="B141">
        <v>150</v>
      </c>
      <c r="C141">
        <f t="shared" si="139"/>
        <v>825.00000000000023</v>
      </c>
      <c r="E141">
        <f t="shared" si="140"/>
        <v>32.863353450309965</v>
      </c>
      <c r="F141">
        <f t="shared" si="141"/>
        <v>857.86335345031023</v>
      </c>
      <c r="I141">
        <v>150</v>
      </c>
      <c r="J141">
        <f t="shared" si="142"/>
        <v>413.99600000000009</v>
      </c>
      <c r="L141">
        <f t="shared" si="143"/>
        <v>23.28</v>
      </c>
      <c r="M141">
        <f t="shared" si="144"/>
        <v>437.27600000000007</v>
      </c>
      <c r="P141">
        <f t="shared" si="145"/>
        <v>874.55200000000013</v>
      </c>
      <c r="V141" t="s">
        <v>609</v>
      </c>
    </row>
    <row r="142" spans="2:38" x14ac:dyDescent="0.25">
      <c r="B142">
        <v>200</v>
      </c>
      <c r="C142">
        <f t="shared" si="139"/>
        <v>1100</v>
      </c>
      <c r="E142">
        <f t="shared" si="140"/>
        <v>37.947331922020552</v>
      </c>
      <c r="F142">
        <f t="shared" si="141"/>
        <v>1137.9473319220206</v>
      </c>
      <c r="I142">
        <v>200</v>
      </c>
      <c r="J142">
        <f t="shared" si="142"/>
        <v>551.93600000000015</v>
      </c>
      <c r="L142">
        <f t="shared" si="143"/>
        <v>26.880000000000003</v>
      </c>
      <c r="M142">
        <f t="shared" si="144"/>
        <v>578.81600000000014</v>
      </c>
      <c r="P142">
        <f t="shared" si="145"/>
        <v>1157.6320000000003</v>
      </c>
      <c r="V142" t="s">
        <v>615</v>
      </c>
      <c r="AG142" s="7"/>
      <c r="AH142" s="7"/>
      <c r="AI142" s="7"/>
      <c r="AJ142" s="7">
        <f t="shared" ref="AJ142:AL142" si="149">AJ136*AJ139</f>
        <v>15</v>
      </c>
      <c r="AK142" s="7">
        <f t="shared" si="149"/>
        <v>15</v>
      </c>
      <c r="AL142" s="7">
        <f t="shared" si="149"/>
        <v>15</v>
      </c>
    </row>
    <row r="143" spans="2:38" x14ac:dyDescent="0.25">
      <c r="B143">
        <v>300</v>
      </c>
      <c r="C143">
        <f t="shared" si="139"/>
        <v>1650.0000000000002</v>
      </c>
      <c r="E143">
        <f t="shared" si="140"/>
        <v>46.475800154489001</v>
      </c>
      <c r="F143">
        <f t="shared" si="141"/>
        <v>1696.4758001544892</v>
      </c>
      <c r="I143">
        <v>300</v>
      </c>
      <c r="J143">
        <f t="shared" si="142"/>
        <v>551.93600000000015</v>
      </c>
      <c r="L143">
        <f t="shared" si="143"/>
        <v>26.880000000000003</v>
      </c>
      <c r="M143">
        <f t="shared" si="144"/>
        <v>578.81600000000014</v>
      </c>
      <c r="P143">
        <f t="shared" si="145"/>
        <v>1736.4480000000003</v>
      </c>
      <c r="V143" t="s">
        <v>610</v>
      </c>
      <c r="AG143" s="25"/>
      <c r="AH143" s="6"/>
      <c r="AI143" s="25"/>
      <c r="AJ143" s="6">
        <f>($P$5*AJ$18/$V135)/AJ142</f>
        <v>158.66666666666666</v>
      </c>
      <c r="AK143" s="6">
        <f>($P$5*AK$18/$V135)/AK142</f>
        <v>181.33333333333334</v>
      </c>
      <c r="AL143" s="6">
        <f>($P$5*AL$18/$V135)/AL142</f>
        <v>226.66666666666663</v>
      </c>
    </row>
    <row r="144" spans="2:38" x14ac:dyDescent="0.25">
      <c r="B144">
        <v>400</v>
      </c>
      <c r="C144">
        <f t="shared" si="139"/>
        <v>2200.0000000000005</v>
      </c>
      <c r="E144">
        <f t="shared" si="140"/>
        <v>53.665631459994955</v>
      </c>
      <c r="F144">
        <f t="shared" si="141"/>
        <v>2253.6656314599954</v>
      </c>
      <c r="I144">
        <v>400</v>
      </c>
      <c r="J144">
        <f t="shared" si="142"/>
        <v>551.93600000000015</v>
      </c>
      <c r="L144">
        <f t="shared" si="143"/>
        <v>26.880000000000003</v>
      </c>
      <c r="M144">
        <f t="shared" si="144"/>
        <v>578.81600000000014</v>
      </c>
      <c r="P144">
        <f t="shared" si="145"/>
        <v>2315.2640000000006</v>
      </c>
      <c r="V144" t="s">
        <v>399</v>
      </c>
      <c r="AG144" s="25"/>
      <c r="AH144" s="25"/>
      <c r="AI144" s="25"/>
      <c r="AJ144" s="25">
        <f>($P$3*AJ$18/$V135)/AJ142</f>
        <v>128.59259259259264</v>
      </c>
      <c r="AK144" s="25">
        <f>($P$3*AK$18/$V135)/AK142</f>
        <v>146.96296296296299</v>
      </c>
      <c r="AL144" s="25">
        <f>($P$3*AL$18/$V135)/AL142</f>
        <v>183.70370370370375</v>
      </c>
    </row>
    <row r="145" spans="2:38" x14ac:dyDescent="0.25">
      <c r="B145">
        <v>500</v>
      </c>
      <c r="C145">
        <f t="shared" si="139"/>
        <v>2750</v>
      </c>
      <c r="E145">
        <f t="shared" si="140"/>
        <v>60</v>
      </c>
      <c r="F145">
        <f t="shared" si="141"/>
        <v>2810</v>
      </c>
      <c r="I145">
        <v>500</v>
      </c>
      <c r="J145">
        <f t="shared" si="142"/>
        <v>687.5</v>
      </c>
      <c r="L145">
        <f t="shared" si="143"/>
        <v>30</v>
      </c>
      <c r="M145">
        <f t="shared" si="144"/>
        <v>717.5</v>
      </c>
      <c r="P145">
        <f t="shared" si="145"/>
        <v>2870</v>
      </c>
    </row>
    <row r="146" spans="2:38" x14ac:dyDescent="0.25">
      <c r="B146">
        <v>600</v>
      </c>
      <c r="C146">
        <f t="shared" si="139"/>
        <v>3300.0000000000009</v>
      </c>
      <c r="E146">
        <f t="shared" si="140"/>
        <v>65.726706900619931</v>
      </c>
      <c r="F146">
        <f t="shared" si="141"/>
        <v>3365.7267069006207</v>
      </c>
      <c r="I146">
        <v>600</v>
      </c>
      <c r="J146">
        <f t="shared" si="142"/>
        <v>660.27500000000009</v>
      </c>
      <c r="L146">
        <f t="shared" si="143"/>
        <v>29.4</v>
      </c>
      <c r="M146">
        <f t="shared" si="144"/>
        <v>689.67500000000007</v>
      </c>
      <c r="P146">
        <f t="shared" si="145"/>
        <v>3448.3750000000005</v>
      </c>
      <c r="V146">
        <v>10</v>
      </c>
      <c r="W146" t="s">
        <v>618</v>
      </c>
    </row>
    <row r="147" spans="2:38" x14ac:dyDescent="0.25">
      <c r="B147">
        <v>700</v>
      </c>
      <c r="C147">
        <f t="shared" si="139"/>
        <v>3850.0000000000005</v>
      </c>
      <c r="E147">
        <f t="shared" si="140"/>
        <v>70.992957397195383</v>
      </c>
      <c r="F147">
        <f t="shared" si="141"/>
        <v>3920.9929573971958</v>
      </c>
      <c r="I147">
        <v>700</v>
      </c>
      <c r="J147">
        <f t="shared" si="142"/>
        <v>644.20400000000018</v>
      </c>
      <c r="L147">
        <f t="shared" si="143"/>
        <v>29.040000000000003</v>
      </c>
      <c r="M147">
        <f t="shared" si="144"/>
        <v>673.24400000000014</v>
      </c>
      <c r="P147">
        <f t="shared" si="145"/>
        <v>4039.4640000000009</v>
      </c>
      <c r="V147" t="s">
        <v>63</v>
      </c>
      <c r="AJ147">
        <f t="shared" ref="AJ147:AL147" si="150">AJ136</f>
        <v>0.6</v>
      </c>
      <c r="AK147">
        <f t="shared" si="150"/>
        <v>0.6</v>
      </c>
      <c r="AL147">
        <f t="shared" si="150"/>
        <v>0.6</v>
      </c>
    </row>
    <row r="148" spans="2:38" x14ac:dyDescent="0.25">
      <c r="B148">
        <v>800</v>
      </c>
      <c r="C148">
        <f t="shared" si="139"/>
        <v>4400</v>
      </c>
      <c r="E148">
        <f t="shared" si="140"/>
        <v>75.894663844041105</v>
      </c>
      <c r="F148">
        <f t="shared" si="141"/>
        <v>4475.8946638440411</v>
      </c>
      <c r="I148">
        <v>800</v>
      </c>
      <c r="J148">
        <f t="shared" si="142"/>
        <v>633.6</v>
      </c>
      <c r="L148">
        <f t="shared" si="143"/>
        <v>28.799999999999997</v>
      </c>
      <c r="M148">
        <f t="shared" si="144"/>
        <v>662.4</v>
      </c>
      <c r="P148">
        <f t="shared" si="145"/>
        <v>4636.8</v>
      </c>
      <c r="V148" t="s">
        <v>607</v>
      </c>
      <c r="AJ148">
        <f t="shared" ref="AJ148:AL148" si="151">AJ137</f>
        <v>0.4</v>
      </c>
      <c r="AK148">
        <f t="shared" si="151"/>
        <v>0.4</v>
      </c>
      <c r="AL148">
        <f t="shared" si="151"/>
        <v>0.4</v>
      </c>
    </row>
    <row r="149" spans="2:38" x14ac:dyDescent="0.25">
      <c r="B149">
        <v>1000</v>
      </c>
      <c r="C149">
        <f t="shared" si="139"/>
        <v>5500</v>
      </c>
      <c r="E149">
        <f t="shared" si="140"/>
        <v>84.852813742385706</v>
      </c>
      <c r="F149">
        <f>E149+C149</f>
        <v>5584.8528137423855</v>
      </c>
      <c r="I149">
        <v>1000</v>
      </c>
      <c r="J149">
        <f t="shared" si="142"/>
        <v>687.5</v>
      </c>
      <c r="L149">
        <f t="shared" si="143"/>
        <v>30</v>
      </c>
      <c r="M149">
        <f t="shared" si="144"/>
        <v>717.5</v>
      </c>
      <c r="P149">
        <f t="shared" si="145"/>
        <v>5740</v>
      </c>
      <c r="V149" t="s">
        <v>150</v>
      </c>
      <c r="AJ149">
        <f>AJ$50/$V146</f>
        <v>5.7119999999999997</v>
      </c>
      <c r="AK149">
        <f>AK$50/$V146</f>
        <v>6.5280000000000005</v>
      </c>
      <c r="AL149">
        <f>AL$50/$V146</f>
        <v>8.16</v>
      </c>
    </row>
    <row r="150" spans="2:38" x14ac:dyDescent="0.25">
      <c r="V150" t="s">
        <v>116</v>
      </c>
      <c r="AG150" s="7"/>
      <c r="AH150" s="7"/>
      <c r="AI150" s="7"/>
      <c r="AJ150" s="7">
        <f t="shared" ref="AJ150:AL150" si="152">AJ139</f>
        <v>25</v>
      </c>
      <c r="AK150" s="7">
        <f t="shared" si="152"/>
        <v>25</v>
      </c>
      <c r="AL150" s="7">
        <f t="shared" si="152"/>
        <v>25</v>
      </c>
    </row>
    <row r="152" spans="2:38" x14ac:dyDescent="0.25">
      <c r="V152" t="s">
        <v>609</v>
      </c>
    </row>
    <row r="153" spans="2:38" x14ac:dyDescent="0.25">
      <c r="V153" t="s">
        <v>615</v>
      </c>
      <c r="AG153" s="7"/>
      <c r="AH153" s="7"/>
      <c r="AI153" s="7"/>
      <c r="AJ153" s="7">
        <f t="shared" ref="AJ153:AL153" si="153">AJ147*AJ150</f>
        <v>15</v>
      </c>
      <c r="AK153" s="7">
        <f t="shared" si="153"/>
        <v>15</v>
      </c>
      <c r="AL153" s="7">
        <f t="shared" si="153"/>
        <v>15</v>
      </c>
    </row>
    <row r="154" spans="2:38" x14ac:dyDescent="0.25">
      <c r="V154" t="s">
        <v>610</v>
      </c>
      <c r="AG154" s="25"/>
      <c r="AH154" s="6"/>
      <c r="AI154" s="25"/>
      <c r="AJ154" s="25">
        <f>($P$5*AJ$18/$V146)/AJ153</f>
        <v>142.80000000000001</v>
      </c>
      <c r="AK154" s="6">
        <f>($P$5*AK$18/$V146)/AK153</f>
        <v>163.19999999999999</v>
      </c>
      <c r="AL154" s="6">
        <f>($P$5*AL$18/$V146)/AL153</f>
        <v>203.99999999999997</v>
      </c>
    </row>
    <row r="155" spans="2:38" x14ac:dyDescent="0.25">
      <c r="V155" t="s">
        <v>399</v>
      </c>
      <c r="AG155" s="25"/>
      <c r="AH155" s="25"/>
      <c r="AI155" s="25"/>
      <c r="AJ155" s="25">
        <f>($P$3*AJ$18/$V146)/AJ153</f>
        <v>115.73333333333336</v>
      </c>
      <c r="AK155" s="25">
        <f>($P$3*AK$18/$V146)/AK153</f>
        <v>132.26666666666671</v>
      </c>
      <c r="AL155" s="25">
        <f>($P$3*AL$18/$V146)/AL153</f>
        <v>165.33333333333337</v>
      </c>
    </row>
    <row r="157" spans="2:38" x14ac:dyDescent="0.25">
      <c r="B157" t="s">
        <v>871</v>
      </c>
      <c r="V157">
        <v>11</v>
      </c>
      <c r="W157" t="s">
        <v>618</v>
      </c>
    </row>
    <row r="158" spans="2:38" x14ac:dyDescent="0.25">
      <c r="V158" t="s">
        <v>63</v>
      </c>
      <c r="AK158">
        <f t="shared" ref="AK158:AL158" si="154">AK147</f>
        <v>0.6</v>
      </c>
      <c r="AL158">
        <f t="shared" si="154"/>
        <v>0.6</v>
      </c>
    </row>
    <row r="159" spans="2:38" x14ac:dyDescent="0.25">
      <c r="V159" t="s">
        <v>607</v>
      </c>
      <c r="AK159">
        <f t="shared" ref="AK159:AL159" si="155">AK148</f>
        <v>0.4</v>
      </c>
      <c r="AL159">
        <f t="shared" si="155"/>
        <v>0.4</v>
      </c>
    </row>
    <row r="160" spans="2:38" x14ac:dyDescent="0.25">
      <c r="V160" t="s">
        <v>150</v>
      </c>
      <c r="AK160">
        <f>AK$50/$V157</f>
        <v>5.9345454545454546</v>
      </c>
      <c r="AL160">
        <f>AL$50/$V157</f>
        <v>7.418181818181818</v>
      </c>
    </row>
    <row r="161" spans="2:38" x14ac:dyDescent="0.25">
      <c r="V161" t="s">
        <v>116</v>
      </c>
      <c r="AG161" s="7"/>
      <c r="AH161" s="7"/>
      <c r="AI161" s="7"/>
      <c r="AJ161" s="7"/>
      <c r="AK161" s="7">
        <f t="shared" ref="AK161:AL161" si="156">AK150</f>
        <v>25</v>
      </c>
      <c r="AL161" s="7">
        <f t="shared" si="156"/>
        <v>25</v>
      </c>
    </row>
    <row r="163" spans="2:38" x14ac:dyDescent="0.25">
      <c r="V163" t="s">
        <v>609</v>
      </c>
    </row>
    <row r="164" spans="2:38" x14ac:dyDescent="0.25">
      <c r="V164" t="s">
        <v>615</v>
      </c>
      <c r="AG164" s="7"/>
      <c r="AH164" s="7"/>
      <c r="AI164" s="7"/>
      <c r="AJ164" s="7"/>
      <c r="AK164" s="7">
        <f t="shared" ref="AK164:AL164" si="157">AK158*AK161</f>
        <v>15</v>
      </c>
      <c r="AL164" s="7">
        <f t="shared" si="157"/>
        <v>15</v>
      </c>
    </row>
    <row r="165" spans="2:38" x14ac:dyDescent="0.25">
      <c r="V165" t="s">
        <v>610</v>
      </c>
      <c r="AG165" s="25"/>
      <c r="AH165" s="6"/>
      <c r="AI165" s="25"/>
      <c r="AJ165" s="25"/>
      <c r="AK165" s="25">
        <f>($P$5*AK$18/$V157)/AK164</f>
        <v>148.36363636363637</v>
      </c>
      <c r="AL165" s="6">
        <f>($P$5*AL$18/$V157)/AL164</f>
        <v>185.45454545454544</v>
      </c>
    </row>
    <row r="166" spans="2:38" x14ac:dyDescent="0.25">
      <c r="V166" t="s">
        <v>399</v>
      </c>
      <c r="AG166" s="25"/>
      <c r="AH166" s="25"/>
      <c r="AI166" s="25"/>
      <c r="AJ166" s="25"/>
      <c r="AK166" s="25">
        <f>($P$3*AK$18/$V157)/AK164</f>
        <v>120.24242424242426</v>
      </c>
      <c r="AL166" s="25">
        <f>($P$3*AL$18/$V157)/AL164</f>
        <v>150.30303030303034</v>
      </c>
    </row>
    <row r="168" spans="2:38" x14ac:dyDescent="0.25">
      <c r="V168">
        <v>14</v>
      </c>
      <c r="W168" t="s">
        <v>618</v>
      </c>
    </row>
    <row r="169" spans="2:38" x14ac:dyDescent="0.25">
      <c r="V169" t="s">
        <v>63</v>
      </c>
      <c r="AL169">
        <f t="shared" ref="AL169" si="158">AL158</f>
        <v>0.6</v>
      </c>
    </row>
    <row r="170" spans="2:38" x14ac:dyDescent="0.25">
      <c r="V170" t="s">
        <v>607</v>
      </c>
      <c r="AL170">
        <f t="shared" ref="AL170" si="159">AL159</f>
        <v>0.4</v>
      </c>
    </row>
    <row r="171" spans="2:38" x14ac:dyDescent="0.25">
      <c r="B171" t="s">
        <v>110</v>
      </c>
      <c r="E171" t="s">
        <v>874</v>
      </c>
      <c r="V171" t="s">
        <v>150</v>
      </c>
      <c r="AL171">
        <f>AL$50/$V168</f>
        <v>5.8285714285714283</v>
      </c>
    </row>
    <row r="172" spans="2:38" x14ac:dyDescent="0.25">
      <c r="B172" t="s">
        <v>873</v>
      </c>
      <c r="E172" t="s">
        <v>876</v>
      </c>
      <c r="V172" t="s">
        <v>116</v>
      </c>
      <c r="AG172" s="7"/>
      <c r="AH172" s="7"/>
      <c r="AI172" s="7"/>
      <c r="AJ172" s="7"/>
      <c r="AK172" s="7"/>
      <c r="AL172" s="7">
        <f t="shared" ref="AL172" si="160">AL161</f>
        <v>25</v>
      </c>
    </row>
    <row r="173" spans="2:38" x14ac:dyDescent="0.25">
      <c r="B173" t="s">
        <v>877</v>
      </c>
      <c r="E173" t="s">
        <v>879</v>
      </c>
      <c r="J173" t="s">
        <v>882</v>
      </c>
    </row>
    <row r="174" spans="2:38" x14ac:dyDescent="0.25">
      <c r="B174" t="s">
        <v>880</v>
      </c>
      <c r="V174" t="s">
        <v>609</v>
      </c>
    </row>
    <row r="175" spans="2:38" x14ac:dyDescent="0.25">
      <c r="B175" t="s">
        <v>881</v>
      </c>
      <c r="V175" t="s">
        <v>615</v>
      </c>
      <c r="AG175" s="7"/>
      <c r="AH175" s="7"/>
      <c r="AI175" s="7"/>
      <c r="AJ175" s="7"/>
      <c r="AK175" s="7"/>
      <c r="AL175" s="7">
        <f t="shared" ref="AL175" si="161">AL169*AL172</f>
        <v>15</v>
      </c>
    </row>
    <row r="176" spans="2:38" x14ac:dyDescent="0.25">
      <c r="V176" t="s">
        <v>610</v>
      </c>
      <c r="AG176" s="25"/>
      <c r="AH176" s="6"/>
      <c r="AI176" s="25"/>
      <c r="AJ176" s="25"/>
      <c r="AK176" s="25"/>
      <c r="AL176" s="6">
        <f>($P$5*AL$18/$V168)/AL175</f>
        <v>145.71428571428569</v>
      </c>
    </row>
    <row r="177" spans="2:63" x14ac:dyDescent="0.25">
      <c r="V177" t="s">
        <v>399</v>
      </c>
      <c r="AG177" s="25"/>
      <c r="AH177" s="25"/>
      <c r="AI177" s="25"/>
      <c r="AJ177" s="25"/>
      <c r="AK177" s="25"/>
      <c r="AL177" s="25">
        <f>($P$3*AL$18/$V168)/AL175</f>
        <v>118.09523809523812</v>
      </c>
    </row>
    <row r="180" spans="2:63" ht="18.75" x14ac:dyDescent="0.3">
      <c r="B180" t="s">
        <v>875</v>
      </c>
      <c r="V180" s="69" t="s">
        <v>622</v>
      </c>
      <c r="Y180" s="73" t="s">
        <v>641</v>
      </c>
    </row>
    <row r="181" spans="2:63" x14ac:dyDescent="0.25">
      <c r="B181" t="s">
        <v>878</v>
      </c>
    </row>
    <row r="182" spans="2:63" x14ac:dyDescent="0.25">
      <c r="B182">
        <f>2.5/4</f>
        <v>0.625</v>
      </c>
      <c r="C182" t="s">
        <v>191</v>
      </c>
      <c r="V182" t="s">
        <v>156</v>
      </c>
      <c r="W182">
        <v>5</v>
      </c>
      <c r="X182">
        <v>10</v>
      </c>
      <c r="Y182">
        <v>20</v>
      </c>
      <c r="Z182">
        <v>30</v>
      </c>
      <c r="AA182">
        <v>50</v>
      </c>
      <c r="AB182">
        <v>75</v>
      </c>
      <c r="AC182">
        <v>100</v>
      </c>
      <c r="AD182">
        <v>150</v>
      </c>
      <c r="AE182">
        <v>200</v>
      </c>
      <c r="AF182">
        <v>300</v>
      </c>
      <c r="AG182">
        <v>400</v>
      </c>
      <c r="AH182">
        <v>500</v>
      </c>
      <c r="AI182">
        <v>600</v>
      </c>
      <c r="AJ182">
        <v>700</v>
      </c>
      <c r="AK182">
        <v>800</v>
      </c>
      <c r="AL182">
        <v>1000</v>
      </c>
      <c r="AN182" t="s">
        <v>631</v>
      </c>
      <c r="AU182" t="s">
        <v>836</v>
      </c>
    </row>
    <row r="183" spans="2:63" x14ac:dyDescent="0.25">
      <c r="V183" t="s">
        <v>618</v>
      </c>
      <c r="W183">
        <v>1</v>
      </c>
      <c r="X183">
        <v>1</v>
      </c>
      <c r="Y183">
        <v>1</v>
      </c>
      <c r="Z183">
        <v>1</v>
      </c>
      <c r="AA183">
        <v>1</v>
      </c>
      <c r="AB183">
        <v>2</v>
      </c>
      <c r="AC183">
        <v>2</v>
      </c>
      <c r="AD183">
        <v>2</v>
      </c>
      <c r="AE183">
        <v>3</v>
      </c>
      <c r="AF183">
        <v>4</v>
      </c>
      <c r="AG183">
        <v>6</v>
      </c>
      <c r="AH183">
        <v>7</v>
      </c>
      <c r="AI183">
        <v>8</v>
      </c>
      <c r="AJ183">
        <v>10</v>
      </c>
      <c r="AK183">
        <v>11</v>
      </c>
      <c r="AL183">
        <v>14</v>
      </c>
      <c r="AU183" s="10" t="s">
        <v>156</v>
      </c>
      <c r="AV183" s="10">
        <v>5</v>
      </c>
      <c r="AW183" s="10">
        <v>10</v>
      </c>
      <c r="AX183" s="10">
        <v>20</v>
      </c>
      <c r="AY183" s="10">
        <v>30</v>
      </c>
      <c r="AZ183" s="10">
        <v>50</v>
      </c>
      <c r="BA183" s="10">
        <v>75</v>
      </c>
      <c r="BB183" s="10">
        <v>100</v>
      </c>
      <c r="BC183" s="10">
        <v>150</v>
      </c>
      <c r="BD183" s="10">
        <v>200</v>
      </c>
      <c r="BE183" s="10">
        <v>300</v>
      </c>
      <c r="BF183" s="10">
        <v>400</v>
      </c>
      <c r="BG183" s="10">
        <v>500</v>
      </c>
      <c r="BH183" s="10">
        <v>600</v>
      </c>
      <c r="BI183" s="10">
        <v>700</v>
      </c>
      <c r="BJ183" s="10">
        <v>800</v>
      </c>
      <c r="BK183" s="10">
        <v>1000</v>
      </c>
    </row>
    <row r="184" spans="2:63" ht="15.75" x14ac:dyDescent="0.25">
      <c r="AN184" s="70" t="s">
        <v>632</v>
      </c>
      <c r="AO184" s="70">
        <v>0.9</v>
      </c>
      <c r="AP184" s="71" t="s">
        <v>633</v>
      </c>
      <c r="AU184" t="s">
        <v>623</v>
      </c>
    </row>
    <row r="185" spans="2:63" x14ac:dyDescent="0.25">
      <c r="V185" t="s">
        <v>367</v>
      </c>
      <c r="W185">
        <f>($P$5*W182)/1000</f>
        <v>0.153</v>
      </c>
      <c r="X185">
        <f>($P$5*X182)/1000</f>
        <v>0.30599999999999999</v>
      </c>
      <c r="Y185">
        <f t="shared" ref="Y185:AL185" si="162">($P$5*Y182)/1000</f>
        <v>0.61199999999999999</v>
      </c>
      <c r="Z185">
        <f t="shared" si="162"/>
        <v>0.91799999999999993</v>
      </c>
      <c r="AA185">
        <f t="shared" si="162"/>
        <v>1.53</v>
      </c>
      <c r="AB185">
        <f t="shared" si="162"/>
        <v>2.2949999999999999</v>
      </c>
      <c r="AC185">
        <f t="shared" si="162"/>
        <v>3.06</v>
      </c>
      <c r="AD185">
        <f t="shared" si="162"/>
        <v>4.59</v>
      </c>
      <c r="AE185">
        <f t="shared" si="162"/>
        <v>6.12</v>
      </c>
      <c r="AF185">
        <f t="shared" si="162"/>
        <v>9.18</v>
      </c>
      <c r="AG185">
        <f t="shared" si="162"/>
        <v>12.24</v>
      </c>
      <c r="AH185">
        <f t="shared" si="162"/>
        <v>15.299999999999999</v>
      </c>
      <c r="AI185">
        <f t="shared" si="162"/>
        <v>18.36</v>
      </c>
      <c r="AJ185">
        <f t="shared" si="162"/>
        <v>21.42</v>
      </c>
      <c r="AK185">
        <f t="shared" si="162"/>
        <v>24.48</v>
      </c>
      <c r="AL185">
        <f t="shared" si="162"/>
        <v>30.599999999999998</v>
      </c>
      <c r="AN185" s="70" t="s">
        <v>634</v>
      </c>
      <c r="AO185" s="70">
        <v>0.9</v>
      </c>
      <c r="AP185" s="70" t="s">
        <v>635</v>
      </c>
      <c r="AU185" t="s">
        <v>150</v>
      </c>
      <c r="AV185">
        <v>1.9000000000000001</v>
      </c>
      <c r="AW185">
        <v>2.7</v>
      </c>
      <c r="AX185">
        <v>3.7</v>
      </c>
      <c r="AY185">
        <v>4.5999999999999996</v>
      </c>
      <c r="AZ185">
        <v>5.8999999999999995</v>
      </c>
      <c r="BA185">
        <v>3.6</v>
      </c>
      <c r="BB185">
        <v>4.1999999999999993</v>
      </c>
      <c r="BC185">
        <v>6.1999999999999993</v>
      </c>
      <c r="BD185">
        <v>5.5</v>
      </c>
      <c r="BE185">
        <v>6.1999999999999993</v>
      </c>
      <c r="BF185">
        <v>5.5</v>
      </c>
      <c r="BG185">
        <v>5.8999999999999995</v>
      </c>
      <c r="BH185">
        <v>6.1999999999999993</v>
      </c>
      <c r="BI185">
        <v>5.8</v>
      </c>
      <c r="BJ185">
        <v>6</v>
      </c>
      <c r="BK185">
        <v>5.8999999999999995</v>
      </c>
    </row>
    <row r="186" spans="2:63" x14ac:dyDescent="0.25">
      <c r="G186" t="s">
        <v>888</v>
      </c>
      <c r="K186" t="s">
        <v>889</v>
      </c>
      <c r="V186" t="s">
        <v>629</v>
      </c>
      <c r="W186">
        <f>($P$6*W182)/1000</f>
        <v>4.987500000000001E-2</v>
      </c>
      <c r="X186">
        <f t="shared" ref="X186:AL186" si="163">($P$6*X182)/1000</f>
        <v>9.9750000000000019E-2</v>
      </c>
      <c r="Y186">
        <f t="shared" si="163"/>
        <v>0.19950000000000004</v>
      </c>
      <c r="Z186">
        <f t="shared" si="163"/>
        <v>0.29925000000000007</v>
      </c>
      <c r="AA186">
        <f t="shared" si="163"/>
        <v>0.49875000000000008</v>
      </c>
      <c r="AB186">
        <f t="shared" si="163"/>
        <v>0.74812500000000015</v>
      </c>
      <c r="AC186">
        <f t="shared" si="163"/>
        <v>0.99750000000000016</v>
      </c>
      <c r="AD186">
        <f t="shared" si="163"/>
        <v>1.4962500000000003</v>
      </c>
      <c r="AE186">
        <f t="shared" si="163"/>
        <v>1.9950000000000003</v>
      </c>
      <c r="AF186">
        <f t="shared" si="163"/>
        <v>2.9925000000000006</v>
      </c>
      <c r="AG186">
        <f t="shared" si="163"/>
        <v>3.9900000000000007</v>
      </c>
      <c r="AH186">
        <f t="shared" si="163"/>
        <v>4.9875000000000007</v>
      </c>
      <c r="AI186">
        <f t="shared" si="163"/>
        <v>5.9850000000000012</v>
      </c>
      <c r="AJ186">
        <f t="shared" si="163"/>
        <v>6.9825000000000008</v>
      </c>
      <c r="AK186">
        <f t="shared" si="163"/>
        <v>7.9800000000000013</v>
      </c>
      <c r="AL186">
        <f t="shared" si="163"/>
        <v>9.9750000000000014</v>
      </c>
      <c r="AN186" s="70" t="s">
        <v>636</v>
      </c>
      <c r="AO186" s="70">
        <v>0.6</v>
      </c>
      <c r="AP186" s="70" t="s">
        <v>635</v>
      </c>
      <c r="AU186" t="s">
        <v>116</v>
      </c>
      <c r="AV186">
        <v>5.6</v>
      </c>
      <c r="AW186">
        <v>7.8999999999999995</v>
      </c>
      <c r="AX186">
        <v>11.1</v>
      </c>
      <c r="AY186">
        <v>13.6</v>
      </c>
      <c r="AZ186">
        <v>17.5</v>
      </c>
      <c r="BA186">
        <v>21.5</v>
      </c>
      <c r="BB186">
        <v>24.8</v>
      </c>
      <c r="BC186">
        <v>25</v>
      </c>
      <c r="BD186">
        <v>25</v>
      </c>
      <c r="BE186">
        <v>25</v>
      </c>
      <c r="BF186">
        <v>25</v>
      </c>
      <c r="BG186">
        <v>25</v>
      </c>
      <c r="BH186">
        <v>25</v>
      </c>
      <c r="BI186">
        <v>25</v>
      </c>
      <c r="BJ186">
        <v>25</v>
      </c>
      <c r="BK186">
        <v>25</v>
      </c>
    </row>
    <row r="187" spans="2:63" x14ac:dyDescent="0.25">
      <c r="B187" t="s">
        <v>156</v>
      </c>
      <c r="C187" t="s">
        <v>883</v>
      </c>
      <c r="D187" t="s">
        <v>884</v>
      </c>
      <c r="E187" t="s">
        <v>887</v>
      </c>
      <c r="G187" t="s">
        <v>761</v>
      </c>
      <c r="H187" t="s">
        <v>885</v>
      </c>
      <c r="I187" t="s">
        <v>886</v>
      </c>
      <c r="K187" t="s">
        <v>761</v>
      </c>
      <c r="L187" t="s">
        <v>885</v>
      </c>
      <c r="M187" t="s">
        <v>886</v>
      </c>
      <c r="O187" t="s">
        <v>761</v>
      </c>
      <c r="P187" t="s">
        <v>885</v>
      </c>
      <c r="Q187" t="s">
        <v>886</v>
      </c>
      <c r="R187" t="s">
        <v>766</v>
      </c>
      <c r="V187" t="s">
        <v>630</v>
      </c>
      <c r="W187" s="70">
        <v>0.2</v>
      </c>
      <c r="X187" s="70">
        <v>0.2</v>
      </c>
      <c r="Y187" s="70">
        <v>0.2</v>
      </c>
      <c r="Z187" s="70">
        <v>0.2</v>
      </c>
      <c r="AA187" s="70">
        <v>0.2</v>
      </c>
      <c r="AB187" s="70">
        <v>0.2</v>
      </c>
      <c r="AC187" s="70">
        <v>0.2</v>
      </c>
      <c r="AD187" s="70">
        <v>0.2</v>
      </c>
      <c r="AE187" s="70">
        <v>0.2</v>
      </c>
      <c r="AF187" s="70">
        <v>0.2</v>
      </c>
      <c r="AG187" s="70">
        <v>0.2</v>
      </c>
      <c r="AH187" s="70">
        <v>0.2</v>
      </c>
      <c r="AI187" s="70">
        <v>0.2</v>
      </c>
      <c r="AJ187" s="70">
        <v>0.2</v>
      </c>
      <c r="AK187" s="70">
        <v>0.2</v>
      </c>
      <c r="AL187" s="70">
        <v>0.2</v>
      </c>
    </row>
    <row r="188" spans="2:63" x14ac:dyDescent="0.25">
      <c r="B188">
        <v>5</v>
      </c>
      <c r="C188">
        <f>ROUNDUP(C102/1.25,0)</f>
        <v>4</v>
      </c>
      <c r="D188">
        <f>ROUNDUP(D102/1.25,0)</f>
        <v>4</v>
      </c>
      <c r="E188">
        <f>ROUNDUP((C102/1.25)*C188,0)</f>
        <v>16</v>
      </c>
      <c r="G188">
        <f>$C188*$C102+2*$D102+0.5</f>
        <v>30.5</v>
      </c>
      <c r="H188">
        <f>($C188-2)*2+1</f>
        <v>5</v>
      </c>
      <c r="I188">
        <v>5</v>
      </c>
      <c r="K188">
        <f>D188*C102+D102+D188*0.9</f>
        <v>28.6</v>
      </c>
      <c r="L188">
        <f>D188-2</f>
        <v>2</v>
      </c>
      <c r="M188">
        <f>2+D188</f>
        <v>6</v>
      </c>
      <c r="O188">
        <f>K188+G188</f>
        <v>59.1</v>
      </c>
      <c r="P188">
        <f t="shared" ref="P188:Q188" si="164">L188+H188</f>
        <v>7</v>
      </c>
      <c r="Q188">
        <f t="shared" si="164"/>
        <v>11</v>
      </c>
      <c r="R188">
        <v>2</v>
      </c>
      <c r="AN188" s="70" t="s">
        <v>637</v>
      </c>
      <c r="AO188" s="70">
        <v>0.108</v>
      </c>
      <c r="AQ188" t="s">
        <v>639</v>
      </c>
      <c r="AU188" t="s">
        <v>838</v>
      </c>
      <c r="AV188" t="s">
        <v>839</v>
      </c>
      <c r="AY188" t="s">
        <v>840</v>
      </c>
      <c r="BE188" t="s">
        <v>841</v>
      </c>
      <c r="BH188" t="s">
        <v>842</v>
      </c>
    </row>
    <row r="189" spans="2:63" x14ac:dyDescent="0.25">
      <c r="B189">
        <v>10</v>
      </c>
      <c r="C189">
        <f t="shared" ref="C189:D203" si="165">ROUNDUP(C103/1.25,0)</f>
        <v>6</v>
      </c>
      <c r="D189">
        <f t="shared" si="165"/>
        <v>6</v>
      </c>
      <c r="E189">
        <f t="shared" ref="E189:E202" si="166">ROUNDUP((C103/1.25)*C189,0)</f>
        <v>34</v>
      </c>
      <c r="G189">
        <f t="shared" ref="G189:G203" si="167">C189*C103+2*D103+0.5</f>
        <v>57.068542494923804</v>
      </c>
      <c r="H189">
        <f t="shared" ref="H189:H203" si="168">($C189-2)*2+1</f>
        <v>9</v>
      </c>
      <c r="I189">
        <v>5</v>
      </c>
      <c r="K189">
        <f t="shared" ref="K189:K203" si="169">D189*C103+D103+D189*0.9</f>
        <v>54.897474683058327</v>
      </c>
      <c r="L189">
        <f t="shared" ref="L189:L203" si="170">D189-2</f>
        <v>4</v>
      </c>
      <c r="M189">
        <f t="shared" ref="M189:M203" si="171">2+D189</f>
        <v>8</v>
      </c>
      <c r="O189">
        <f t="shared" ref="O189:O203" si="172">K189+G189</f>
        <v>111.96601717798214</v>
      </c>
      <c r="P189">
        <f t="shared" ref="P189:P203" si="173">L189+H189</f>
        <v>13</v>
      </c>
      <c r="Q189">
        <f t="shared" ref="Q189:Q203" si="174">M189+I189</f>
        <v>13</v>
      </c>
      <c r="R189">
        <v>2</v>
      </c>
      <c r="V189" t="s">
        <v>628</v>
      </c>
      <c r="W189" s="70">
        <f>W185+4.34*W186+(W185+4.34*W186)*W187</f>
        <v>0.44334899999999999</v>
      </c>
      <c r="X189" s="70">
        <f t="shared" ref="X189:AL189" si="175">X185+4.34*X186+(X185+4.34*X186)*X187</f>
        <v>0.88669799999999999</v>
      </c>
      <c r="Y189" s="70">
        <f t="shared" si="175"/>
        <v>1.773396</v>
      </c>
      <c r="Z189" s="70">
        <f>Z185+4.34*Z186+(Z185+4.34*Z186)*Z187</f>
        <v>2.6600940000000004</v>
      </c>
      <c r="AA189" s="70">
        <f t="shared" si="175"/>
        <v>4.4334900000000008</v>
      </c>
      <c r="AB189" s="70">
        <f t="shared" si="175"/>
        <v>6.6502350000000003</v>
      </c>
      <c r="AC189" s="70">
        <f t="shared" si="175"/>
        <v>8.8669800000000016</v>
      </c>
      <c r="AD189" s="70">
        <f t="shared" si="175"/>
        <v>13.300470000000001</v>
      </c>
      <c r="AE189" s="70">
        <f t="shared" si="175"/>
        <v>17.733960000000003</v>
      </c>
      <c r="AF189" s="70">
        <f t="shared" si="175"/>
        <v>26.600940000000001</v>
      </c>
      <c r="AG189" s="70">
        <f t="shared" si="175"/>
        <v>35.467920000000007</v>
      </c>
      <c r="AH189" s="70">
        <f t="shared" si="175"/>
        <v>44.334900000000005</v>
      </c>
      <c r="AI189" s="70">
        <f t="shared" si="175"/>
        <v>53.201880000000003</v>
      </c>
      <c r="AJ189" s="70">
        <f t="shared" si="175"/>
        <v>62.068860000000008</v>
      </c>
      <c r="AK189" s="70">
        <f t="shared" si="175"/>
        <v>70.935840000000013</v>
      </c>
      <c r="AL189" s="70">
        <f t="shared" si="175"/>
        <v>88.669800000000009</v>
      </c>
    </row>
    <row r="190" spans="2:63" x14ac:dyDescent="0.25">
      <c r="B190">
        <v>20</v>
      </c>
      <c r="C190">
        <f t="shared" si="165"/>
        <v>8</v>
      </c>
      <c r="D190">
        <f t="shared" si="165"/>
        <v>8</v>
      </c>
      <c r="E190">
        <f t="shared" si="166"/>
        <v>64</v>
      </c>
      <c r="G190">
        <f t="shared" si="167"/>
        <v>100.5</v>
      </c>
      <c r="H190">
        <f t="shared" si="168"/>
        <v>13</v>
      </c>
      <c r="I190">
        <v>5</v>
      </c>
      <c r="K190">
        <f t="shared" si="169"/>
        <v>97.2</v>
      </c>
      <c r="L190">
        <f t="shared" si="170"/>
        <v>6</v>
      </c>
      <c r="M190">
        <f t="shared" si="171"/>
        <v>10</v>
      </c>
      <c r="O190">
        <f t="shared" si="172"/>
        <v>197.7</v>
      </c>
      <c r="P190">
        <f t="shared" si="173"/>
        <v>19</v>
      </c>
      <c r="Q190">
        <f t="shared" si="174"/>
        <v>15</v>
      </c>
      <c r="R190">
        <v>2</v>
      </c>
      <c r="AN190" t="s">
        <v>642</v>
      </c>
      <c r="AO190">
        <v>0.26700000000000002</v>
      </c>
      <c r="AU190" t="s">
        <v>843</v>
      </c>
    </row>
    <row r="191" spans="2:63" x14ac:dyDescent="0.25">
      <c r="B191">
        <v>30</v>
      </c>
      <c r="C191">
        <f t="shared" si="165"/>
        <v>10</v>
      </c>
      <c r="D191">
        <f t="shared" si="165"/>
        <v>10</v>
      </c>
      <c r="E191">
        <f>ROUNDUP((C105/1.25)*C191,0)</f>
        <v>98</v>
      </c>
      <c r="G191">
        <f t="shared" si="167"/>
        <v>147.46938456699067</v>
      </c>
      <c r="H191">
        <f t="shared" si="168"/>
        <v>17</v>
      </c>
      <c r="I191">
        <v>5</v>
      </c>
      <c r="K191">
        <f t="shared" si="169"/>
        <v>143.7219358530748</v>
      </c>
      <c r="L191">
        <f t="shared" si="170"/>
        <v>8</v>
      </c>
      <c r="M191">
        <f t="shared" si="171"/>
        <v>12</v>
      </c>
      <c r="O191">
        <f t="shared" si="172"/>
        <v>291.19132042006549</v>
      </c>
      <c r="P191">
        <f t="shared" si="173"/>
        <v>25</v>
      </c>
      <c r="Q191">
        <f t="shared" si="174"/>
        <v>17</v>
      </c>
      <c r="R191">
        <v>2</v>
      </c>
      <c r="V191" s="70" t="s">
        <v>638</v>
      </c>
      <c r="W191">
        <f>(W189/($AO$184*$AO$185*$AO$186))/24</f>
        <v>3.8010030864197533E-2</v>
      </c>
      <c r="X191">
        <f t="shared" ref="X191:AL191" si="176">(X189/($AO$184*$AO$185*$AO$186))/24</f>
        <v>7.6020061728395066E-2</v>
      </c>
      <c r="Y191">
        <f t="shared" si="176"/>
        <v>0.15204012345679013</v>
      </c>
      <c r="Z191">
        <f>(Z189/($AO$184*$AO$185*$AO$186))/24</f>
        <v>0.22806018518518523</v>
      </c>
      <c r="AA191">
        <f t="shared" si="176"/>
        <v>0.38010030864197542</v>
      </c>
      <c r="AB191">
        <f t="shared" si="176"/>
        <v>0.57015046296296301</v>
      </c>
      <c r="AC191">
        <f t="shared" si="176"/>
        <v>0.76020061728395083</v>
      </c>
      <c r="AD191">
        <f t="shared" si="176"/>
        <v>1.140300925925926</v>
      </c>
      <c r="AE191">
        <f t="shared" si="176"/>
        <v>1.5204012345679017</v>
      </c>
      <c r="AF191">
        <f t="shared" si="176"/>
        <v>2.280601851851852</v>
      </c>
      <c r="AG191">
        <f t="shared" si="176"/>
        <v>3.0408024691358033</v>
      </c>
      <c r="AH191">
        <f t="shared" si="176"/>
        <v>3.8010030864197533</v>
      </c>
      <c r="AI191">
        <f t="shared" si="176"/>
        <v>4.5612037037037041</v>
      </c>
      <c r="AJ191">
        <f t="shared" si="176"/>
        <v>5.3214043209876554</v>
      </c>
      <c r="AK191">
        <f t="shared" si="176"/>
        <v>6.0816049382716066</v>
      </c>
      <c r="AL191">
        <f t="shared" si="176"/>
        <v>7.6020061728395065</v>
      </c>
      <c r="AV191">
        <f>AV186/0.15</f>
        <v>37.333333333333336</v>
      </c>
      <c r="AW191">
        <f t="shared" ref="AW191:BK191" si="177">AW186/0.15</f>
        <v>52.666666666666664</v>
      </c>
      <c r="AX191">
        <f>AX186/0.15</f>
        <v>74</v>
      </c>
      <c r="AY191">
        <f t="shared" si="177"/>
        <v>90.666666666666671</v>
      </c>
      <c r="AZ191">
        <f t="shared" si="177"/>
        <v>116.66666666666667</v>
      </c>
      <c r="BA191">
        <f t="shared" si="177"/>
        <v>143.33333333333334</v>
      </c>
      <c r="BB191">
        <f t="shared" si="177"/>
        <v>165.33333333333334</v>
      </c>
      <c r="BC191">
        <f t="shared" si="177"/>
        <v>166.66666666666669</v>
      </c>
      <c r="BD191">
        <f t="shared" si="177"/>
        <v>166.66666666666669</v>
      </c>
      <c r="BE191">
        <f t="shared" si="177"/>
        <v>166.66666666666669</v>
      </c>
      <c r="BF191">
        <f t="shared" si="177"/>
        <v>166.66666666666669</v>
      </c>
      <c r="BG191">
        <f t="shared" si="177"/>
        <v>166.66666666666669</v>
      </c>
      <c r="BH191">
        <f t="shared" si="177"/>
        <v>166.66666666666669</v>
      </c>
      <c r="BI191">
        <f t="shared" si="177"/>
        <v>166.66666666666669</v>
      </c>
      <c r="BJ191">
        <f t="shared" si="177"/>
        <v>166.66666666666669</v>
      </c>
      <c r="BK191">
        <f t="shared" si="177"/>
        <v>166.66666666666669</v>
      </c>
    </row>
    <row r="192" spans="2:63" x14ac:dyDescent="0.25">
      <c r="B192">
        <v>50</v>
      </c>
      <c r="C192">
        <f t="shared" si="165"/>
        <v>13</v>
      </c>
      <c r="D192">
        <f t="shared" si="165"/>
        <v>13</v>
      </c>
      <c r="E192">
        <f t="shared" si="166"/>
        <v>165</v>
      </c>
      <c r="G192">
        <f t="shared" si="167"/>
        <v>237.67082451262846</v>
      </c>
      <c r="H192">
        <f t="shared" si="168"/>
        <v>23</v>
      </c>
      <c r="I192">
        <v>5</v>
      </c>
      <c r="K192">
        <f t="shared" si="169"/>
        <v>233.05943621178653</v>
      </c>
      <c r="L192">
        <f t="shared" si="170"/>
        <v>11</v>
      </c>
      <c r="M192">
        <f t="shared" si="171"/>
        <v>15</v>
      </c>
      <c r="O192">
        <f t="shared" si="172"/>
        <v>470.73026072441496</v>
      </c>
      <c r="P192">
        <f t="shared" si="173"/>
        <v>34</v>
      </c>
      <c r="Q192">
        <f t="shared" si="174"/>
        <v>20</v>
      </c>
      <c r="R192">
        <v>2</v>
      </c>
      <c r="AN192" t="s">
        <v>662</v>
      </c>
      <c r="AO192">
        <v>1.2310000000000001</v>
      </c>
      <c r="AP192" t="s">
        <v>663</v>
      </c>
      <c r="AV192">
        <f t="shared" ref="AV192:BK192" si="178">ROUNDUP(AV191,0)</f>
        <v>38</v>
      </c>
      <c r="AW192">
        <f t="shared" si="178"/>
        <v>53</v>
      </c>
      <c r="AX192">
        <f t="shared" si="178"/>
        <v>74</v>
      </c>
      <c r="AY192">
        <f t="shared" si="178"/>
        <v>91</v>
      </c>
      <c r="AZ192">
        <f t="shared" si="178"/>
        <v>117</v>
      </c>
      <c r="BA192">
        <f t="shared" si="178"/>
        <v>144</v>
      </c>
      <c r="BB192">
        <f t="shared" si="178"/>
        <v>166</v>
      </c>
      <c r="BC192">
        <f t="shared" si="178"/>
        <v>167</v>
      </c>
      <c r="BD192">
        <f t="shared" si="178"/>
        <v>167</v>
      </c>
      <c r="BE192">
        <f t="shared" si="178"/>
        <v>167</v>
      </c>
      <c r="BF192">
        <f t="shared" si="178"/>
        <v>167</v>
      </c>
      <c r="BG192">
        <f t="shared" si="178"/>
        <v>167</v>
      </c>
      <c r="BH192">
        <f t="shared" si="178"/>
        <v>167</v>
      </c>
      <c r="BI192">
        <f t="shared" si="178"/>
        <v>167</v>
      </c>
      <c r="BJ192">
        <f t="shared" si="178"/>
        <v>167</v>
      </c>
      <c r="BK192">
        <f t="shared" si="178"/>
        <v>167</v>
      </c>
    </row>
    <row r="193" spans="2:63" x14ac:dyDescent="0.25">
      <c r="B193">
        <v>75</v>
      </c>
      <c r="C193">
        <f t="shared" si="165"/>
        <v>16</v>
      </c>
      <c r="D193">
        <f t="shared" si="165"/>
        <v>16</v>
      </c>
      <c r="E193">
        <f t="shared" si="166"/>
        <v>248</v>
      </c>
      <c r="G193">
        <f t="shared" si="167"/>
        <v>349.06850115866752</v>
      </c>
      <c r="H193">
        <f t="shared" si="168"/>
        <v>29</v>
      </c>
      <c r="I193">
        <v>5</v>
      </c>
      <c r="K193">
        <f t="shared" si="169"/>
        <v>343.60358442763038</v>
      </c>
      <c r="L193">
        <f t="shared" si="170"/>
        <v>14</v>
      </c>
      <c r="M193">
        <f t="shared" si="171"/>
        <v>18</v>
      </c>
      <c r="O193">
        <f t="shared" si="172"/>
        <v>692.67208558629795</v>
      </c>
      <c r="P193">
        <f t="shared" si="173"/>
        <v>43</v>
      </c>
      <c r="Q193">
        <f t="shared" si="174"/>
        <v>23</v>
      </c>
      <c r="R193">
        <v>2</v>
      </c>
      <c r="V193" s="70" t="s">
        <v>640</v>
      </c>
      <c r="W193">
        <f>W191/($AO$188*$AO$190)</f>
        <v>1.3181450570189184</v>
      </c>
      <c r="X193">
        <f t="shared" ref="X193:AL193" si="179">X191/($AO$188*$AO$190)</f>
        <v>2.6362901140378368</v>
      </c>
      <c r="Y193">
        <f>Y191/($AO$188*$AO$190)</f>
        <v>5.2725802280756735</v>
      </c>
      <c r="Z193">
        <f>Z191/($AO$188*$AO$190)</f>
        <v>7.908870342113512</v>
      </c>
      <c r="AA193">
        <f t="shared" si="179"/>
        <v>13.181450570189188</v>
      </c>
      <c r="AB193">
        <f t="shared" si="179"/>
        <v>19.772175855283777</v>
      </c>
      <c r="AC193">
        <f t="shared" si="179"/>
        <v>26.362901140378376</v>
      </c>
      <c r="AD193">
        <f t="shared" si="179"/>
        <v>39.544351710567554</v>
      </c>
      <c r="AE193">
        <f t="shared" si="179"/>
        <v>52.725802280756753</v>
      </c>
      <c r="AF193">
        <f t="shared" si="179"/>
        <v>79.088703421135108</v>
      </c>
      <c r="AG193">
        <f t="shared" si="179"/>
        <v>105.45160456151351</v>
      </c>
      <c r="AH193">
        <f t="shared" si="179"/>
        <v>131.81450570189185</v>
      </c>
      <c r="AI193">
        <f t="shared" si="179"/>
        <v>158.17740684227022</v>
      </c>
      <c r="AJ193">
        <f t="shared" si="179"/>
        <v>184.54030798264861</v>
      </c>
      <c r="AK193">
        <f t="shared" si="179"/>
        <v>210.90320912302701</v>
      </c>
      <c r="AL193">
        <f t="shared" si="179"/>
        <v>263.62901140378369</v>
      </c>
    </row>
    <row r="194" spans="2:63" x14ac:dyDescent="0.25">
      <c r="B194">
        <v>100</v>
      </c>
      <c r="C194">
        <f t="shared" si="165"/>
        <v>18</v>
      </c>
      <c r="D194">
        <f t="shared" si="165"/>
        <v>18</v>
      </c>
      <c r="E194">
        <f t="shared" si="166"/>
        <v>322</v>
      </c>
      <c r="G194">
        <f t="shared" si="167"/>
        <v>447.71359549995793</v>
      </c>
      <c r="H194">
        <f t="shared" si="168"/>
        <v>33</v>
      </c>
      <c r="I194">
        <v>5</v>
      </c>
      <c r="K194">
        <f t="shared" si="169"/>
        <v>441.05291572496003</v>
      </c>
      <c r="L194">
        <f t="shared" si="170"/>
        <v>16</v>
      </c>
      <c r="M194">
        <f t="shared" si="171"/>
        <v>20</v>
      </c>
      <c r="O194">
        <f t="shared" si="172"/>
        <v>888.76651122491796</v>
      </c>
      <c r="P194">
        <f t="shared" si="173"/>
        <v>49</v>
      </c>
      <c r="Q194">
        <f t="shared" si="174"/>
        <v>25</v>
      </c>
      <c r="R194">
        <v>2</v>
      </c>
      <c r="AU194" t="s">
        <v>844</v>
      </c>
      <c r="AV194">
        <f>AV192+AV186*2</f>
        <v>49.2</v>
      </c>
      <c r="AW194">
        <f t="shared" ref="AW194:BK194" si="180">AW192+AW186*2</f>
        <v>68.8</v>
      </c>
      <c r="AX194">
        <f t="shared" si="180"/>
        <v>96.2</v>
      </c>
      <c r="AY194">
        <f t="shared" si="180"/>
        <v>118.2</v>
      </c>
      <c r="AZ194">
        <f t="shared" si="180"/>
        <v>152</v>
      </c>
      <c r="BA194">
        <f t="shared" si="180"/>
        <v>187</v>
      </c>
      <c r="BB194">
        <f t="shared" si="180"/>
        <v>215.6</v>
      </c>
      <c r="BC194">
        <f t="shared" si="180"/>
        <v>217</v>
      </c>
      <c r="BD194">
        <f t="shared" si="180"/>
        <v>217</v>
      </c>
      <c r="BE194">
        <f t="shared" si="180"/>
        <v>217</v>
      </c>
      <c r="BF194">
        <f t="shared" si="180"/>
        <v>217</v>
      </c>
      <c r="BG194">
        <f t="shared" si="180"/>
        <v>217</v>
      </c>
      <c r="BH194">
        <f t="shared" si="180"/>
        <v>217</v>
      </c>
      <c r="BI194">
        <f t="shared" si="180"/>
        <v>217</v>
      </c>
      <c r="BJ194">
        <f t="shared" si="180"/>
        <v>217</v>
      </c>
      <c r="BK194">
        <f t="shared" si="180"/>
        <v>217</v>
      </c>
    </row>
    <row r="195" spans="2:63" x14ac:dyDescent="0.25">
      <c r="B195">
        <v>150</v>
      </c>
      <c r="C195">
        <f t="shared" si="165"/>
        <v>22</v>
      </c>
      <c r="D195">
        <f t="shared" si="165"/>
        <v>22</v>
      </c>
      <c r="E195">
        <f t="shared" si="166"/>
        <v>482</v>
      </c>
      <c r="G195">
        <f t="shared" si="167"/>
        <v>657.76706900619934</v>
      </c>
      <c r="H195">
        <f t="shared" si="168"/>
        <v>41</v>
      </c>
      <c r="I195">
        <v>5</v>
      </c>
      <c r="K195">
        <f t="shared" si="169"/>
        <v>649.68094113094105</v>
      </c>
      <c r="L195">
        <f t="shared" si="170"/>
        <v>20</v>
      </c>
      <c r="M195">
        <f t="shared" si="171"/>
        <v>24</v>
      </c>
      <c r="O195">
        <f t="shared" si="172"/>
        <v>1307.4480101371405</v>
      </c>
      <c r="P195">
        <f t="shared" si="173"/>
        <v>61</v>
      </c>
      <c r="Q195">
        <f t="shared" si="174"/>
        <v>29</v>
      </c>
      <c r="R195">
        <v>2</v>
      </c>
      <c r="V195" t="s">
        <v>643</v>
      </c>
      <c r="W195" s="10">
        <f>W193</f>
        <v>1.3181450570189184</v>
      </c>
      <c r="X195" s="10">
        <f t="shared" ref="X195:AL195" si="181">X193</f>
        <v>2.6362901140378368</v>
      </c>
      <c r="Y195" s="10">
        <f>Y193</f>
        <v>5.2725802280756735</v>
      </c>
      <c r="Z195" s="10">
        <f>Z193</f>
        <v>7.908870342113512</v>
      </c>
      <c r="AA195" s="10">
        <f t="shared" si="181"/>
        <v>13.181450570189188</v>
      </c>
      <c r="AB195" s="10">
        <f t="shared" si="181"/>
        <v>19.772175855283777</v>
      </c>
      <c r="AC195" s="10">
        <f t="shared" si="181"/>
        <v>26.362901140378376</v>
      </c>
      <c r="AD195" s="10">
        <f t="shared" si="181"/>
        <v>39.544351710567554</v>
      </c>
      <c r="AE195" s="10">
        <f t="shared" si="181"/>
        <v>52.725802280756753</v>
      </c>
      <c r="AF195" s="10">
        <f t="shared" si="181"/>
        <v>79.088703421135108</v>
      </c>
      <c r="AG195" s="10">
        <f t="shared" si="181"/>
        <v>105.45160456151351</v>
      </c>
      <c r="AH195" s="10">
        <f t="shared" si="181"/>
        <v>131.81450570189185</v>
      </c>
      <c r="AI195" s="10">
        <f t="shared" si="181"/>
        <v>158.17740684227022</v>
      </c>
      <c r="AJ195" s="10">
        <f t="shared" si="181"/>
        <v>184.54030798264861</v>
      </c>
      <c r="AK195" s="10">
        <f t="shared" si="181"/>
        <v>210.90320912302701</v>
      </c>
      <c r="AL195" s="10">
        <f t="shared" si="181"/>
        <v>263.62901140378369</v>
      </c>
    </row>
    <row r="196" spans="2:63" x14ac:dyDescent="0.25">
      <c r="B196">
        <v>200</v>
      </c>
      <c r="C196">
        <f t="shared" si="165"/>
        <v>26</v>
      </c>
      <c r="D196">
        <f t="shared" si="165"/>
        <v>26</v>
      </c>
      <c r="E196">
        <f t="shared" si="166"/>
        <v>658</v>
      </c>
      <c r="G196">
        <f t="shared" si="167"/>
        <v>885.93774484714618</v>
      </c>
      <c r="H196">
        <f t="shared" si="168"/>
        <v>49</v>
      </c>
      <c r="I196">
        <v>5</v>
      </c>
      <c r="K196">
        <f t="shared" si="169"/>
        <v>877.21496824546239</v>
      </c>
      <c r="L196">
        <f t="shared" si="170"/>
        <v>24</v>
      </c>
      <c r="M196">
        <f t="shared" si="171"/>
        <v>28</v>
      </c>
      <c r="O196">
        <f t="shared" si="172"/>
        <v>1763.1527130926086</v>
      </c>
      <c r="P196">
        <f t="shared" si="173"/>
        <v>73</v>
      </c>
      <c r="Q196">
        <f t="shared" si="174"/>
        <v>33</v>
      </c>
      <c r="R196">
        <v>2</v>
      </c>
      <c r="V196" t="s">
        <v>776</v>
      </c>
      <c r="W196">
        <f>(W195*1000)/60</f>
        <v>21.969084283648638</v>
      </c>
      <c r="X196">
        <f t="shared" ref="X196:AL196" si="182">(X195*1000)/60</f>
        <v>43.938168567297275</v>
      </c>
      <c r="Y196">
        <f t="shared" si="182"/>
        <v>87.87633713459455</v>
      </c>
      <c r="Z196">
        <f t="shared" si="182"/>
        <v>131.81450570189187</v>
      </c>
      <c r="AA196">
        <f t="shared" si="182"/>
        <v>219.69084283648647</v>
      </c>
      <c r="AB196">
        <f t="shared" si="182"/>
        <v>329.53626425472964</v>
      </c>
      <c r="AC196">
        <f t="shared" si="182"/>
        <v>439.38168567297294</v>
      </c>
      <c r="AD196">
        <f t="shared" si="182"/>
        <v>659.07252850945929</v>
      </c>
      <c r="AE196">
        <f t="shared" si="182"/>
        <v>878.76337134594587</v>
      </c>
      <c r="AF196">
        <f t="shared" si="182"/>
        <v>1318.1450570189186</v>
      </c>
      <c r="AG196">
        <f t="shared" si="182"/>
        <v>1757.5267426918917</v>
      </c>
      <c r="AH196">
        <f t="shared" si="182"/>
        <v>2196.908428364864</v>
      </c>
      <c r="AI196">
        <f t="shared" si="182"/>
        <v>2636.2901140378372</v>
      </c>
      <c r="AJ196">
        <f t="shared" si="182"/>
        <v>3075.6717997108103</v>
      </c>
      <c r="AK196">
        <f t="shared" si="182"/>
        <v>3515.0534853837835</v>
      </c>
      <c r="AL196">
        <f t="shared" si="182"/>
        <v>4393.816856729728</v>
      </c>
    </row>
    <row r="197" spans="2:63" x14ac:dyDescent="0.25">
      <c r="B197">
        <v>300</v>
      </c>
      <c r="C197">
        <f t="shared" si="165"/>
        <v>31</v>
      </c>
      <c r="D197">
        <f t="shared" si="165"/>
        <v>31</v>
      </c>
      <c r="E197">
        <f t="shared" si="166"/>
        <v>961</v>
      </c>
      <c r="G197">
        <f t="shared" si="167"/>
        <v>1278.5845042484475</v>
      </c>
      <c r="H197">
        <f t="shared" si="168"/>
        <v>59</v>
      </c>
      <c r="I197">
        <v>5</v>
      </c>
      <c r="K197">
        <f t="shared" si="169"/>
        <v>1267.2546707863735</v>
      </c>
      <c r="L197">
        <f t="shared" si="170"/>
        <v>29</v>
      </c>
      <c r="M197">
        <f t="shared" si="171"/>
        <v>33</v>
      </c>
      <c r="O197">
        <f t="shared" si="172"/>
        <v>2545.839175034821</v>
      </c>
      <c r="P197">
        <f t="shared" si="173"/>
        <v>88</v>
      </c>
      <c r="Q197">
        <f t="shared" si="174"/>
        <v>38</v>
      </c>
      <c r="R197">
        <v>2</v>
      </c>
      <c r="W197">
        <f>(W195*10^6)/(60^2)</f>
        <v>366.15140472747737</v>
      </c>
      <c r="X197">
        <f t="shared" ref="X197:AL197" si="183">(X195*10^6)/60^2</f>
        <v>732.30280945495474</v>
      </c>
      <c r="Y197">
        <f t="shared" si="183"/>
        <v>1464.6056189099095</v>
      </c>
      <c r="Z197">
        <f t="shared" si="183"/>
        <v>2196.9084283648644</v>
      </c>
      <c r="AA197">
        <f t="shared" si="183"/>
        <v>3661.5140472747744</v>
      </c>
      <c r="AB197">
        <f t="shared" si="183"/>
        <v>5492.2710709121602</v>
      </c>
      <c r="AC197">
        <f t="shared" si="183"/>
        <v>7323.0280945495488</v>
      </c>
      <c r="AD197">
        <f t="shared" si="183"/>
        <v>10984.54214182432</v>
      </c>
      <c r="AE197">
        <f t="shared" si="183"/>
        <v>14646.056189099098</v>
      </c>
      <c r="AF197">
        <f t="shared" si="183"/>
        <v>21969.084283648641</v>
      </c>
      <c r="AG197">
        <f t="shared" si="183"/>
        <v>29292.112378198195</v>
      </c>
      <c r="AH197">
        <f t="shared" si="183"/>
        <v>36615.140472747735</v>
      </c>
      <c r="AI197">
        <f t="shared" si="183"/>
        <v>43938.168567297282</v>
      </c>
      <c r="AJ197">
        <f t="shared" si="183"/>
        <v>51261.196661846836</v>
      </c>
      <c r="AK197">
        <f t="shared" si="183"/>
        <v>58584.22475639639</v>
      </c>
      <c r="AL197">
        <f t="shared" si="183"/>
        <v>73230.280945495469</v>
      </c>
    </row>
    <row r="198" spans="2:63" x14ac:dyDescent="0.25">
      <c r="B198">
        <v>400</v>
      </c>
      <c r="C198">
        <f t="shared" si="165"/>
        <v>36</v>
      </c>
      <c r="D198">
        <f t="shared" si="165"/>
        <v>36</v>
      </c>
      <c r="E198">
        <f t="shared" si="166"/>
        <v>1288</v>
      </c>
      <c r="G198">
        <f t="shared" si="167"/>
        <v>1699.9116628998402</v>
      </c>
      <c r="H198">
        <f t="shared" si="168"/>
        <v>69</v>
      </c>
      <c r="I198">
        <v>5</v>
      </c>
      <c r="K198">
        <f t="shared" si="169"/>
        <v>1687.0903033498446</v>
      </c>
      <c r="L198">
        <f t="shared" si="170"/>
        <v>34</v>
      </c>
      <c r="M198">
        <f t="shared" si="171"/>
        <v>38</v>
      </c>
      <c r="O198">
        <f t="shared" si="172"/>
        <v>3387.0019662496848</v>
      </c>
      <c r="P198">
        <f t="shared" si="173"/>
        <v>103</v>
      </c>
      <c r="Q198">
        <f t="shared" si="174"/>
        <v>43</v>
      </c>
      <c r="R198">
        <v>2</v>
      </c>
      <c r="W198">
        <f>W195/W182</f>
        <v>0.2636290114037837</v>
      </c>
      <c r="X198">
        <f>X195/X182</f>
        <v>0.2636290114037837</v>
      </c>
      <c r="AN198" s="70" t="s">
        <v>645</v>
      </c>
      <c r="AO198" s="74">
        <f>0.395/1.395</f>
        <v>0.28315412186379929</v>
      </c>
      <c r="AP198" s="70"/>
      <c r="AQ198" s="70"/>
      <c r="AU198" t="s">
        <v>618</v>
      </c>
      <c r="AV198">
        <v>1</v>
      </c>
      <c r="AW198">
        <v>1</v>
      </c>
      <c r="AX198">
        <v>1</v>
      </c>
      <c r="AY198">
        <v>1</v>
      </c>
      <c r="AZ198">
        <v>1</v>
      </c>
      <c r="BA198">
        <v>2</v>
      </c>
      <c r="BB198">
        <v>2</v>
      </c>
      <c r="BC198">
        <v>2</v>
      </c>
      <c r="BD198">
        <v>3</v>
      </c>
      <c r="BE198">
        <v>4</v>
      </c>
      <c r="BF198">
        <v>6</v>
      </c>
      <c r="BG198">
        <v>7</v>
      </c>
      <c r="BH198">
        <v>8</v>
      </c>
      <c r="BI198">
        <v>10</v>
      </c>
      <c r="BJ198">
        <v>11</v>
      </c>
      <c r="BK198">
        <v>14</v>
      </c>
    </row>
    <row r="199" spans="2:63" x14ac:dyDescent="0.25">
      <c r="B199">
        <v>500</v>
      </c>
      <c r="C199">
        <f t="shared" si="165"/>
        <v>40</v>
      </c>
      <c r="D199">
        <f t="shared" si="165"/>
        <v>40</v>
      </c>
      <c r="E199">
        <f t="shared" si="166"/>
        <v>1600</v>
      </c>
      <c r="G199">
        <f t="shared" si="167"/>
        <v>2100.5</v>
      </c>
      <c r="H199">
        <f t="shared" si="168"/>
        <v>77</v>
      </c>
      <c r="I199">
        <v>5</v>
      </c>
      <c r="K199">
        <f t="shared" si="169"/>
        <v>2086</v>
      </c>
      <c r="L199">
        <f t="shared" si="170"/>
        <v>38</v>
      </c>
      <c r="M199">
        <f t="shared" si="171"/>
        <v>42</v>
      </c>
      <c r="O199">
        <f t="shared" si="172"/>
        <v>4186.5</v>
      </c>
      <c r="P199">
        <f t="shared" si="173"/>
        <v>115</v>
      </c>
      <c r="Q199">
        <f t="shared" si="174"/>
        <v>47</v>
      </c>
      <c r="R199">
        <v>2</v>
      </c>
      <c r="V199" t="s">
        <v>644</v>
      </c>
      <c r="AN199" s="70" t="s">
        <v>520</v>
      </c>
      <c r="AO199" s="70">
        <v>8.3140000000000001</v>
      </c>
      <c r="AP199" s="70" t="s">
        <v>646</v>
      </c>
      <c r="AQ199" s="70"/>
    </row>
    <row r="200" spans="2:63" x14ac:dyDescent="0.25">
      <c r="B200">
        <v>600</v>
      </c>
      <c r="C200">
        <f t="shared" si="165"/>
        <v>44</v>
      </c>
      <c r="D200">
        <f t="shared" si="165"/>
        <v>44</v>
      </c>
      <c r="E200">
        <f t="shared" si="166"/>
        <v>1928</v>
      </c>
      <c r="G200">
        <f t="shared" si="167"/>
        <v>2520.0237645237644</v>
      </c>
      <c r="H200">
        <f t="shared" si="168"/>
        <v>85</v>
      </c>
      <c r="I200">
        <v>5</v>
      </c>
      <c r="K200">
        <f t="shared" si="169"/>
        <v>2504.3515087732476</v>
      </c>
      <c r="L200">
        <f t="shared" si="170"/>
        <v>42</v>
      </c>
      <c r="M200">
        <f t="shared" si="171"/>
        <v>46</v>
      </c>
      <c r="O200">
        <f t="shared" si="172"/>
        <v>5024.3752732970115</v>
      </c>
      <c r="P200">
        <f t="shared" si="173"/>
        <v>127</v>
      </c>
      <c r="Q200">
        <f t="shared" si="174"/>
        <v>51</v>
      </c>
      <c r="R200">
        <v>2</v>
      </c>
      <c r="V200" t="s">
        <v>661</v>
      </c>
      <c r="W200">
        <f t="shared" ref="W200:AL200" si="184">(W195*$AO$192)/(60*60)</f>
        <v>4.5073237921952462E-4</v>
      </c>
      <c r="X200">
        <f t="shared" si="184"/>
        <v>9.0146475843904924E-4</v>
      </c>
      <c r="Y200">
        <f t="shared" si="184"/>
        <v>1.8029295168780985E-3</v>
      </c>
      <c r="Z200">
        <f t="shared" si="184"/>
        <v>2.7043942753171481E-3</v>
      </c>
      <c r="AA200">
        <f t="shared" si="184"/>
        <v>4.5073237921952475E-3</v>
      </c>
      <c r="AB200">
        <f t="shared" si="184"/>
        <v>6.7609856882928704E-3</v>
      </c>
      <c r="AC200">
        <f t="shared" si="184"/>
        <v>9.014647584390495E-3</v>
      </c>
      <c r="AD200">
        <f t="shared" si="184"/>
        <v>1.3521971376585741E-2</v>
      </c>
      <c r="AE200">
        <f t="shared" si="184"/>
        <v>1.802929516878099E-2</v>
      </c>
      <c r="AF200">
        <f t="shared" si="184"/>
        <v>2.7043942753171481E-2</v>
      </c>
      <c r="AG200">
        <f t="shared" si="184"/>
        <v>3.605859033756198E-2</v>
      </c>
      <c r="AH200">
        <f t="shared" si="184"/>
        <v>4.5073237921952461E-2</v>
      </c>
      <c r="AI200">
        <f t="shared" si="184"/>
        <v>5.4087885506342963E-2</v>
      </c>
      <c r="AJ200">
        <f t="shared" si="184"/>
        <v>6.3102533090733465E-2</v>
      </c>
      <c r="AK200">
        <f t="shared" si="184"/>
        <v>7.211718067512396E-2</v>
      </c>
      <c r="AL200">
        <f t="shared" si="184"/>
        <v>9.0146475843904922E-2</v>
      </c>
      <c r="AN200" s="70" t="s">
        <v>647</v>
      </c>
      <c r="AO200" s="70">
        <v>285</v>
      </c>
      <c r="AP200" s="70" t="s">
        <v>516</v>
      </c>
      <c r="AQ200" s="70"/>
      <c r="AU200" t="s">
        <v>837</v>
      </c>
    </row>
    <row r="201" spans="2:63" x14ac:dyDescent="0.25">
      <c r="B201">
        <v>700</v>
      </c>
      <c r="C201">
        <f t="shared" si="165"/>
        <v>48</v>
      </c>
      <c r="D201">
        <f t="shared" si="165"/>
        <v>48</v>
      </c>
      <c r="E201">
        <f t="shared" si="166"/>
        <v>2272</v>
      </c>
      <c r="G201">
        <f t="shared" si="167"/>
        <v>2958.5398915498081</v>
      </c>
      <c r="H201">
        <f t="shared" si="168"/>
        <v>93</v>
      </c>
      <c r="I201">
        <v>5</v>
      </c>
      <c r="K201">
        <f t="shared" si="169"/>
        <v>2942.0790937188117</v>
      </c>
      <c r="L201">
        <f t="shared" si="170"/>
        <v>46</v>
      </c>
      <c r="M201">
        <f t="shared" si="171"/>
        <v>50</v>
      </c>
      <c r="O201">
        <f t="shared" si="172"/>
        <v>5900.6189852686202</v>
      </c>
      <c r="P201">
        <f t="shared" si="173"/>
        <v>139</v>
      </c>
      <c r="Q201">
        <f t="shared" si="174"/>
        <v>55</v>
      </c>
      <c r="R201">
        <v>2</v>
      </c>
      <c r="V201" t="s">
        <v>660</v>
      </c>
      <c r="W201">
        <f>W200*$AO$199*$AO$200</f>
        <v>1.0680058652368714</v>
      </c>
      <c r="X201">
        <f t="shared" ref="X201:AL201" si="185">X200*$AO$199*$AO$200</f>
        <v>2.1360117304737427</v>
      </c>
      <c r="Y201">
        <f t="shared" si="185"/>
        <v>4.2720234609474854</v>
      </c>
      <c r="Z201">
        <f t="shared" si="185"/>
        <v>6.408035191421229</v>
      </c>
      <c r="AA201">
        <f t="shared" si="185"/>
        <v>10.680058652368716</v>
      </c>
      <c r="AB201">
        <f t="shared" si="185"/>
        <v>16.020087978553072</v>
      </c>
      <c r="AC201">
        <f t="shared" si="185"/>
        <v>21.360117304737432</v>
      </c>
      <c r="AD201">
        <f t="shared" si="185"/>
        <v>32.040175957106143</v>
      </c>
      <c r="AE201">
        <f t="shared" si="185"/>
        <v>42.720234609474865</v>
      </c>
      <c r="AF201">
        <f t="shared" si="185"/>
        <v>64.080351914212287</v>
      </c>
      <c r="AG201">
        <f t="shared" si="185"/>
        <v>85.44046921894973</v>
      </c>
      <c r="AH201">
        <f t="shared" si="185"/>
        <v>106.80058652368714</v>
      </c>
      <c r="AI201">
        <f t="shared" si="185"/>
        <v>128.16070382842457</v>
      </c>
      <c r="AJ201">
        <f t="shared" si="185"/>
        <v>149.52082113316206</v>
      </c>
      <c r="AK201">
        <f t="shared" si="185"/>
        <v>170.88093843789946</v>
      </c>
      <c r="AL201">
        <f t="shared" si="185"/>
        <v>213.60117304737429</v>
      </c>
      <c r="AN201" s="70" t="s">
        <v>648</v>
      </c>
      <c r="AO201" s="75">
        <v>0.98692000000000002</v>
      </c>
      <c r="AP201" s="70" t="s">
        <v>649</v>
      </c>
      <c r="AQ201" s="70"/>
      <c r="AU201" t="s">
        <v>761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21.5</v>
      </c>
      <c r="BB201">
        <v>24.8</v>
      </c>
      <c r="BC201">
        <v>25</v>
      </c>
      <c r="BD201">
        <v>50</v>
      </c>
      <c r="BE201">
        <v>75</v>
      </c>
      <c r="BF201">
        <v>139.25</v>
      </c>
      <c r="BG201">
        <v>164.65</v>
      </c>
      <c r="BH201">
        <v>189.95</v>
      </c>
      <c r="BI201">
        <v>238.47499999999999</v>
      </c>
      <c r="BJ201">
        <v>263.875</v>
      </c>
      <c r="BK201">
        <v>297.07499999999999</v>
      </c>
    </row>
    <row r="202" spans="2:63" x14ac:dyDescent="0.25">
      <c r="B202">
        <v>800</v>
      </c>
      <c r="C202">
        <f t="shared" si="165"/>
        <v>51</v>
      </c>
      <c r="D202">
        <f t="shared" si="165"/>
        <v>51</v>
      </c>
      <c r="E202">
        <f t="shared" si="166"/>
        <v>2581</v>
      </c>
      <c r="G202">
        <f t="shared" si="167"/>
        <v>3352.5143197784819</v>
      </c>
      <c r="H202">
        <f t="shared" si="168"/>
        <v>99</v>
      </c>
      <c r="I202">
        <v>5</v>
      </c>
      <c r="K202">
        <f t="shared" si="169"/>
        <v>3334.6687665751147</v>
      </c>
      <c r="L202">
        <f t="shared" si="170"/>
        <v>49</v>
      </c>
      <c r="M202">
        <f t="shared" si="171"/>
        <v>53</v>
      </c>
      <c r="O202">
        <f t="shared" si="172"/>
        <v>6687.1830863535961</v>
      </c>
      <c r="P202">
        <f t="shared" si="173"/>
        <v>148</v>
      </c>
      <c r="Q202">
        <f t="shared" si="174"/>
        <v>58</v>
      </c>
      <c r="R202">
        <v>2</v>
      </c>
      <c r="V202" s="70" t="s">
        <v>654</v>
      </c>
      <c r="W202">
        <f>W201/$AO$205</f>
        <v>0.18142463599289282</v>
      </c>
      <c r="X202">
        <f t="shared" ref="X202:AL202" si="186">X201/$AO$205</f>
        <v>0.36284927198578565</v>
      </c>
      <c r="Y202">
        <f t="shared" si="186"/>
        <v>0.7256985439715713</v>
      </c>
      <c r="Z202">
        <f t="shared" si="186"/>
        <v>1.0885478159573572</v>
      </c>
      <c r="AA202">
        <f t="shared" si="186"/>
        <v>1.8142463599289287</v>
      </c>
      <c r="AB202">
        <f t="shared" si="186"/>
        <v>2.7213695398933928</v>
      </c>
      <c r="AC202">
        <f t="shared" si="186"/>
        <v>3.6284927198578574</v>
      </c>
      <c r="AD202">
        <f t="shared" si="186"/>
        <v>5.4427390797867856</v>
      </c>
      <c r="AE202">
        <f t="shared" si="186"/>
        <v>7.2569854397157147</v>
      </c>
      <c r="AF202">
        <f t="shared" si="186"/>
        <v>10.885478159573571</v>
      </c>
      <c r="AG202">
        <f t="shared" si="186"/>
        <v>14.513970879431429</v>
      </c>
      <c r="AH202">
        <f t="shared" si="186"/>
        <v>18.142463599289286</v>
      </c>
      <c r="AI202">
        <f t="shared" si="186"/>
        <v>21.770956319147142</v>
      </c>
      <c r="AJ202">
        <f t="shared" si="186"/>
        <v>25.399449039005006</v>
      </c>
      <c r="AK202">
        <f t="shared" si="186"/>
        <v>29.027941758862859</v>
      </c>
      <c r="AL202">
        <f t="shared" si="186"/>
        <v>36.284927198578572</v>
      </c>
      <c r="AN202" s="70" t="s">
        <v>650</v>
      </c>
      <c r="AO202" s="75">
        <v>1.0537399999999999</v>
      </c>
      <c r="AP202" s="70" t="s">
        <v>649</v>
      </c>
      <c r="AQ202" s="70"/>
    </row>
    <row r="203" spans="2:63" x14ac:dyDescent="0.25">
      <c r="B203">
        <v>1000</v>
      </c>
      <c r="C203">
        <f t="shared" si="165"/>
        <v>57</v>
      </c>
      <c r="D203">
        <f t="shared" si="165"/>
        <v>57</v>
      </c>
      <c r="E203">
        <f>ROUNDUP((C117/1.25)*C203,0)</f>
        <v>3225</v>
      </c>
      <c r="G203">
        <f t="shared" si="167"/>
        <v>4172.4300090006309</v>
      </c>
      <c r="H203">
        <f t="shared" si="168"/>
        <v>111</v>
      </c>
      <c r="I203">
        <v>5</v>
      </c>
      <c r="K203">
        <f t="shared" si="169"/>
        <v>4152.5193308819762</v>
      </c>
      <c r="L203">
        <f t="shared" si="170"/>
        <v>55</v>
      </c>
      <c r="M203">
        <f t="shared" si="171"/>
        <v>59</v>
      </c>
      <c r="O203">
        <f t="shared" si="172"/>
        <v>8324.9493398826071</v>
      </c>
      <c r="P203">
        <f t="shared" si="173"/>
        <v>166</v>
      </c>
      <c r="Q203">
        <f t="shared" si="174"/>
        <v>64</v>
      </c>
      <c r="R203">
        <v>2</v>
      </c>
      <c r="V203" s="70" t="s">
        <v>656</v>
      </c>
      <c r="W203">
        <f>W202*$AO$207</f>
        <v>3.3949697436185507E-3</v>
      </c>
      <c r="X203">
        <f t="shared" ref="X203:AL203" si="187">X202*$AO$207</f>
        <v>6.7899394872371014E-3</v>
      </c>
      <c r="Y203">
        <f t="shared" si="187"/>
        <v>1.3579878974474203E-2</v>
      </c>
      <c r="Z203">
        <f t="shared" si="187"/>
        <v>2.0369818461711309E-2</v>
      </c>
      <c r="AA203">
        <f t="shared" si="187"/>
        <v>3.3949697436185519E-2</v>
      </c>
      <c r="AB203">
        <f t="shared" si="187"/>
        <v>5.0924546154278272E-2</v>
      </c>
      <c r="AC203">
        <f t="shared" si="187"/>
        <v>6.7899394872371038E-2</v>
      </c>
      <c r="AD203">
        <f t="shared" si="187"/>
        <v>0.10184909230855654</v>
      </c>
      <c r="AE203">
        <f t="shared" si="187"/>
        <v>0.13579878974474208</v>
      </c>
      <c r="AF203">
        <f t="shared" si="187"/>
        <v>0.20369818461711309</v>
      </c>
      <c r="AG203">
        <f t="shared" si="187"/>
        <v>0.27159757948948415</v>
      </c>
      <c r="AH203">
        <f t="shared" si="187"/>
        <v>0.33949697436185516</v>
      </c>
      <c r="AI203">
        <f t="shared" si="187"/>
        <v>0.40739636923422617</v>
      </c>
      <c r="AJ203">
        <f t="shared" si="187"/>
        <v>0.4752957641065973</v>
      </c>
      <c r="AK203">
        <f t="shared" si="187"/>
        <v>0.54319515897896831</v>
      </c>
      <c r="AL203">
        <f t="shared" si="187"/>
        <v>0.67899394872371033</v>
      </c>
      <c r="AN203" s="70" t="s">
        <v>651</v>
      </c>
      <c r="AO203" s="70">
        <v>0.7</v>
      </c>
      <c r="AP203" s="70"/>
      <c r="AQ203" s="70"/>
    </row>
    <row r="204" spans="2:63" x14ac:dyDescent="0.25">
      <c r="AN204" s="70"/>
      <c r="AO204" s="74"/>
      <c r="AP204" s="70"/>
      <c r="AQ204" s="70"/>
    </row>
    <row r="205" spans="2:63" x14ac:dyDescent="0.25">
      <c r="V205" s="70" t="s">
        <v>659</v>
      </c>
      <c r="W205">
        <f>W203*24*$AO$209</f>
        <v>8.1479273846845224E-2</v>
      </c>
      <c r="X205">
        <f t="shared" ref="X205:AL205" si="188">X203*24*$AO$209</f>
        <v>0.16295854769369045</v>
      </c>
      <c r="Y205">
        <f t="shared" si="188"/>
        <v>0.3259170953873809</v>
      </c>
      <c r="Z205">
        <f t="shared" si="188"/>
        <v>0.48887564308107145</v>
      </c>
      <c r="AA205">
        <f t="shared" si="188"/>
        <v>0.81479273846845246</v>
      </c>
      <c r="AB205">
        <f t="shared" si="188"/>
        <v>1.2221891077026785</v>
      </c>
      <c r="AC205">
        <f t="shared" si="188"/>
        <v>1.6295854769369049</v>
      </c>
      <c r="AD205">
        <f t="shared" si="188"/>
        <v>2.444378215405357</v>
      </c>
      <c r="AE205">
        <f t="shared" si="188"/>
        <v>3.2591709538738098</v>
      </c>
      <c r="AF205">
        <f t="shared" si="188"/>
        <v>4.8887564308107141</v>
      </c>
      <c r="AG205">
        <f t="shared" si="188"/>
        <v>6.5183419077476197</v>
      </c>
      <c r="AH205">
        <f t="shared" si="188"/>
        <v>8.1479273846845235</v>
      </c>
      <c r="AI205">
        <f t="shared" si="188"/>
        <v>9.7775128616214282</v>
      </c>
      <c r="AJ205">
        <f t="shared" si="188"/>
        <v>11.407098338558335</v>
      </c>
      <c r="AK205">
        <f t="shared" si="188"/>
        <v>13.036683815495239</v>
      </c>
      <c r="AL205">
        <f t="shared" si="188"/>
        <v>16.295854769369047</v>
      </c>
      <c r="AN205" s="70" t="s">
        <v>652</v>
      </c>
      <c r="AO205" s="74">
        <f>29.7*AO198*AO203</f>
        <v>5.886774193548387</v>
      </c>
      <c r="AP205" s="70"/>
      <c r="AQ205" s="70" t="s">
        <v>653</v>
      </c>
    </row>
    <row r="206" spans="2:63" x14ac:dyDescent="0.25">
      <c r="G206" t="s">
        <v>888</v>
      </c>
      <c r="K206" t="s">
        <v>889</v>
      </c>
      <c r="V206" t="s">
        <v>658</v>
      </c>
      <c r="W206">
        <f>W205*365.25</f>
        <v>29.760304772560218</v>
      </c>
      <c r="X206">
        <f t="shared" ref="X206:AL206" si="189">X205*365.25</f>
        <v>59.520609545120436</v>
      </c>
      <c r="Y206">
        <f t="shared" si="189"/>
        <v>119.04121909024087</v>
      </c>
      <c r="Z206">
        <f t="shared" si="189"/>
        <v>178.56182863536134</v>
      </c>
      <c r="AA206">
        <f t="shared" si="189"/>
        <v>297.60304772560227</v>
      </c>
      <c r="AB206">
        <f t="shared" si="189"/>
        <v>446.40457158840331</v>
      </c>
      <c r="AC206">
        <f t="shared" si="189"/>
        <v>595.20609545120453</v>
      </c>
      <c r="AD206">
        <f t="shared" si="189"/>
        <v>892.80914317680663</v>
      </c>
      <c r="AE206">
        <f t="shared" si="189"/>
        <v>1190.4121909024091</v>
      </c>
      <c r="AF206">
        <f t="shared" si="189"/>
        <v>1785.6182863536133</v>
      </c>
      <c r="AG206">
        <f t="shared" si="189"/>
        <v>2380.8243818048181</v>
      </c>
      <c r="AH206">
        <f t="shared" si="189"/>
        <v>2976.0304772560221</v>
      </c>
      <c r="AI206">
        <f t="shared" si="189"/>
        <v>3571.2365727072265</v>
      </c>
      <c r="AJ206">
        <f t="shared" si="189"/>
        <v>4166.4426681584318</v>
      </c>
      <c r="AK206">
        <f t="shared" si="189"/>
        <v>4761.6487636096363</v>
      </c>
      <c r="AL206">
        <f t="shared" si="189"/>
        <v>5952.0609545120442</v>
      </c>
      <c r="AN206" s="70"/>
      <c r="AO206" s="70"/>
      <c r="AP206" s="70"/>
      <c r="AQ206" s="70"/>
      <c r="AU206" t="s">
        <v>625</v>
      </c>
      <c r="AV206">
        <f>AV194*AV198+AV201</f>
        <v>49.2</v>
      </c>
      <c r="AW206">
        <f t="shared" ref="AW206:BK206" si="190">AW194*AW198+AW201</f>
        <v>68.8</v>
      </c>
      <c r="AX206">
        <f t="shared" si="190"/>
        <v>96.2</v>
      </c>
      <c r="AY206">
        <f t="shared" si="190"/>
        <v>118.2</v>
      </c>
      <c r="AZ206">
        <f t="shared" si="190"/>
        <v>152</v>
      </c>
      <c r="BA206">
        <f t="shared" si="190"/>
        <v>395.5</v>
      </c>
      <c r="BB206">
        <f t="shared" si="190"/>
        <v>456</v>
      </c>
      <c r="BC206">
        <f t="shared" si="190"/>
        <v>459</v>
      </c>
      <c r="BD206">
        <f t="shared" si="190"/>
        <v>701</v>
      </c>
      <c r="BE206">
        <f t="shared" si="190"/>
        <v>943</v>
      </c>
      <c r="BF206">
        <f t="shared" si="190"/>
        <v>1441.25</v>
      </c>
      <c r="BG206">
        <f t="shared" si="190"/>
        <v>1683.65</v>
      </c>
      <c r="BH206">
        <f t="shared" si="190"/>
        <v>1925.95</v>
      </c>
      <c r="BI206">
        <f t="shared" si="190"/>
        <v>2408.4749999999999</v>
      </c>
      <c r="BJ206">
        <f t="shared" si="190"/>
        <v>2650.875</v>
      </c>
      <c r="BK206">
        <f t="shared" si="190"/>
        <v>3335.0749999999998</v>
      </c>
    </row>
    <row r="207" spans="2:63" ht="17.25" x14ac:dyDescent="0.25">
      <c r="B207" t="s">
        <v>156</v>
      </c>
      <c r="C207" t="s">
        <v>618</v>
      </c>
      <c r="D207" t="str">
        <f t="shared" ref="D207:F214" si="191">C187</f>
        <v>Distribution prongs</v>
      </c>
      <c r="E207" t="str">
        <f t="shared" si="191"/>
        <v>Collection Prongs</v>
      </c>
      <c r="F207" t="str">
        <f t="shared" si="191"/>
        <v>Outlet Points</v>
      </c>
      <c r="G207" t="s">
        <v>761</v>
      </c>
      <c r="H207" t="s">
        <v>885</v>
      </c>
      <c r="I207" t="s">
        <v>886</v>
      </c>
      <c r="K207" t="s">
        <v>761</v>
      </c>
      <c r="L207" t="s">
        <v>885</v>
      </c>
      <c r="M207" t="s">
        <v>886</v>
      </c>
      <c r="O207" t="s">
        <v>761</v>
      </c>
      <c r="P207" t="s">
        <v>885</v>
      </c>
      <c r="Q207" t="s">
        <v>886</v>
      </c>
      <c r="R207" t="s">
        <v>766</v>
      </c>
      <c r="AN207" s="70" t="s">
        <v>655</v>
      </c>
      <c r="AO207" s="74">
        <f>POWER((AO202/AO201),0.283)-1</f>
        <v>1.8712837564968554E-2</v>
      </c>
      <c r="AP207" s="70"/>
      <c r="AQ207" s="70"/>
    </row>
    <row r="208" spans="2:63" x14ac:dyDescent="0.25">
      <c r="B208">
        <v>5</v>
      </c>
      <c r="C208">
        <f>$B$37</f>
        <v>1</v>
      </c>
      <c r="D208">
        <f t="shared" si="191"/>
        <v>4</v>
      </c>
      <c r="E208">
        <f>D188</f>
        <v>4</v>
      </c>
      <c r="F208">
        <f t="shared" si="191"/>
        <v>16</v>
      </c>
      <c r="G208">
        <f>$D208*$J102+2*$K102+0.5</f>
        <v>30.5</v>
      </c>
      <c r="H208">
        <f>($D208-2)*2+1</f>
        <v>5</v>
      </c>
      <c r="I208">
        <v>5</v>
      </c>
      <c r="K208">
        <f>E208*J102+K102+E208*0.9</f>
        <v>28.6</v>
      </c>
      <c r="L208">
        <f>E208-2</f>
        <v>2</v>
      </c>
      <c r="M208">
        <f>2+E208</f>
        <v>6</v>
      </c>
      <c r="O208">
        <f>(K208+G208)*$C208</f>
        <v>59.1</v>
      </c>
      <c r="P208">
        <f t="shared" ref="P208:Q208" si="192">(L208+H208)*$C208</f>
        <v>7</v>
      </c>
      <c r="Q208">
        <f t="shared" si="192"/>
        <v>11</v>
      </c>
      <c r="R208">
        <v>2</v>
      </c>
      <c r="V208" t="s">
        <v>622</v>
      </c>
      <c r="AP208" s="70"/>
      <c r="AQ208" s="70"/>
    </row>
    <row r="209" spans="2:63" x14ac:dyDescent="0.25">
      <c r="B209">
        <v>10</v>
      </c>
      <c r="C209">
        <f>$C$37</f>
        <v>1</v>
      </c>
      <c r="D209">
        <f t="shared" si="191"/>
        <v>6</v>
      </c>
      <c r="E209">
        <f t="shared" si="191"/>
        <v>6</v>
      </c>
      <c r="F209">
        <f t="shared" si="191"/>
        <v>34</v>
      </c>
      <c r="G209">
        <f t="shared" ref="G209:G223" si="193">$D209*$J103+2*$K103+0.5</f>
        <v>57.3</v>
      </c>
      <c r="H209">
        <f>($D209-2)*2+1</f>
        <v>9</v>
      </c>
      <c r="I209">
        <v>5</v>
      </c>
      <c r="K209">
        <f t="shared" ref="K209:K222" si="194">E209*J103+K103+E209*0.9</f>
        <v>55.099999999999994</v>
      </c>
      <c r="L209">
        <f t="shared" ref="L209:L223" si="195">E209-2</f>
        <v>4</v>
      </c>
      <c r="M209">
        <f t="shared" ref="M209:M223" si="196">2+E209</f>
        <v>8</v>
      </c>
      <c r="O209">
        <f>(K209+G209)*$C209</f>
        <v>112.39999999999999</v>
      </c>
      <c r="P209">
        <f>(L209+H209)*$C209</f>
        <v>13</v>
      </c>
      <c r="Q209">
        <f t="shared" ref="Q209:Q223" si="197">(M209+I209)*$C209</f>
        <v>13</v>
      </c>
      <c r="R209">
        <v>2</v>
      </c>
      <c r="V209" t="s">
        <v>777</v>
      </c>
      <c r="W209">
        <v>30</v>
      </c>
      <c r="X209">
        <v>60</v>
      </c>
      <c r="Y209">
        <v>100</v>
      </c>
      <c r="Z209">
        <v>150</v>
      </c>
      <c r="AA209">
        <v>250</v>
      </c>
      <c r="AN209" s="70" t="s">
        <v>657</v>
      </c>
      <c r="AO209" s="74">
        <v>1</v>
      </c>
      <c r="AP209" s="70"/>
      <c r="AQ209" s="70"/>
    </row>
    <row r="210" spans="2:63" x14ac:dyDescent="0.25">
      <c r="B210">
        <v>20</v>
      </c>
      <c r="C210">
        <f>$D$37</f>
        <v>1</v>
      </c>
      <c r="D210">
        <f t="shared" si="191"/>
        <v>8</v>
      </c>
      <c r="E210">
        <f t="shared" si="191"/>
        <v>8</v>
      </c>
      <c r="F210">
        <f>E190</f>
        <v>64</v>
      </c>
      <c r="G210">
        <f t="shared" si="193"/>
        <v>100.5</v>
      </c>
      <c r="H210">
        <f t="shared" ref="H210:H223" si="198">($D210-2)*2+1</f>
        <v>13</v>
      </c>
      <c r="I210">
        <v>5</v>
      </c>
      <c r="K210">
        <f t="shared" si="194"/>
        <v>97.2</v>
      </c>
      <c r="L210">
        <f t="shared" si="195"/>
        <v>6</v>
      </c>
      <c r="M210">
        <f t="shared" si="196"/>
        <v>10</v>
      </c>
      <c r="O210">
        <f t="shared" ref="O210:O222" si="199">(K210+G210)*$C210</f>
        <v>197.7</v>
      </c>
      <c r="P210">
        <f t="shared" ref="P210:P222" si="200">(L210+H210)*$C210</f>
        <v>19</v>
      </c>
      <c r="Q210">
        <f t="shared" si="197"/>
        <v>15</v>
      </c>
      <c r="R210">
        <v>2</v>
      </c>
      <c r="V210" t="s">
        <v>778</v>
      </c>
      <c r="W210">
        <v>25</v>
      </c>
      <c r="X210">
        <v>55</v>
      </c>
      <c r="Y210">
        <v>105</v>
      </c>
      <c r="Z210">
        <v>160</v>
      </c>
      <c r="AA210">
        <v>221</v>
      </c>
      <c r="AN210" s="70"/>
      <c r="AO210" s="74"/>
      <c r="AP210" s="70"/>
      <c r="AQ210" s="70"/>
      <c r="AU210" t="s">
        <v>625</v>
      </c>
      <c r="AV210">
        <v>49.2</v>
      </c>
      <c r="AW210">
        <v>68.8</v>
      </c>
      <c r="AX210">
        <v>96.2</v>
      </c>
      <c r="AY210">
        <v>118.2</v>
      </c>
      <c r="AZ210">
        <v>152</v>
      </c>
      <c r="BA210">
        <v>395.5</v>
      </c>
      <c r="BB210">
        <v>456</v>
      </c>
      <c r="BC210">
        <v>459</v>
      </c>
      <c r="BD210">
        <v>701</v>
      </c>
      <c r="BE210">
        <v>943</v>
      </c>
      <c r="BF210">
        <v>1441.25</v>
      </c>
      <c r="BG210">
        <v>1683.65</v>
      </c>
      <c r="BH210">
        <v>1925.95</v>
      </c>
      <c r="BI210">
        <v>2408.4749999999999</v>
      </c>
      <c r="BJ210">
        <v>2650.875</v>
      </c>
      <c r="BK210">
        <v>3335.0749999999998</v>
      </c>
    </row>
    <row r="211" spans="2:63" x14ac:dyDescent="0.25">
      <c r="B211">
        <v>30</v>
      </c>
      <c r="C211">
        <f>$E$37</f>
        <v>1</v>
      </c>
      <c r="D211">
        <f t="shared" si="191"/>
        <v>10</v>
      </c>
      <c r="E211">
        <f t="shared" si="191"/>
        <v>10</v>
      </c>
      <c r="F211">
        <f t="shared" si="191"/>
        <v>98</v>
      </c>
      <c r="G211">
        <f t="shared" si="193"/>
        <v>148.1</v>
      </c>
      <c r="H211">
        <f t="shared" si="198"/>
        <v>17</v>
      </c>
      <c r="I211">
        <v>5</v>
      </c>
      <c r="K211">
        <f t="shared" si="194"/>
        <v>144.29999999999998</v>
      </c>
      <c r="L211">
        <f t="shared" si="195"/>
        <v>8</v>
      </c>
      <c r="M211">
        <f t="shared" si="196"/>
        <v>12</v>
      </c>
      <c r="O211">
        <f t="shared" si="199"/>
        <v>292.39999999999998</v>
      </c>
      <c r="P211">
        <f t="shared" si="200"/>
        <v>25</v>
      </c>
      <c r="Q211">
        <f t="shared" si="197"/>
        <v>17</v>
      </c>
      <c r="R211">
        <v>2</v>
      </c>
      <c r="V211" t="s">
        <v>779</v>
      </c>
      <c r="W211">
        <v>30</v>
      </c>
      <c r="X211">
        <v>60</v>
      </c>
      <c r="Y211">
        <v>100</v>
      </c>
      <c r="Z211">
        <v>150</v>
      </c>
      <c r="AA211">
        <v>250</v>
      </c>
    </row>
    <row r="212" spans="2:63" x14ac:dyDescent="0.25">
      <c r="B212">
        <v>50</v>
      </c>
      <c r="C212">
        <f>$F$37</f>
        <v>1</v>
      </c>
      <c r="D212">
        <f t="shared" si="191"/>
        <v>13</v>
      </c>
      <c r="E212">
        <f t="shared" si="191"/>
        <v>13</v>
      </c>
      <c r="F212">
        <f t="shared" si="191"/>
        <v>165</v>
      </c>
      <c r="G212">
        <f t="shared" si="193"/>
        <v>239.00000000000003</v>
      </c>
      <c r="H212">
        <f t="shared" si="198"/>
        <v>23</v>
      </c>
      <c r="I212">
        <v>5</v>
      </c>
      <c r="K212">
        <f t="shared" si="194"/>
        <v>234.3</v>
      </c>
      <c r="L212">
        <f t="shared" si="195"/>
        <v>11</v>
      </c>
      <c r="M212">
        <f t="shared" si="196"/>
        <v>15</v>
      </c>
      <c r="O212">
        <f t="shared" si="199"/>
        <v>473.30000000000007</v>
      </c>
      <c r="P212">
        <f t="shared" si="200"/>
        <v>34</v>
      </c>
      <c r="Q212">
        <f t="shared" si="197"/>
        <v>20</v>
      </c>
      <c r="R212">
        <v>2</v>
      </c>
    </row>
    <row r="213" spans="2:63" x14ac:dyDescent="0.25">
      <c r="B213">
        <v>75</v>
      </c>
      <c r="C213">
        <f>$G$37</f>
        <v>1</v>
      </c>
      <c r="D213">
        <f t="shared" si="191"/>
        <v>16</v>
      </c>
      <c r="E213">
        <f t="shared" si="191"/>
        <v>16</v>
      </c>
      <c r="F213">
        <f t="shared" si="191"/>
        <v>248</v>
      </c>
      <c r="G213">
        <f t="shared" si="193"/>
        <v>349.70000000000005</v>
      </c>
      <c r="H213">
        <f t="shared" si="198"/>
        <v>29</v>
      </c>
      <c r="I213">
        <v>5</v>
      </c>
      <c r="K213">
        <f t="shared" si="194"/>
        <v>344.2</v>
      </c>
      <c r="L213">
        <f t="shared" si="195"/>
        <v>14</v>
      </c>
      <c r="M213">
        <f t="shared" si="196"/>
        <v>18</v>
      </c>
      <c r="O213">
        <f t="shared" si="199"/>
        <v>693.90000000000009</v>
      </c>
      <c r="P213">
        <f t="shared" si="200"/>
        <v>43</v>
      </c>
      <c r="Q213">
        <f t="shared" si="197"/>
        <v>23</v>
      </c>
      <c r="R213">
        <v>2</v>
      </c>
      <c r="V213" t="s">
        <v>780</v>
      </c>
      <c r="AB213">
        <v>400</v>
      </c>
      <c r="AC213">
        <v>500</v>
      </c>
    </row>
    <row r="214" spans="2:63" x14ac:dyDescent="0.25">
      <c r="B214">
        <v>100</v>
      </c>
      <c r="C214">
        <f>$H$37</f>
        <v>1</v>
      </c>
      <c r="D214">
        <f t="shared" si="191"/>
        <v>18</v>
      </c>
      <c r="E214">
        <f>D194</f>
        <v>18</v>
      </c>
      <c r="F214">
        <f>E194</f>
        <v>322</v>
      </c>
      <c r="G214">
        <f>$D214*$J108+2*$K108+0.5</f>
        <v>448.50000000000006</v>
      </c>
      <c r="H214">
        <f t="shared" si="198"/>
        <v>33</v>
      </c>
      <c r="I214">
        <v>5</v>
      </c>
      <c r="K214">
        <f t="shared" si="194"/>
        <v>441.8</v>
      </c>
      <c r="L214">
        <f>E214-2</f>
        <v>16</v>
      </c>
      <c r="M214">
        <f t="shared" si="196"/>
        <v>20</v>
      </c>
      <c r="O214">
        <f>(K214+G214)*$C214</f>
        <v>890.30000000000007</v>
      </c>
      <c r="P214">
        <f t="shared" si="200"/>
        <v>49</v>
      </c>
      <c r="Q214">
        <f t="shared" si="197"/>
        <v>25</v>
      </c>
      <c r="R214">
        <v>2</v>
      </c>
      <c r="V214" t="s">
        <v>779</v>
      </c>
      <c r="AB214">
        <v>400</v>
      </c>
      <c r="AC214">
        <v>500</v>
      </c>
      <c r="AU214" t="s">
        <v>625</v>
      </c>
    </row>
    <row r="215" spans="2:63" x14ac:dyDescent="0.25">
      <c r="B215">
        <v>150</v>
      </c>
      <c r="C215">
        <f>$I$37</f>
        <v>2</v>
      </c>
      <c r="D215">
        <f>ROUNDUP(K109/1.25,0)</f>
        <v>16</v>
      </c>
      <c r="E215">
        <f>ROUNDUP(K109/0.625,0)</f>
        <v>32</v>
      </c>
      <c r="F215">
        <f>ROUNDUP((K109/1.25)*D215,0)</f>
        <v>249</v>
      </c>
      <c r="G215">
        <f t="shared" si="193"/>
        <v>349.70000000000005</v>
      </c>
      <c r="H215">
        <f t="shared" si="198"/>
        <v>29</v>
      </c>
      <c r="I215">
        <v>5</v>
      </c>
      <c r="K215">
        <f t="shared" si="194"/>
        <v>669</v>
      </c>
      <c r="L215">
        <f t="shared" si="195"/>
        <v>30</v>
      </c>
      <c r="M215">
        <f t="shared" si="196"/>
        <v>34</v>
      </c>
      <c r="O215">
        <f t="shared" si="199"/>
        <v>2037.4</v>
      </c>
      <c r="P215">
        <f t="shared" si="200"/>
        <v>118</v>
      </c>
      <c r="Q215">
        <f t="shared" si="197"/>
        <v>78</v>
      </c>
      <c r="R215">
        <v>2</v>
      </c>
      <c r="AU215">
        <v>49.2</v>
      </c>
    </row>
    <row r="216" spans="2:63" x14ac:dyDescent="0.25">
      <c r="B216">
        <v>200</v>
      </c>
      <c r="C216">
        <f>$J$37</f>
        <v>2</v>
      </c>
      <c r="D216">
        <f t="shared" ref="D216:D223" si="201">ROUNDUP(K110/1.25,0)</f>
        <v>18</v>
      </c>
      <c r="E216">
        <f t="shared" ref="E216:E223" si="202">ROUNDUP(K110/0.625,0)</f>
        <v>36</v>
      </c>
      <c r="F216">
        <f t="shared" ref="F216:F222" si="203">ROUNDUP((K110/1.25)*D216,0)</f>
        <v>323</v>
      </c>
      <c r="G216">
        <f t="shared" si="193"/>
        <v>448.50000000000006</v>
      </c>
      <c r="H216">
        <f t="shared" si="198"/>
        <v>33</v>
      </c>
      <c r="I216">
        <v>5</v>
      </c>
      <c r="K216">
        <f t="shared" si="194"/>
        <v>861.2</v>
      </c>
      <c r="L216">
        <f t="shared" si="195"/>
        <v>34</v>
      </c>
      <c r="M216">
        <f t="shared" si="196"/>
        <v>38</v>
      </c>
      <c r="O216">
        <f t="shared" si="199"/>
        <v>2619.4</v>
      </c>
      <c r="P216">
        <f t="shared" si="200"/>
        <v>134</v>
      </c>
      <c r="Q216">
        <f t="shared" si="197"/>
        <v>86</v>
      </c>
      <c r="R216">
        <v>2</v>
      </c>
      <c r="AU216">
        <v>68.8</v>
      </c>
    </row>
    <row r="217" spans="2:63" x14ac:dyDescent="0.25">
      <c r="B217">
        <v>300</v>
      </c>
      <c r="C217">
        <f>$K$37</f>
        <v>3</v>
      </c>
      <c r="D217">
        <f t="shared" si="201"/>
        <v>18</v>
      </c>
      <c r="E217">
        <f t="shared" si="202"/>
        <v>36</v>
      </c>
      <c r="F217">
        <f t="shared" si="203"/>
        <v>323</v>
      </c>
      <c r="G217">
        <f t="shared" si="193"/>
        <v>448.50000000000006</v>
      </c>
      <c r="H217">
        <f t="shared" si="198"/>
        <v>33</v>
      </c>
      <c r="I217">
        <v>5</v>
      </c>
      <c r="K217">
        <f>E217*J111+K111+E217*0.9</f>
        <v>861.2</v>
      </c>
      <c r="L217">
        <f t="shared" si="195"/>
        <v>34</v>
      </c>
      <c r="M217">
        <f t="shared" si="196"/>
        <v>38</v>
      </c>
      <c r="O217">
        <f t="shared" si="199"/>
        <v>3929.1000000000004</v>
      </c>
      <c r="P217">
        <f t="shared" si="200"/>
        <v>201</v>
      </c>
      <c r="Q217">
        <f t="shared" si="197"/>
        <v>129</v>
      </c>
      <c r="R217">
        <v>2</v>
      </c>
      <c r="AK217" t="s">
        <v>1097</v>
      </c>
      <c r="AL217" t="s">
        <v>1097</v>
      </c>
      <c r="AU217">
        <v>96.2</v>
      </c>
    </row>
    <row r="218" spans="2:63" x14ac:dyDescent="0.25">
      <c r="B218">
        <v>400</v>
      </c>
      <c r="C218">
        <f>$L$37</f>
        <v>4</v>
      </c>
      <c r="D218">
        <f t="shared" si="201"/>
        <v>18</v>
      </c>
      <c r="E218">
        <f t="shared" si="202"/>
        <v>36</v>
      </c>
      <c r="F218">
        <f t="shared" si="203"/>
        <v>323</v>
      </c>
      <c r="G218">
        <f t="shared" si="193"/>
        <v>448.50000000000006</v>
      </c>
      <c r="H218">
        <f t="shared" si="198"/>
        <v>33</v>
      </c>
      <c r="I218">
        <v>5</v>
      </c>
      <c r="K218">
        <f t="shared" si="194"/>
        <v>861.2</v>
      </c>
      <c r="L218">
        <f t="shared" si="195"/>
        <v>34</v>
      </c>
      <c r="M218">
        <f t="shared" si="196"/>
        <v>38</v>
      </c>
      <c r="O218">
        <f t="shared" si="199"/>
        <v>5238.8</v>
      </c>
      <c r="P218">
        <f t="shared" si="200"/>
        <v>268</v>
      </c>
      <c r="Q218">
        <f t="shared" si="197"/>
        <v>172</v>
      </c>
      <c r="R218">
        <v>2</v>
      </c>
      <c r="V218" t="s">
        <v>782</v>
      </c>
      <c r="AD218" t="s">
        <v>783</v>
      </c>
      <c r="AE218" t="s">
        <v>785</v>
      </c>
      <c r="AF218" t="s">
        <v>786</v>
      </c>
      <c r="AG218" t="s">
        <v>787</v>
      </c>
      <c r="AH218" t="s">
        <v>787</v>
      </c>
      <c r="AI218" t="s">
        <v>788</v>
      </c>
      <c r="AJ218" t="s">
        <v>788</v>
      </c>
      <c r="AK218" t="s">
        <v>789</v>
      </c>
      <c r="AL218" t="s">
        <v>790</v>
      </c>
      <c r="AU218">
        <v>118.2</v>
      </c>
    </row>
    <row r="219" spans="2:63" x14ac:dyDescent="0.25">
      <c r="B219">
        <v>500</v>
      </c>
      <c r="C219">
        <f>$M$37</f>
        <v>4</v>
      </c>
      <c r="D219">
        <f t="shared" si="201"/>
        <v>20</v>
      </c>
      <c r="E219">
        <f t="shared" si="202"/>
        <v>40</v>
      </c>
      <c r="F219">
        <f>ROUNDUP((K113/1.25)*D219,0)</f>
        <v>400</v>
      </c>
      <c r="G219">
        <f t="shared" si="193"/>
        <v>550.5</v>
      </c>
      <c r="H219">
        <f t="shared" si="198"/>
        <v>37</v>
      </c>
      <c r="I219">
        <v>5</v>
      </c>
      <c r="K219">
        <f t="shared" si="194"/>
        <v>1061</v>
      </c>
      <c r="L219">
        <f t="shared" si="195"/>
        <v>38</v>
      </c>
      <c r="M219">
        <f t="shared" si="196"/>
        <v>42</v>
      </c>
      <c r="O219">
        <f t="shared" si="199"/>
        <v>6446</v>
      </c>
      <c r="P219">
        <f t="shared" si="200"/>
        <v>300</v>
      </c>
      <c r="Q219">
        <f t="shared" si="197"/>
        <v>188</v>
      </c>
      <c r="R219">
        <v>2</v>
      </c>
      <c r="V219" t="s">
        <v>781</v>
      </c>
      <c r="AD219">
        <v>0.55000000000000004</v>
      </c>
      <c r="AE219">
        <v>0.94</v>
      </c>
      <c r="AF219">
        <v>1.1000000000000001</v>
      </c>
      <c r="AG219">
        <v>0.8</v>
      </c>
      <c r="AH219">
        <v>0.8</v>
      </c>
      <c r="AI219">
        <v>1.3</v>
      </c>
      <c r="AJ219">
        <v>1.3</v>
      </c>
      <c r="AK219">
        <v>3</v>
      </c>
      <c r="AL219">
        <v>1.6</v>
      </c>
      <c r="AU219">
        <v>152</v>
      </c>
    </row>
    <row r="220" spans="2:63" x14ac:dyDescent="0.25">
      <c r="B220">
        <v>600</v>
      </c>
      <c r="C220">
        <f>$N$37</f>
        <v>5</v>
      </c>
      <c r="D220">
        <f t="shared" si="201"/>
        <v>20</v>
      </c>
      <c r="E220">
        <f t="shared" si="202"/>
        <v>40</v>
      </c>
      <c r="F220">
        <f t="shared" si="203"/>
        <v>392</v>
      </c>
      <c r="G220">
        <f t="shared" si="193"/>
        <v>539.5</v>
      </c>
      <c r="H220">
        <f t="shared" si="198"/>
        <v>37</v>
      </c>
      <c r="I220">
        <v>5</v>
      </c>
      <c r="K220">
        <f t="shared" si="194"/>
        <v>1040.5</v>
      </c>
      <c r="L220">
        <f t="shared" si="195"/>
        <v>38</v>
      </c>
      <c r="M220">
        <f t="shared" si="196"/>
        <v>42</v>
      </c>
      <c r="O220">
        <f t="shared" si="199"/>
        <v>7900</v>
      </c>
      <c r="P220">
        <f t="shared" si="200"/>
        <v>375</v>
      </c>
      <c r="Q220">
        <f t="shared" si="197"/>
        <v>235</v>
      </c>
      <c r="R220">
        <v>2</v>
      </c>
      <c r="V220" t="s">
        <v>784</v>
      </c>
      <c r="AD220">
        <v>47</v>
      </c>
      <c r="AE220">
        <v>66</v>
      </c>
      <c r="AF220">
        <v>87</v>
      </c>
      <c r="AG220">
        <v>145</v>
      </c>
      <c r="AH220">
        <v>145</v>
      </c>
      <c r="AI220">
        <v>210</v>
      </c>
      <c r="AJ220">
        <v>210</v>
      </c>
      <c r="AK220">
        <v>230</v>
      </c>
      <c r="AL220">
        <v>265</v>
      </c>
      <c r="AU220">
        <v>395.5</v>
      </c>
    </row>
    <row r="221" spans="2:63" x14ac:dyDescent="0.25">
      <c r="B221">
        <v>700</v>
      </c>
      <c r="C221">
        <f>$O$37</f>
        <v>6</v>
      </c>
      <c r="D221">
        <f t="shared" si="201"/>
        <v>20</v>
      </c>
      <c r="E221">
        <f t="shared" si="202"/>
        <v>39</v>
      </c>
      <c r="F221">
        <f t="shared" si="203"/>
        <v>388</v>
      </c>
      <c r="G221">
        <f t="shared" si="193"/>
        <v>532.90000000000009</v>
      </c>
      <c r="H221">
        <f t="shared" si="198"/>
        <v>37</v>
      </c>
      <c r="I221">
        <v>5</v>
      </c>
      <c r="K221">
        <f t="shared" si="194"/>
        <v>1003.1000000000001</v>
      </c>
      <c r="L221">
        <f t="shared" si="195"/>
        <v>37</v>
      </c>
      <c r="M221">
        <f t="shared" si="196"/>
        <v>41</v>
      </c>
      <c r="O221">
        <f t="shared" si="199"/>
        <v>9216.0000000000018</v>
      </c>
      <c r="P221">
        <f t="shared" si="200"/>
        <v>444</v>
      </c>
      <c r="Q221">
        <f t="shared" si="197"/>
        <v>276</v>
      </c>
      <c r="R221">
        <v>2</v>
      </c>
      <c r="AU221">
        <v>456</v>
      </c>
    </row>
    <row r="222" spans="2:63" x14ac:dyDescent="0.25">
      <c r="B222">
        <v>800</v>
      </c>
      <c r="C222">
        <f>$P$37</f>
        <v>7</v>
      </c>
      <c r="D222">
        <f t="shared" si="201"/>
        <v>20</v>
      </c>
      <c r="E222">
        <f t="shared" si="202"/>
        <v>39</v>
      </c>
      <c r="F222">
        <f t="shared" si="203"/>
        <v>384</v>
      </c>
      <c r="G222">
        <f t="shared" si="193"/>
        <v>528.5</v>
      </c>
      <c r="H222">
        <f t="shared" si="198"/>
        <v>37</v>
      </c>
      <c r="I222">
        <v>5</v>
      </c>
      <c r="K222">
        <f t="shared" si="194"/>
        <v>995.1</v>
      </c>
      <c r="L222">
        <f t="shared" si="195"/>
        <v>37</v>
      </c>
      <c r="M222">
        <f t="shared" si="196"/>
        <v>41</v>
      </c>
      <c r="O222">
        <f t="shared" si="199"/>
        <v>10665.199999999999</v>
      </c>
      <c r="P222">
        <f t="shared" si="200"/>
        <v>518</v>
      </c>
      <c r="Q222">
        <f t="shared" si="197"/>
        <v>322</v>
      </c>
      <c r="R222">
        <v>2</v>
      </c>
      <c r="V222" t="s">
        <v>807</v>
      </c>
      <c r="AU222">
        <v>459</v>
      </c>
    </row>
    <row r="223" spans="2:63" x14ac:dyDescent="0.25">
      <c r="B223">
        <v>1000</v>
      </c>
      <c r="C223">
        <f>$Q$37</f>
        <v>8</v>
      </c>
      <c r="D223">
        <f t="shared" si="201"/>
        <v>20</v>
      </c>
      <c r="E223">
        <f t="shared" si="202"/>
        <v>40</v>
      </c>
      <c r="F223">
        <f>ROUNDUP((K117/1.25)*D223,0)</f>
        <v>400</v>
      </c>
      <c r="G223">
        <f t="shared" si="193"/>
        <v>550.5</v>
      </c>
      <c r="H223">
        <f t="shared" si="198"/>
        <v>37</v>
      </c>
      <c r="I223">
        <v>5</v>
      </c>
      <c r="K223">
        <f>E223*J117+K117+E223*0.9</f>
        <v>1061</v>
      </c>
      <c r="L223">
        <f t="shared" si="195"/>
        <v>38</v>
      </c>
      <c r="M223">
        <f t="shared" si="196"/>
        <v>42</v>
      </c>
      <c r="O223">
        <f>(K223+G223)*$C223</f>
        <v>12892</v>
      </c>
      <c r="P223">
        <f>(L223+H223)*$C223</f>
        <v>600</v>
      </c>
      <c r="Q223">
        <f t="shared" si="197"/>
        <v>376</v>
      </c>
      <c r="R223">
        <v>2</v>
      </c>
      <c r="V223" t="s">
        <v>0</v>
      </c>
      <c r="AB223" t="s">
        <v>808</v>
      </c>
      <c r="AC223" t="s">
        <v>808</v>
      </c>
      <c r="AD223" t="s">
        <v>809</v>
      </c>
      <c r="AE223" t="s">
        <v>809</v>
      </c>
      <c r="AF223" t="s">
        <v>810</v>
      </c>
      <c r="AG223" t="s">
        <v>810</v>
      </c>
      <c r="AH223" t="s">
        <v>810</v>
      </c>
      <c r="AU223">
        <v>701</v>
      </c>
    </row>
    <row r="224" spans="2:63" x14ac:dyDescent="0.25">
      <c r="V224" t="s">
        <v>778</v>
      </c>
      <c r="AU224">
        <v>943</v>
      </c>
    </row>
    <row r="225" spans="2:48" x14ac:dyDescent="0.25">
      <c r="V225" t="s">
        <v>779</v>
      </c>
      <c r="AB225">
        <v>480</v>
      </c>
      <c r="AC225">
        <v>480</v>
      </c>
      <c r="AD225">
        <v>1000</v>
      </c>
      <c r="AE225">
        <v>1000</v>
      </c>
      <c r="AF225">
        <v>2200</v>
      </c>
      <c r="AG225">
        <v>2200</v>
      </c>
      <c r="AH225">
        <v>2200</v>
      </c>
      <c r="AU225">
        <v>1441.25</v>
      </c>
    </row>
    <row r="226" spans="2:48" x14ac:dyDescent="0.25">
      <c r="B226" t="s">
        <v>1368</v>
      </c>
      <c r="V226" t="s">
        <v>784</v>
      </c>
      <c r="AB226">
        <f>(AB225/1000)*60</f>
        <v>28.799999999999997</v>
      </c>
      <c r="AC226">
        <f t="shared" ref="AC226:AH226" si="204">(AC225/1000)*60</f>
        <v>28.799999999999997</v>
      </c>
      <c r="AD226">
        <f t="shared" si="204"/>
        <v>60</v>
      </c>
      <c r="AE226">
        <f t="shared" si="204"/>
        <v>60</v>
      </c>
      <c r="AF226">
        <f t="shared" si="204"/>
        <v>132</v>
      </c>
      <c r="AG226">
        <f t="shared" si="204"/>
        <v>132</v>
      </c>
      <c r="AH226">
        <f t="shared" si="204"/>
        <v>132</v>
      </c>
      <c r="AU226">
        <v>1683.65</v>
      </c>
    </row>
    <row r="227" spans="2:48" x14ac:dyDescent="0.25">
      <c r="B227" t="s">
        <v>1369</v>
      </c>
      <c r="C227">
        <v>8</v>
      </c>
      <c r="F227" t="s">
        <v>1388</v>
      </c>
      <c r="G227">
        <f>(C230/(60*60))*365.25</f>
        <v>243.5</v>
      </c>
      <c r="AU227">
        <v>1925.95</v>
      </c>
    </row>
    <row r="228" spans="2:48" x14ac:dyDescent="0.25">
      <c r="B228" t="s">
        <v>471</v>
      </c>
      <c r="C228">
        <f>5*60</f>
        <v>300</v>
      </c>
      <c r="D228" t="s">
        <v>1370</v>
      </c>
      <c r="AU228">
        <v>2408.4749999999999</v>
      </c>
    </row>
    <row r="229" spans="2:48" x14ac:dyDescent="0.25">
      <c r="AF229" t="s">
        <v>1098</v>
      </c>
      <c r="AU229">
        <v>2650.875</v>
      </c>
    </row>
    <row r="230" spans="2:48" x14ac:dyDescent="0.25">
      <c r="C230">
        <f>C228*C227</f>
        <v>2400</v>
      </c>
      <c r="D230" t="s">
        <v>1387</v>
      </c>
      <c r="AF230">
        <v>0.37</v>
      </c>
      <c r="AU230">
        <v>3335.0749999999998</v>
      </c>
    </row>
    <row r="231" spans="2:48" x14ac:dyDescent="0.25">
      <c r="AF231">
        <v>80</v>
      </c>
    </row>
    <row r="232" spans="2:48" x14ac:dyDescent="0.25">
      <c r="B232" t="s">
        <v>156</v>
      </c>
      <c r="C232" t="s">
        <v>1371</v>
      </c>
      <c r="D232" t="s">
        <v>618</v>
      </c>
      <c r="E232" t="s">
        <v>1372</v>
      </c>
      <c r="H232" t="s">
        <v>1373</v>
      </c>
      <c r="J232" t="s">
        <v>731</v>
      </c>
      <c r="K232" t="s">
        <v>1378</v>
      </c>
      <c r="L232" t="s">
        <v>794</v>
      </c>
      <c r="M232" t="s">
        <v>1379</v>
      </c>
      <c r="O232" t="s">
        <v>1295</v>
      </c>
      <c r="P232" t="s">
        <v>1385</v>
      </c>
      <c r="R232" t="s">
        <v>1386</v>
      </c>
    </row>
    <row r="233" spans="2:48" x14ac:dyDescent="0.25">
      <c r="B233">
        <v>5</v>
      </c>
      <c r="C233">
        <f>'Flow and Constent'!I18</f>
        <v>1.875</v>
      </c>
      <c r="D233">
        <f>$B$37</f>
        <v>1</v>
      </c>
      <c r="E233">
        <f>C233/D233</f>
        <v>1.875</v>
      </c>
      <c r="H233">
        <f>((E233*1000)/$C$227)/($C$228/60)</f>
        <v>46.875</v>
      </c>
      <c r="J233" t="s">
        <v>1358</v>
      </c>
      <c r="K233">
        <v>1</v>
      </c>
      <c r="L233">
        <f>D305</f>
        <v>184.8</v>
      </c>
      <c r="M233">
        <f>L233*K233*D233</f>
        <v>184.8</v>
      </c>
      <c r="O233">
        <v>0.15</v>
      </c>
      <c r="P233">
        <f>O233*K233*D233</f>
        <v>0.15</v>
      </c>
      <c r="R233">
        <f>P233*$G$227</f>
        <v>36.524999999999999</v>
      </c>
      <c r="S233" s="18">
        <f>R233/1000</f>
        <v>3.6525000000000002E-2</v>
      </c>
    </row>
    <row r="234" spans="2:48" x14ac:dyDescent="0.25">
      <c r="B234">
        <v>10</v>
      </c>
      <c r="C234">
        <f>'Flow and Constent'!I19</f>
        <v>3.75</v>
      </c>
      <c r="D234">
        <f>$C$37</f>
        <v>1</v>
      </c>
      <c r="E234">
        <f t="shared" ref="E234:E247" si="205">C234/D234</f>
        <v>3.75</v>
      </c>
      <c r="H234">
        <f t="shared" ref="H234:H247" si="206">((E234*1000)/$C$227)/($C$228/60)</f>
        <v>93.75</v>
      </c>
      <c r="J234" t="s">
        <v>1358</v>
      </c>
      <c r="K234">
        <v>1</v>
      </c>
      <c r="L234">
        <f>D305</f>
        <v>184.8</v>
      </c>
      <c r="M234">
        <f t="shared" ref="M234:M247" si="207">L234*K234*D234</f>
        <v>184.8</v>
      </c>
      <c r="O234">
        <v>0.15</v>
      </c>
      <c r="P234">
        <f t="shared" ref="P234:P247" si="208">O234*K234*D234</f>
        <v>0.15</v>
      </c>
      <c r="R234">
        <f t="shared" ref="R234:R247" si="209">P234*$G$227</f>
        <v>36.524999999999999</v>
      </c>
      <c r="S234" s="18">
        <f t="shared" ref="S234:S247" si="210">R234/1000</f>
        <v>3.6525000000000002E-2</v>
      </c>
    </row>
    <row r="235" spans="2:48" x14ac:dyDescent="0.25">
      <c r="B235">
        <v>20</v>
      </c>
      <c r="C235">
        <f>'Flow and Constent'!I20</f>
        <v>7.5</v>
      </c>
      <c r="D235">
        <f>$D$37</f>
        <v>1</v>
      </c>
      <c r="E235">
        <f t="shared" si="205"/>
        <v>7.5</v>
      </c>
      <c r="H235">
        <f t="shared" si="206"/>
        <v>187.5</v>
      </c>
      <c r="J235" t="s">
        <v>1360</v>
      </c>
      <c r="K235">
        <v>1</v>
      </c>
      <c r="L235">
        <f>D306</f>
        <v>231.6</v>
      </c>
      <c r="M235">
        <f t="shared" si="207"/>
        <v>231.6</v>
      </c>
      <c r="O235">
        <v>0.25</v>
      </c>
      <c r="P235">
        <f t="shared" si="208"/>
        <v>0.25</v>
      </c>
      <c r="R235">
        <f t="shared" si="209"/>
        <v>60.875</v>
      </c>
      <c r="S235" s="18">
        <f t="shared" si="210"/>
        <v>6.0874999999999999E-2</v>
      </c>
    </row>
    <row r="236" spans="2:48" x14ac:dyDescent="0.25">
      <c r="B236">
        <v>30</v>
      </c>
      <c r="C236">
        <f>'Flow and Constent'!I21</f>
        <v>11.25</v>
      </c>
      <c r="D236">
        <f>$E$37</f>
        <v>1</v>
      </c>
      <c r="E236">
        <f t="shared" si="205"/>
        <v>11.25</v>
      </c>
      <c r="H236">
        <f t="shared" si="206"/>
        <v>281.25</v>
      </c>
      <c r="J236" t="s">
        <v>1339</v>
      </c>
      <c r="K236">
        <v>1</v>
      </c>
      <c r="L236">
        <f>D294</f>
        <v>217.98</v>
      </c>
      <c r="M236">
        <f t="shared" si="207"/>
        <v>217.98</v>
      </c>
      <c r="O236">
        <v>0.66500000000000004</v>
      </c>
      <c r="P236">
        <f t="shared" si="208"/>
        <v>0.66500000000000004</v>
      </c>
      <c r="R236">
        <f t="shared" si="209"/>
        <v>161.92750000000001</v>
      </c>
      <c r="S236" s="18">
        <f t="shared" si="210"/>
        <v>0.1619275</v>
      </c>
      <c r="AM236" t="s">
        <v>156</v>
      </c>
      <c r="AN236" t="s">
        <v>1407</v>
      </c>
      <c r="AO236" t="s">
        <v>828</v>
      </c>
      <c r="AR236" t="s">
        <v>156</v>
      </c>
      <c r="AS236" t="s">
        <v>1407</v>
      </c>
      <c r="AT236" t="s">
        <v>828</v>
      </c>
      <c r="AU236" t="s">
        <v>1408</v>
      </c>
      <c r="AV236" t="s">
        <v>3</v>
      </c>
    </row>
    <row r="237" spans="2:48" x14ac:dyDescent="0.25">
      <c r="B237">
        <v>50</v>
      </c>
      <c r="C237">
        <f>'Flow and Constent'!I22</f>
        <v>18.75</v>
      </c>
      <c r="D237">
        <f>$F$37</f>
        <v>1</v>
      </c>
      <c r="E237">
        <f t="shared" si="205"/>
        <v>18.75</v>
      </c>
      <c r="H237">
        <f t="shared" si="206"/>
        <v>468.75</v>
      </c>
      <c r="J237" t="s">
        <v>1343</v>
      </c>
      <c r="K237">
        <v>1</v>
      </c>
      <c r="L237">
        <f>D296</f>
        <v>330.12</v>
      </c>
      <c r="M237">
        <f t="shared" si="207"/>
        <v>330.12</v>
      </c>
      <c r="O237">
        <v>0.9</v>
      </c>
      <c r="P237">
        <f t="shared" si="208"/>
        <v>0.9</v>
      </c>
      <c r="R237">
        <f t="shared" si="209"/>
        <v>219.15</v>
      </c>
      <c r="S237" s="18">
        <f t="shared" si="210"/>
        <v>0.21915000000000001</v>
      </c>
      <c r="AM237">
        <v>5</v>
      </c>
      <c r="AN237">
        <v>1.3181450570189184</v>
      </c>
      <c r="AO237" t="s">
        <v>792</v>
      </c>
      <c r="AR237">
        <v>5</v>
      </c>
      <c r="AS237">
        <f>ROUND(AN237,1)</f>
        <v>1.3</v>
      </c>
      <c r="AT237" t="s">
        <v>792</v>
      </c>
      <c r="AU237">
        <v>0.03</v>
      </c>
    </row>
    <row r="238" spans="2:48" x14ac:dyDescent="0.25">
      <c r="B238">
        <v>75</v>
      </c>
      <c r="C238">
        <f>'Flow and Constent'!I23</f>
        <v>28.125</v>
      </c>
      <c r="D238">
        <f>$G$37</f>
        <v>1</v>
      </c>
      <c r="E238">
        <f t="shared" si="205"/>
        <v>28.125</v>
      </c>
      <c r="H238">
        <f t="shared" si="206"/>
        <v>703.125</v>
      </c>
      <c r="J238" t="s">
        <v>1374</v>
      </c>
      <c r="K238">
        <v>1</v>
      </c>
      <c r="L238">
        <f>D308</f>
        <v>645.6</v>
      </c>
      <c r="M238">
        <f t="shared" si="207"/>
        <v>645.6</v>
      </c>
      <c r="O238">
        <v>1.5</v>
      </c>
      <c r="P238">
        <f t="shared" si="208"/>
        <v>1.5</v>
      </c>
      <c r="R238">
        <f t="shared" si="209"/>
        <v>365.25</v>
      </c>
      <c r="S238" s="18">
        <f t="shared" si="210"/>
        <v>0.36525000000000002</v>
      </c>
      <c r="V238" t="s">
        <v>791</v>
      </c>
      <c r="AM238">
        <v>10</v>
      </c>
      <c r="AN238">
        <v>2.6362901140378368</v>
      </c>
      <c r="AO238" t="s">
        <v>793</v>
      </c>
      <c r="AR238">
        <v>10</v>
      </c>
      <c r="AS238">
        <f t="shared" ref="AS238:AS240" si="211">ROUND(AN238,1)</f>
        <v>2.6</v>
      </c>
      <c r="AT238" t="s">
        <v>793</v>
      </c>
      <c r="AU238">
        <v>0.06</v>
      </c>
    </row>
    <row r="239" spans="2:48" x14ac:dyDescent="0.25">
      <c r="B239">
        <v>100</v>
      </c>
      <c r="C239">
        <f>'Flow and Constent'!I24</f>
        <v>37.5</v>
      </c>
      <c r="D239">
        <f>$H$37</f>
        <v>1</v>
      </c>
      <c r="E239">
        <f t="shared" si="205"/>
        <v>37.5</v>
      </c>
      <c r="H239">
        <f t="shared" si="206"/>
        <v>937.5</v>
      </c>
      <c r="J239" t="s">
        <v>1376</v>
      </c>
      <c r="K239">
        <v>1</v>
      </c>
      <c r="L239">
        <f>D310</f>
        <v>940.8</v>
      </c>
      <c r="M239">
        <f t="shared" si="207"/>
        <v>940.8</v>
      </c>
      <c r="O239">
        <v>1.7</v>
      </c>
      <c r="P239">
        <f t="shared" si="208"/>
        <v>1.7</v>
      </c>
      <c r="R239">
        <f t="shared" si="209"/>
        <v>413.95</v>
      </c>
      <c r="S239" s="18">
        <f t="shared" si="210"/>
        <v>0.41394999999999998</v>
      </c>
      <c r="AG239" t="s">
        <v>2</v>
      </c>
      <c r="AK239" t="s">
        <v>853</v>
      </c>
      <c r="AM239">
        <v>20</v>
      </c>
      <c r="AN239">
        <v>5.2725802280756735</v>
      </c>
      <c r="AO239" t="s">
        <v>830</v>
      </c>
      <c r="AR239">
        <v>20</v>
      </c>
      <c r="AS239">
        <f t="shared" si="211"/>
        <v>5.3</v>
      </c>
      <c r="AT239" t="s">
        <v>830</v>
      </c>
      <c r="AU239">
        <v>0.37</v>
      </c>
    </row>
    <row r="240" spans="2:48" x14ac:dyDescent="0.25">
      <c r="B240">
        <v>150</v>
      </c>
      <c r="C240">
        <f>'Flow and Constent'!I25</f>
        <v>56.25</v>
      </c>
      <c r="D240">
        <f>$I$37</f>
        <v>2</v>
      </c>
      <c r="E240">
        <f t="shared" si="205"/>
        <v>28.125</v>
      </c>
      <c r="H240">
        <f t="shared" si="206"/>
        <v>703.125</v>
      </c>
      <c r="J240" t="s">
        <v>1374</v>
      </c>
      <c r="K240">
        <v>1</v>
      </c>
      <c r="L240">
        <f>D308</f>
        <v>645.6</v>
      </c>
      <c r="M240">
        <f t="shared" si="207"/>
        <v>1291.2</v>
      </c>
      <c r="O240">
        <v>1.5</v>
      </c>
      <c r="P240">
        <f t="shared" si="208"/>
        <v>3</v>
      </c>
      <c r="R240">
        <f t="shared" si="209"/>
        <v>730.5</v>
      </c>
      <c r="S240" s="18">
        <f t="shared" si="210"/>
        <v>0.73050000000000004</v>
      </c>
      <c r="V240" t="s">
        <v>792</v>
      </c>
      <c r="AE240" t="s">
        <v>792</v>
      </c>
      <c r="AF240">
        <v>69.95</v>
      </c>
      <c r="AG240" t="s">
        <v>829</v>
      </c>
      <c r="AH240" t="s">
        <v>796</v>
      </c>
      <c r="AI240" s="4" t="s">
        <v>797</v>
      </c>
      <c r="AJ240" s="35">
        <v>44476</v>
      </c>
      <c r="AK240">
        <v>4</v>
      </c>
      <c r="AM240">
        <v>30</v>
      </c>
      <c r="AN240">
        <v>7.908870342113512</v>
      </c>
      <c r="AO240" t="s">
        <v>830</v>
      </c>
      <c r="AR240">
        <v>30</v>
      </c>
      <c r="AS240">
        <f t="shared" si="211"/>
        <v>7.9</v>
      </c>
      <c r="AT240" t="s">
        <v>830</v>
      </c>
      <c r="AU240">
        <v>0.37</v>
      </c>
    </row>
    <row r="241" spans="2:47" x14ac:dyDescent="0.25">
      <c r="B241">
        <v>200</v>
      </c>
      <c r="C241">
        <f>'Flow and Constent'!I26</f>
        <v>75</v>
      </c>
      <c r="D241">
        <f>$J$37</f>
        <v>2</v>
      </c>
      <c r="E241">
        <f t="shared" si="205"/>
        <v>37.5</v>
      </c>
      <c r="H241">
        <f t="shared" si="206"/>
        <v>937.5</v>
      </c>
      <c r="J241" t="s">
        <v>1376</v>
      </c>
      <c r="K241">
        <v>1</v>
      </c>
      <c r="L241">
        <f>D310</f>
        <v>940.8</v>
      </c>
      <c r="M241">
        <f t="shared" si="207"/>
        <v>1881.6</v>
      </c>
      <c r="O241">
        <v>1.7</v>
      </c>
      <c r="P241">
        <f t="shared" si="208"/>
        <v>3.4</v>
      </c>
      <c r="R241">
        <f t="shared" si="209"/>
        <v>827.9</v>
      </c>
      <c r="S241" s="18">
        <f t="shared" si="210"/>
        <v>0.82789999999999997</v>
      </c>
      <c r="V241" t="s">
        <v>3</v>
      </c>
      <c r="W241" t="s">
        <v>794</v>
      </c>
      <c r="X241" t="s">
        <v>795</v>
      </c>
      <c r="Y241" t="s">
        <v>412</v>
      </c>
      <c r="AE241" t="s">
        <v>793</v>
      </c>
      <c r="AF241">
        <v>84.95</v>
      </c>
      <c r="AG241" t="s">
        <v>829</v>
      </c>
      <c r="AH241" t="s">
        <v>796</v>
      </c>
      <c r="AI241" s="4" t="s">
        <v>801</v>
      </c>
      <c r="AJ241" s="35">
        <v>44476</v>
      </c>
      <c r="AK241">
        <v>6</v>
      </c>
      <c r="AM241">
        <v>50</v>
      </c>
      <c r="AN241">
        <v>13.181450570189188</v>
      </c>
      <c r="AO241" t="s">
        <v>830</v>
      </c>
      <c r="AR241">
        <v>50</v>
      </c>
      <c r="AS241">
        <f>ROUND(AN241,0)</f>
        <v>13</v>
      </c>
      <c r="AT241" t="s">
        <v>830</v>
      </c>
      <c r="AU241">
        <v>0.37</v>
      </c>
    </row>
    <row r="242" spans="2:47" x14ac:dyDescent="0.25">
      <c r="B242">
        <v>300</v>
      </c>
      <c r="C242">
        <f>'Flow and Constent'!I27</f>
        <v>112.5</v>
      </c>
      <c r="D242">
        <f>$K$37</f>
        <v>3</v>
      </c>
      <c r="E242">
        <f t="shared" si="205"/>
        <v>37.5</v>
      </c>
      <c r="H242">
        <f t="shared" si="206"/>
        <v>937.5</v>
      </c>
      <c r="J242" t="s">
        <v>1376</v>
      </c>
      <c r="K242">
        <v>1</v>
      </c>
      <c r="L242">
        <f>D310</f>
        <v>940.8</v>
      </c>
      <c r="M242">
        <f t="shared" si="207"/>
        <v>2822.3999999999996</v>
      </c>
      <c r="O242">
        <v>1.7</v>
      </c>
      <c r="P242">
        <f t="shared" si="208"/>
        <v>5.0999999999999996</v>
      </c>
      <c r="R242">
        <f t="shared" si="209"/>
        <v>1241.8499999999999</v>
      </c>
      <c r="S242" s="18">
        <f t="shared" si="210"/>
        <v>1.2418499999999999</v>
      </c>
      <c r="V242" t="s">
        <v>796</v>
      </c>
      <c r="W242">
        <v>69.95</v>
      </c>
      <c r="X242" s="4" t="s">
        <v>797</v>
      </c>
      <c r="Y242" s="35">
        <v>44476</v>
      </c>
      <c r="AE242" t="s">
        <v>798</v>
      </c>
      <c r="AF242">
        <v>129.57</v>
      </c>
      <c r="AG242" t="s">
        <v>829</v>
      </c>
      <c r="AH242" t="s">
        <v>802</v>
      </c>
      <c r="AI242" t="s">
        <v>804</v>
      </c>
      <c r="AJ242" s="35">
        <v>44476</v>
      </c>
      <c r="AK242">
        <v>8.5</v>
      </c>
      <c r="AM242">
        <v>75</v>
      </c>
      <c r="AN242">
        <v>19.772175855283777</v>
      </c>
      <c r="AO242" t="s">
        <v>830</v>
      </c>
      <c r="AR242">
        <v>75</v>
      </c>
      <c r="AS242">
        <f t="shared" ref="AS242:AS251" si="212">ROUND(AN242,0)</f>
        <v>20</v>
      </c>
      <c r="AT242" t="s">
        <v>830</v>
      </c>
      <c r="AU242">
        <v>0.37</v>
      </c>
    </row>
    <row r="243" spans="2:47" x14ac:dyDescent="0.25">
      <c r="B243">
        <v>400</v>
      </c>
      <c r="C243">
        <f>'Flow and Constent'!I28</f>
        <v>150</v>
      </c>
      <c r="D243">
        <f>$L$37</f>
        <v>4</v>
      </c>
      <c r="E243">
        <f t="shared" si="205"/>
        <v>37.5</v>
      </c>
      <c r="H243">
        <f t="shared" si="206"/>
        <v>937.5</v>
      </c>
      <c r="J243" t="s">
        <v>1376</v>
      </c>
      <c r="K243">
        <v>1</v>
      </c>
      <c r="L243">
        <f>D310</f>
        <v>940.8</v>
      </c>
      <c r="M243">
        <f t="shared" si="207"/>
        <v>3763.2</v>
      </c>
      <c r="O243">
        <v>1.7</v>
      </c>
      <c r="P243">
        <f t="shared" si="208"/>
        <v>6.8</v>
      </c>
      <c r="R243">
        <f t="shared" si="209"/>
        <v>1655.8</v>
      </c>
      <c r="S243" s="18">
        <f t="shared" si="210"/>
        <v>1.6557999999999999</v>
      </c>
      <c r="V243" t="s">
        <v>825</v>
      </c>
      <c r="W243">
        <v>69.95</v>
      </c>
      <c r="X243" s="4" t="s">
        <v>826</v>
      </c>
      <c r="Y243" s="35">
        <v>44476</v>
      </c>
      <c r="AE243" t="s">
        <v>799</v>
      </c>
      <c r="AF243">
        <v>283.2</v>
      </c>
      <c r="AG243" t="s">
        <v>829</v>
      </c>
      <c r="AH243" t="s">
        <v>813</v>
      </c>
      <c r="AI243" t="s">
        <v>823</v>
      </c>
      <c r="AJ243" s="35">
        <v>44476</v>
      </c>
      <c r="AK243">
        <v>10</v>
      </c>
      <c r="AM243">
        <v>100</v>
      </c>
      <c r="AN243">
        <v>26.362901140378376</v>
      </c>
      <c r="AO243" t="s">
        <v>830</v>
      </c>
      <c r="AR243">
        <v>100</v>
      </c>
      <c r="AS243">
        <f t="shared" si="212"/>
        <v>26</v>
      </c>
      <c r="AT243" t="s">
        <v>830</v>
      </c>
      <c r="AU243">
        <v>0.37</v>
      </c>
    </row>
    <row r="244" spans="2:47" x14ac:dyDescent="0.25">
      <c r="B244">
        <v>500</v>
      </c>
      <c r="C244">
        <f>'Flow and Constent'!I29</f>
        <v>187.5</v>
      </c>
      <c r="D244">
        <f>$M$37</f>
        <v>4</v>
      </c>
      <c r="E244">
        <f t="shared" si="205"/>
        <v>46.875</v>
      </c>
      <c r="H244">
        <f t="shared" si="206"/>
        <v>1171.875</v>
      </c>
      <c r="J244" t="s">
        <v>1347</v>
      </c>
      <c r="K244">
        <v>2</v>
      </c>
      <c r="L244">
        <f>D$298*2</f>
        <v>945.6</v>
      </c>
      <c r="M244">
        <f t="shared" si="207"/>
        <v>7564.8</v>
      </c>
      <c r="O244">
        <v>0.55000000000000004</v>
      </c>
      <c r="P244">
        <f t="shared" si="208"/>
        <v>4.4000000000000004</v>
      </c>
      <c r="R244">
        <f t="shared" si="209"/>
        <v>1071.4000000000001</v>
      </c>
      <c r="S244" s="18">
        <f t="shared" si="210"/>
        <v>1.0714000000000001</v>
      </c>
      <c r="V244" t="s">
        <v>299</v>
      </c>
      <c r="W244">
        <v>105.9</v>
      </c>
      <c r="X244" s="4" t="s">
        <v>827</v>
      </c>
      <c r="Y244" s="35">
        <v>44476</v>
      </c>
      <c r="AE244" t="s">
        <v>800</v>
      </c>
      <c r="AF244">
        <v>378</v>
      </c>
      <c r="AG244" t="s">
        <v>829</v>
      </c>
      <c r="AH244" t="s">
        <v>813</v>
      </c>
      <c r="AI244" t="s">
        <v>824</v>
      </c>
      <c r="AJ244" s="35">
        <v>44476</v>
      </c>
      <c r="AM244">
        <v>150</v>
      </c>
      <c r="AN244">
        <v>39.544351710567554</v>
      </c>
      <c r="AO244" t="s">
        <v>831</v>
      </c>
      <c r="AR244">
        <v>150</v>
      </c>
      <c r="AS244">
        <f t="shared" si="212"/>
        <v>40</v>
      </c>
      <c r="AT244" t="s">
        <v>831</v>
      </c>
      <c r="AU244">
        <v>0.4</v>
      </c>
    </row>
    <row r="245" spans="2:47" x14ac:dyDescent="0.25">
      <c r="B245">
        <v>600</v>
      </c>
      <c r="C245">
        <f>'Flow and Constent'!I30</f>
        <v>225</v>
      </c>
      <c r="D245">
        <f>$N$37</f>
        <v>5</v>
      </c>
      <c r="E245">
        <f t="shared" si="205"/>
        <v>45</v>
      </c>
      <c r="H245">
        <f t="shared" si="206"/>
        <v>1125</v>
      </c>
      <c r="J245" t="s">
        <v>1347</v>
      </c>
      <c r="K245">
        <v>2</v>
      </c>
      <c r="L245">
        <f>D$298*2</f>
        <v>945.6</v>
      </c>
      <c r="M245">
        <f t="shared" si="207"/>
        <v>9456</v>
      </c>
      <c r="O245">
        <v>0.55000000000000004</v>
      </c>
      <c r="P245">
        <f t="shared" si="208"/>
        <v>5.5</v>
      </c>
      <c r="R245">
        <f t="shared" si="209"/>
        <v>1339.25</v>
      </c>
      <c r="S245" s="18">
        <f t="shared" si="210"/>
        <v>1.3392500000000001</v>
      </c>
      <c r="AE245" t="str">
        <f>_xlfn.CONCAT(AF275,AF276)</f>
        <v>HaileaVB-390G</v>
      </c>
      <c r="AF245">
        <v>180.41</v>
      </c>
      <c r="AG245" t="s">
        <v>829</v>
      </c>
      <c r="AH245" t="s">
        <v>802</v>
      </c>
      <c r="AI245" s="4" t="s">
        <v>804</v>
      </c>
      <c r="AJ245" s="35">
        <v>44476</v>
      </c>
      <c r="AK245">
        <v>10.199999999999999</v>
      </c>
      <c r="AM245">
        <v>200</v>
      </c>
      <c r="AN245">
        <v>52.725802280756753</v>
      </c>
      <c r="AO245" t="s">
        <v>831</v>
      </c>
      <c r="AR245">
        <v>200</v>
      </c>
      <c r="AS245">
        <f t="shared" si="212"/>
        <v>53</v>
      </c>
      <c r="AT245" t="s">
        <v>831</v>
      </c>
      <c r="AU245">
        <v>0.4</v>
      </c>
    </row>
    <row r="246" spans="2:47" x14ac:dyDescent="0.25">
      <c r="B246">
        <v>800</v>
      </c>
      <c r="C246">
        <f>'Flow and Constent'!I31</f>
        <v>300</v>
      </c>
      <c r="D246">
        <f>$P$37</f>
        <v>7</v>
      </c>
      <c r="E246">
        <f t="shared" si="205"/>
        <v>42.857142857142854</v>
      </c>
      <c r="H246">
        <f t="shared" si="206"/>
        <v>1071.4285714285713</v>
      </c>
      <c r="J246" t="s">
        <v>1347</v>
      </c>
      <c r="K246">
        <v>2</v>
      </c>
      <c r="L246">
        <f>D$298*2</f>
        <v>945.6</v>
      </c>
      <c r="M246">
        <f t="shared" si="207"/>
        <v>13238.4</v>
      </c>
      <c r="O246">
        <v>0.55000000000000004</v>
      </c>
      <c r="P246">
        <f t="shared" si="208"/>
        <v>7.7000000000000011</v>
      </c>
      <c r="R246">
        <f t="shared" si="209"/>
        <v>1874.9500000000003</v>
      </c>
      <c r="S246" s="18">
        <f t="shared" si="210"/>
        <v>1.8749500000000003</v>
      </c>
      <c r="V246" t="s">
        <v>793</v>
      </c>
      <c r="AE246" t="str">
        <f>_xlfn.CONCAT(AF275,AF285)</f>
        <v>HaileaVB-800G</v>
      </c>
      <c r="AF246">
        <f>AG287</f>
        <v>267.74</v>
      </c>
      <c r="AG246" t="s">
        <v>829</v>
      </c>
      <c r="AH246" t="s">
        <v>802</v>
      </c>
      <c r="AI246" t="s">
        <v>804</v>
      </c>
      <c r="AJ246" s="35">
        <v>44476</v>
      </c>
      <c r="AK246">
        <v>17</v>
      </c>
      <c r="AM246">
        <v>300</v>
      </c>
      <c r="AN246">
        <v>79.088703421135108</v>
      </c>
      <c r="AO246" t="s">
        <v>832</v>
      </c>
      <c r="AR246">
        <v>300</v>
      </c>
      <c r="AS246">
        <f t="shared" si="212"/>
        <v>79</v>
      </c>
      <c r="AT246" t="s">
        <v>832</v>
      </c>
      <c r="AU246">
        <v>0.6</v>
      </c>
    </row>
    <row r="247" spans="2:47" x14ac:dyDescent="0.25">
      <c r="B247">
        <v>1000</v>
      </c>
      <c r="C247">
        <f>'Flow and Constent'!I32</f>
        <v>375</v>
      </c>
      <c r="D247">
        <f>$Q$37</f>
        <v>8</v>
      </c>
      <c r="E247">
        <f t="shared" si="205"/>
        <v>46.875</v>
      </c>
      <c r="H247">
        <f t="shared" si="206"/>
        <v>1171.875</v>
      </c>
      <c r="J247" t="s">
        <v>1347</v>
      </c>
      <c r="K247">
        <v>2</v>
      </c>
      <c r="L247">
        <f>D$298*2</f>
        <v>945.6</v>
      </c>
      <c r="M247">
        <f t="shared" si="207"/>
        <v>15129.6</v>
      </c>
      <c r="O247">
        <v>0.55000000000000004</v>
      </c>
      <c r="P247">
        <f t="shared" si="208"/>
        <v>8.8000000000000007</v>
      </c>
      <c r="R247">
        <f t="shared" si="209"/>
        <v>2142.8000000000002</v>
      </c>
      <c r="S247" s="18">
        <f t="shared" si="210"/>
        <v>2.1428000000000003</v>
      </c>
      <c r="V247" t="s">
        <v>3</v>
      </c>
      <c r="W247" t="s">
        <v>794</v>
      </c>
      <c r="X247" t="s">
        <v>795</v>
      </c>
      <c r="Y247" t="s">
        <v>412</v>
      </c>
      <c r="AE247" t="str">
        <f>_xlfn.CONCAT(AF275,AF292)</f>
        <v>HaileaVB-2200G</v>
      </c>
      <c r="AF247">
        <v>396.29</v>
      </c>
      <c r="AG247" t="s">
        <v>829</v>
      </c>
      <c r="AH247" t="s">
        <v>802</v>
      </c>
      <c r="AI247" t="s">
        <v>804</v>
      </c>
      <c r="AJ247" s="35">
        <v>44476</v>
      </c>
      <c r="AK247">
        <v>17</v>
      </c>
      <c r="AM247">
        <v>400</v>
      </c>
      <c r="AN247">
        <v>105.45160456151351</v>
      </c>
      <c r="AO247" t="s">
        <v>832</v>
      </c>
      <c r="AR247">
        <v>400</v>
      </c>
      <c r="AS247">
        <f t="shared" si="212"/>
        <v>105</v>
      </c>
      <c r="AT247" t="s">
        <v>832</v>
      </c>
      <c r="AU247">
        <v>0.6</v>
      </c>
    </row>
    <row r="248" spans="2:47" x14ac:dyDescent="0.25">
      <c r="V248" t="s">
        <v>796</v>
      </c>
      <c r="W248">
        <v>84.95</v>
      </c>
      <c r="X248" s="4" t="s">
        <v>801</v>
      </c>
      <c r="Y248" s="35">
        <v>44476</v>
      </c>
      <c r="AM248">
        <v>500</v>
      </c>
      <c r="AN248">
        <v>131.81450570189185</v>
      </c>
      <c r="AO248" t="s">
        <v>832</v>
      </c>
      <c r="AR248">
        <v>500</v>
      </c>
      <c r="AS248">
        <f t="shared" si="212"/>
        <v>132</v>
      </c>
      <c r="AT248" t="s">
        <v>832</v>
      </c>
      <c r="AU248">
        <v>0.6</v>
      </c>
    </row>
    <row r="249" spans="2:47" x14ac:dyDescent="0.25">
      <c r="V249" t="s">
        <v>802</v>
      </c>
      <c r="W249">
        <v>84.91</v>
      </c>
      <c r="X249" t="s">
        <v>803</v>
      </c>
      <c r="Y249" s="35">
        <v>44476</v>
      </c>
      <c r="AM249">
        <v>600</v>
      </c>
      <c r="AN249">
        <v>158.17740684227022</v>
      </c>
      <c r="AR249">
        <v>600</v>
      </c>
      <c r="AS249">
        <f t="shared" si="212"/>
        <v>158</v>
      </c>
      <c r="AT249" t="s">
        <v>788</v>
      </c>
      <c r="AU249">
        <v>1.1000000000000001</v>
      </c>
    </row>
    <row r="250" spans="2:47" x14ac:dyDescent="0.25">
      <c r="H250" t="s">
        <v>1380</v>
      </c>
      <c r="V250" t="s">
        <v>813</v>
      </c>
      <c r="W250">
        <v>85.99</v>
      </c>
      <c r="X250" t="s">
        <v>821</v>
      </c>
      <c r="Y250" s="35">
        <v>44476</v>
      </c>
      <c r="AM250">
        <v>800</v>
      </c>
      <c r="AN250">
        <v>210.90320912302701</v>
      </c>
      <c r="AR250">
        <v>800</v>
      </c>
      <c r="AS250">
        <f t="shared" si="212"/>
        <v>211</v>
      </c>
      <c r="AT250" t="s">
        <v>1097</v>
      </c>
      <c r="AU250">
        <v>2.2000000000000002</v>
      </c>
    </row>
    <row r="251" spans="2:47" x14ac:dyDescent="0.25">
      <c r="H251" t="s">
        <v>1381</v>
      </c>
      <c r="AM251">
        <v>1000</v>
      </c>
      <c r="AN251">
        <v>263.62901140378369</v>
      </c>
      <c r="AR251">
        <v>1000</v>
      </c>
      <c r="AS251">
        <f t="shared" si="212"/>
        <v>264</v>
      </c>
      <c r="AT251" t="s">
        <v>1097</v>
      </c>
      <c r="AU251">
        <v>2.2000000000000002</v>
      </c>
    </row>
    <row r="252" spans="2:47" x14ac:dyDescent="0.25">
      <c r="J252" t="str">
        <f t="shared" ref="J252:M266" si="213">J233</f>
        <v>APP SV 150A</v>
      </c>
      <c r="K252">
        <f t="shared" si="213"/>
        <v>1</v>
      </c>
      <c r="L252">
        <f t="shared" si="213"/>
        <v>184.8</v>
      </c>
      <c r="M252">
        <f t="shared" si="213"/>
        <v>184.8</v>
      </c>
    </row>
    <row r="253" spans="2:47" x14ac:dyDescent="0.25">
      <c r="J253" t="str">
        <f t="shared" si="213"/>
        <v>APP SV 150A</v>
      </c>
      <c r="K253">
        <f t="shared" si="213"/>
        <v>1</v>
      </c>
      <c r="L253">
        <f t="shared" si="213"/>
        <v>184.8</v>
      </c>
      <c r="M253">
        <f t="shared" si="213"/>
        <v>184.8</v>
      </c>
      <c r="V253" t="s">
        <v>798</v>
      </c>
    </row>
    <row r="254" spans="2:47" x14ac:dyDescent="0.25">
      <c r="J254" t="str">
        <f t="shared" si="213"/>
        <v>APP SV 250A</v>
      </c>
      <c r="K254">
        <f t="shared" si="213"/>
        <v>1</v>
      </c>
      <c r="L254">
        <f t="shared" si="213"/>
        <v>231.6</v>
      </c>
      <c r="M254">
        <f t="shared" si="213"/>
        <v>231.6</v>
      </c>
      <c r="V254" t="s">
        <v>3</v>
      </c>
      <c r="W254" t="s">
        <v>794</v>
      </c>
      <c r="X254" t="s">
        <v>795</v>
      </c>
      <c r="Y254" t="s">
        <v>412</v>
      </c>
    </row>
    <row r="255" spans="2:47" x14ac:dyDescent="0.25">
      <c r="J255" t="str">
        <f t="shared" si="213"/>
        <v>Clarke HSEC</v>
      </c>
      <c r="K255">
        <f t="shared" si="213"/>
        <v>1</v>
      </c>
      <c r="L255">
        <f t="shared" si="213"/>
        <v>217.98</v>
      </c>
      <c r="M255">
        <f t="shared" si="213"/>
        <v>217.98</v>
      </c>
      <c r="V255" t="s">
        <v>796</v>
      </c>
      <c r="W255">
        <v>129.94999999999999</v>
      </c>
      <c r="X255" t="s">
        <v>805</v>
      </c>
      <c r="Y255" s="35">
        <v>44476</v>
      </c>
    </row>
    <row r="256" spans="2:47" x14ac:dyDescent="0.25">
      <c r="J256" t="str">
        <f t="shared" si="213"/>
        <v>DAB Feka</v>
      </c>
      <c r="K256">
        <f t="shared" si="213"/>
        <v>1</v>
      </c>
      <c r="L256">
        <f t="shared" si="213"/>
        <v>330.12</v>
      </c>
      <c r="M256">
        <f t="shared" si="213"/>
        <v>330.12</v>
      </c>
      <c r="V256" t="s">
        <v>802</v>
      </c>
      <c r="W256">
        <v>129.57</v>
      </c>
      <c r="X256" t="s">
        <v>804</v>
      </c>
      <c r="Y256" s="35">
        <v>44476</v>
      </c>
    </row>
    <row r="257" spans="8:25" x14ac:dyDescent="0.25">
      <c r="J257" t="str">
        <f t="shared" si="213"/>
        <v>JS 1500 SV</v>
      </c>
      <c r="K257">
        <f t="shared" si="213"/>
        <v>1</v>
      </c>
      <c r="L257">
        <f t="shared" si="213"/>
        <v>645.6</v>
      </c>
      <c r="M257">
        <f t="shared" si="213"/>
        <v>645.6</v>
      </c>
      <c r="V257" t="s">
        <v>813</v>
      </c>
      <c r="W257">
        <v>129.6</v>
      </c>
      <c r="X257" t="s">
        <v>822</v>
      </c>
      <c r="Y257" s="35">
        <v>44476</v>
      </c>
    </row>
    <row r="258" spans="8:25" x14ac:dyDescent="0.25">
      <c r="J258" t="str">
        <f t="shared" si="213"/>
        <v>TT Pumps DGO 200/280</v>
      </c>
      <c r="K258">
        <f t="shared" si="213"/>
        <v>1</v>
      </c>
      <c r="L258">
        <f t="shared" si="213"/>
        <v>940.8</v>
      </c>
      <c r="M258">
        <f t="shared" si="213"/>
        <v>940.8</v>
      </c>
    </row>
    <row r="259" spans="8:25" x14ac:dyDescent="0.25">
      <c r="J259" t="str">
        <f t="shared" si="213"/>
        <v>JS 1500 SV</v>
      </c>
      <c r="K259">
        <f t="shared" si="213"/>
        <v>1</v>
      </c>
      <c r="L259">
        <f t="shared" si="213"/>
        <v>645.6</v>
      </c>
      <c r="M259">
        <f t="shared" si="213"/>
        <v>1291.2</v>
      </c>
    </row>
    <row r="260" spans="8:25" x14ac:dyDescent="0.25">
      <c r="J260" t="str">
        <f t="shared" si="213"/>
        <v>TT Pumps DGO 200/280</v>
      </c>
      <c r="K260">
        <f t="shared" si="213"/>
        <v>1</v>
      </c>
      <c r="L260">
        <f t="shared" si="213"/>
        <v>940.8</v>
      </c>
      <c r="M260">
        <f t="shared" si="213"/>
        <v>1881.6</v>
      </c>
    </row>
    <row r="261" spans="8:25" x14ac:dyDescent="0.25">
      <c r="J261" t="str">
        <f t="shared" si="213"/>
        <v>TT Pumps DGO 200/280</v>
      </c>
      <c r="K261">
        <f t="shared" si="213"/>
        <v>1</v>
      </c>
      <c r="L261">
        <f t="shared" si="213"/>
        <v>940.8</v>
      </c>
      <c r="M261">
        <f t="shared" si="213"/>
        <v>2822.3999999999996</v>
      </c>
    </row>
    <row r="262" spans="8:25" x14ac:dyDescent="0.25">
      <c r="J262" t="str">
        <f t="shared" si="213"/>
        <v>TT Pumps DGO 200/280</v>
      </c>
      <c r="K262">
        <f t="shared" si="213"/>
        <v>1</v>
      </c>
      <c r="L262">
        <f t="shared" si="213"/>
        <v>940.8</v>
      </c>
      <c r="M262">
        <f t="shared" si="213"/>
        <v>3763.2</v>
      </c>
      <c r="V262" t="s">
        <v>799</v>
      </c>
    </row>
    <row r="263" spans="8:25" x14ac:dyDescent="0.25">
      <c r="J263" t="str">
        <f t="shared" si="213"/>
        <v>Pedrollo VXM</v>
      </c>
      <c r="K263">
        <f t="shared" si="213"/>
        <v>2</v>
      </c>
      <c r="L263">
        <f t="shared" si="213"/>
        <v>945.6</v>
      </c>
      <c r="M263">
        <f t="shared" si="213"/>
        <v>7564.8</v>
      </c>
      <c r="V263" t="s">
        <v>3</v>
      </c>
      <c r="W263" t="s">
        <v>794</v>
      </c>
      <c r="X263" t="s">
        <v>795</v>
      </c>
      <c r="Y263" t="s">
        <v>412</v>
      </c>
    </row>
    <row r="264" spans="8:25" x14ac:dyDescent="0.25">
      <c r="J264" t="str">
        <f t="shared" si="213"/>
        <v>Pedrollo VXM</v>
      </c>
      <c r="K264">
        <f t="shared" si="213"/>
        <v>2</v>
      </c>
      <c r="L264">
        <f t="shared" si="213"/>
        <v>945.6</v>
      </c>
      <c r="M264">
        <f t="shared" si="213"/>
        <v>9456</v>
      </c>
      <c r="V264" t="s">
        <v>796</v>
      </c>
      <c r="W264">
        <v>289.95</v>
      </c>
      <c r="X264" t="s">
        <v>805</v>
      </c>
      <c r="Y264" s="35">
        <v>44476</v>
      </c>
    </row>
    <row r="265" spans="8:25" x14ac:dyDescent="0.25">
      <c r="J265" t="str">
        <f t="shared" si="213"/>
        <v>Pedrollo VXM</v>
      </c>
      <c r="K265">
        <f t="shared" si="213"/>
        <v>2</v>
      </c>
      <c r="L265">
        <f t="shared" si="213"/>
        <v>945.6</v>
      </c>
      <c r="M265">
        <f t="shared" si="213"/>
        <v>13238.4</v>
      </c>
      <c r="V265" t="s">
        <v>802</v>
      </c>
      <c r="W265">
        <v>290.57</v>
      </c>
      <c r="X265" t="s">
        <v>804</v>
      </c>
      <c r="Y265" s="35">
        <v>44476</v>
      </c>
    </row>
    <row r="266" spans="8:25" x14ac:dyDescent="0.25">
      <c r="J266" t="str">
        <f t="shared" si="213"/>
        <v>Pedrollo VXM</v>
      </c>
      <c r="K266">
        <f t="shared" si="213"/>
        <v>2</v>
      </c>
      <c r="L266">
        <f t="shared" si="213"/>
        <v>945.6</v>
      </c>
      <c r="M266">
        <f t="shared" si="213"/>
        <v>15129.6</v>
      </c>
      <c r="V266" t="s">
        <v>813</v>
      </c>
      <c r="W266">
        <v>283.2</v>
      </c>
      <c r="X266" t="s">
        <v>823</v>
      </c>
      <c r="Y266" s="35">
        <v>44476</v>
      </c>
    </row>
    <row r="269" spans="8:25" x14ac:dyDescent="0.25">
      <c r="H269" t="s">
        <v>1382</v>
      </c>
      <c r="V269" t="s">
        <v>800</v>
      </c>
    </row>
    <row r="270" spans="8:25" x14ac:dyDescent="0.25">
      <c r="J270" t="s">
        <v>731</v>
      </c>
      <c r="K270" t="s">
        <v>1383</v>
      </c>
      <c r="L270" t="s">
        <v>1384</v>
      </c>
      <c r="V270" t="s">
        <v>3</v>
      </c>
      <c r="W270" t="s">
        <v>794</v>
      </c>
      <c r="X270" t="s">
        <v>795</v>
      </c>
      <c r="Y270" t="s">
        <v>412</v>
      </c>
    </row>
    <row r="271" spans="8:25" x14ac:dyDescent="0.25">
      <c r="J271" t="str">
        <f t="shared" ref="J271:J285" si="214">J252</f>
        <v>APP SV 150A</v>
      </c>
      <c r="K271">
        <f t="shared" ref="K271:K285" si="215">(K252+K233)*D233</f>
        <v>2</v>
      </c>
      <c r="L271">
        <f t="shared" ref="L271:L285" si="216">M233+M252</f>
        <v>369.6</v>
      </c>
      <c r="V271" t="s">
        <v>796</v>
      </c>
      <c r="W271">
        <v>395</v>
      </c>
      <c r="X271" t="s">
        <v>806</v>
      </c>
      <c r="Y271" s="35">
        <v>44476</v>
      </c>
    </row>
    <row r="272" spans="8:25" x14ac:dyDescent="0.25">
      <c r="J272" t="str">
        <f t="shared" si="214"/>
        <v>APP SV 150A</v>
      </c>
      <c r="K272">
        <f t="shared" si="215"/>
        <v>2</v>
      </c>
      <c r="L272">
        <f t="shared" si="216"/>
        <v>369.6</v>
      </c>
      <c r="V272" t="s">
        <v>802</v>
      </c>
      <c r="W272">
        <v>400.24</v>
      </c>
      <c r="X272" t="s">
        <v>804</v>
      </c>
      <c r="Y272" s="35">
        <v>44476</v>
      </c>
    </row>
    <row r="273" spans="10:43" x14ac:dyDescent="0.25">
      <c r="J273" t="str">
        <f t="shared" si="214"/>
        <v>APP SV 250A</v>
      </c>
      <c r="K273">
        <f t="shared" si="215"/>
        <v>2</v>
      </c>
      <c r="L273">
        <f t="shared" si="216"/>
        <v>463.2</v>
      </c>
      <c r="V273" t="s">
        <v>813</v>
      </c>
      <c r="W273">
        <v>378</v>
      </c>
      <c r="X273" t="s">
        <v>824</v>
      </c>
      <c r="Y273" s="35">
        <v>44476</v>
      </c>
      <c r="AM273" t="s">
        <v>794</v>
      </c>
      <c r="AN273" t="s">
        <v>3</v>
      </c>
      <c r="AQ273" t="s">
        <v>656</v>
      </c>
    </row>
    <row r="274" spans="10:43" x14ac:dyDescent="0.25">
      <c r="J274" t="str">
        <f t="shared" si="214"/>
        <v>Clarke HSEC</v>
      </c>
      <c r="K274">
        <f t="shared" si="215"/>
        <v>2</v>
      </c>
      <c r="L274">
        <f t="shared" si="216"/>
        <v>435.96</v>
      </c>
      <c r="AL274" t="s">
        <v>787</v>
      </c>
      <c r="AM274">
        <v>600</v>
      </c>
      <c r="AN274" t="s">
        <v>1096</v>
      </c>
      <c r="AQ274">
        <v>0.8</v>
      </c>
    </row>
    <row r="275" spans="10:43" x14ac:dyDescent="0.25">
      <c r="J275" t="str">
        <f t="shared" si="214"/>
        <v>DAB Feka</v>
      </c>
      <c r="K275">
        <f t="shared" si="215"/>
        <v>2</v>
      </c>
      <c r="L275">
        <f t="shared" si="216"/>
        <v>660.24</v>
      </c>
      <c r="AF275" t="s">
        <v>807</v>
      </c>
      <c r="AL275" t="s">
        <v>788</v>
      </c>
      <c r="AM275">
        <v>700</v>
      </c>
    </row>
    <row r="276" spans="10:43" x14ac:dyDescent="0.25">
      <c r="J276" t="str">
        <f t="shared" si="214"/>
        <v>JS 1500 SV</v>
      </c>
      <c r="K276">
        <f t="shared" si="215"/>
        <v>2</v>
      </c>
      <c r="L276">
        <f t="shared" si="216"/>
        <v>1291.2</v>
      </c>
      <c r="V276" t="s">
        <v>812</v>
      </c>
      <c r="AA276" t="s">
        <v>817</v>
      </c>
      <c r="AF276" t="s">
        <v>808</v>
      </c>
    </row>
    <row r="277" spans="10:43" x14ac:dyDescent="0.25">
      <c r="J277" t="str">
        <f t="shared" si="214"/>
        <v>TT Pumps DGO 200/280</v>
      </c>
      <c r="K277">
        <f t="shared" si="215"/>
        <v>2</v>
      </c>
      <c r="L277">
        <f t="shared" si="216"/>
        <v>1881.6</v>
      </c>
      <c r="V277" t="s">
        <v>3</v>
      </c>
      <c r="W277" t="s">
        <v>794</v>
      </c>
      <c r="X277" t="s">
        <v>795</v>
      </c>
      <c r="Y277" t="s">
        <v>412</v>
      </c>
      <c r="AA277" t="s">
        <v>3</v>
      </c>
      <c r="AB277" t="s">
        <v>794</v>
      </c>
      <c r="AC277" t="s">
        <v>795</v>
      </c>
      <c r="AD277" t="s">
        <v>412</v>
      </c>
      <c r="AF277" t="s">
        <v>3</v>
      </c>
      <c r="AG277" t="s">
        <v>794</v>
      </c>
      <c r="AH277" t="s">
        <v>795</v>
      </c>
      <c r="AI277" t="s">
        <v>412</v>
      </c>
    </row>
    <row r="278" spans="10:43" x14ac:dyDescent="0.25">
      <c r="J278" t="str">
        <f t="shared" si="214"/>
        <v>JS 1500 SV</v>
      </c>
      <c r="K278">
        <f t="shared" si="215"/>
        <v>4</v>
      </c>
      <c r="L278">
        <f t="shared" si="216"/>
        <v>2582.4</v>
      </c>
      <c r="V278" t="s">
        <v>813</v>
      </c>
      <c r="W278">
        <v>564</v>
      </c>
      <c r="X278" t="s">
        <v>814</v>
      </c>
      <c r="Y278" s="35">
        <v>44476</v>
      </c>
      <c r="AA278" t="s">
        <v>813</v>
      </c>
      <c r="AB278">
        <v>678</v>
      </c>
      <c r="AC278" t="s">
        <v>818</v>
      </c>
      <c r="AD278" s="35">
        <v>44476</v>
      </c>
      <c r="AF278" t="s">
        <v>802</v>
      </c>
      <c r="AG278">
        <v>180.41</v>
      </c>
      <c r="AH278" s="4" t="s">
        <v>804</v>
      </c>
      <c r="AI278" s="35">
        <v>44476</v>
      </c>
      <c r="AL278" t="s">
        <v>1097</v>
      </c>
      <c r="AM278">
        <v>900</v>
      </c>
    </row>
    <row r="279" spans="10:43" x14ac:dyDescent="0.25">
      <c r="J279" t="str">
        <f t="shared" si="214"/>
        <v>TT Pumps DGO 200/280</v>
      </c>
      <c r="K279">
        <f t="shared" si="215"/>
        <v>4</v>
      </c>
      <c r="L279">
        <f t="shared" si="216"/>
        <v>3763.2</v>
      </c>
    </row>
    <row r="280" spans="10:43" x14ac:dyDescent="0.25">
      <c r="J280" t="str">
        <f t="shared" si="214"/>
        <v>TT Pumps DGO 200/280</v>
      </c>
      <c r="K280">
        <f t="shared" si="215"/>
        <v>6</v>
      </c>
      <c r="L280">
        <f t="shared" si="216"/>
        <v>5644.7999999999993</v>
      </c>
    </row>
    <row r="281" spans="10:43" x14ac:dyDescent="0.25">
      <c r="J281" t="str">
        <f t="shared" si="214"/>
        <v>TT Pumps DGO 200/280</v>
      </c>
      <c r="K281">
        <f t="shared" si="215"/>
        <v>8</v>
      </c>
      <c r="L281">
        <f t="shared" si="216"/>
        <v>7526.4</v>
      </c>
      <c r="V281" t="s">
        <v>815</v>
      </c>
      <c r="AA281" t="s">
        <v>819</v>
      </c>
    </row>
    <row r="282" spans="10:43" x14ac:dyDescent="0.25">
      <c r="J282" t="str">
        <f t="shared" si="214"/>
        <v>Pedrollo VXM</v>
      </c>
      <c r="K282">
        <f t="shared" si="215"/>
        <v>16</v>
      </c>
      <c r="L282">
        <f t="shared" si="216"/>
        <v>15129.6</v>
      </c>
      <c r="V282" t="s">
        <v>3</v>
      </c>
      <c r="W282" t="s">
        <v>794</v>
      </c>
      <c r="X282" t="s">
        <v>795</v>
      </c>
      <c r="Y282" t="s">
        <v>412</v>
      </c>
      <c r="AA282" t="s">
        <v>3</v>
      </c>
      <c r="AB282" t="s">
        <v>794</v>
      </c>
      <c r="AC282" t="s">
        <v>795</v>
      </c>
      <c r="AD282" t="s">
        <v>412</v>
      </c>
    </row>
    <row r="283" spans="10:43" x14ac:dyDescent="0.25">
      <c r="J283" t="str">
        <f t="shared" si="214"/>
        <v>Pedrollo VXM</v>
      </c>
      <c r="K283">
        <f t="shared" si="215"/>
        <v>20</v>
      </c>
      <c r="L283">
        <f t="shared" si="216"/>
        <v>18912</v>
      </c>
      <c r="V283" t="s">
        <v>813</v>
      </c>
      <c r="W283">
        <v>732</v>
      </c>
      <c r="X283" t="s">
        <v>816</v>
      </c>
      <c r="Y283" s="35">
        <v>44476</v>
      </c>
      <c r="AA283" t="s">
        <v>813</v>
      </c>
      <c r="AB283">
        <v>726</v>
      </c>
      <c r="AC283" t="s">
        <v>820</v>
      </c>
      <c r="AD283" s="35">
        <v>44476</v>
      </c>
    </row>
    <row r="284" spans="10:43" x14ac:dyDescent="0.25">
      <c r="J284" t="str">
        <f t="shared" si="214"/>
        <v>Pedrollo VXM</v>
      </c>
      <c r="K284">
        <f t="shared" si="215"/>
        <v>28</v>
      </c>
      <c r="L284">
        <f t="shared" si="216"/>
        <v>26476.799999999999</v>
      </c>
    </row>
    <row r="285" spans="10:43" x14ac:dyDescent="0.25">
      <c r="J285" t="str">
        <f t="shared" si="214"/>
        <v>Pedrollo VXM</v>
      </c>
      <c r="K285">
        <f t="shared" si="215"/>
        <v>32</v>
      </c>
      <c r="L285">
        <f t="shared" si="216"/>
        <v>30259.200000000001</v>
      </c>
      <c r="AF285" t="s">
        <v>809</v>
      </c>
    </row>
    <row r="286" spans="10:43" x14ac:dyDescent="0.25">
      <c r="AF286" t="s">
        <v>3</v>
      </c>
      <c r="AG286" t="s">
        <v>794</v>
      </c>
      <c r="AH286" t="s">
        <v>795</v>
      </c>
      <c r="AI286" t="s">
        <v>412</v>
      </c>
    </row>
    <row r="287" spans="10:43" x14ac:dyDescent="0.25">
      <c r="AF287" t="s">
        <v>802</v>
      </c>
      <c r="AG287">
        <v>267.74</v>
      </c>
      <c r="AH287" t="s">
        <v>804</v>
      </c>
      <c r="AI287" s="35">
        <v>44476</v>
      </c>
    </row>
    <row r="289" spans="2:35" x14ac:dyDescent="0.25">
      <c r="B289" t="s">
        <v>1294</v>
      </c>
    </row>
    <row r="290" spans="2:35" x14ac:dyDescent="0.25">
      <c r="C290">
        <f>(63*1000)/60</f>
        <v>1050</v>
      </c>
    </row>
    <row r="292" spans="2:35" x14ac:dyDescent="0.25">
      <c r="B292" t="str">
        <f>'Wet Well'!B39</f>
        <v>Sewage Pumps</v>
      </c>
      <c r="D292" t="str">
        <f>'Wet Well'!D39</f>
        <v>all at 230 v</v>
      </c>
      <c r="AF292" t="s">
        <v>811</v>
      </c>
    </row>
    <row r="293" spans="2:35" x14ac:dyDescent="0.25">
      <c r="B293" t="str">
        <f>'Wet Well'!B40</f>
        <v>Name</v>
      </c>
      <c r="C293" t="str">
        <f>'Wet Well'!C40</f>
        <v>Max Flow rate (l/min)</v>
      </c>
      <c r="D293" t="str">
        <f>'Wet Well'!D40</f>
        <v>Price</v>
      </c>
      <c r="F293" t="str">
        <f>'Wet Well'!F40</f>
        <v>Power (kW)</v>
      </c>
      <c r="H293" t="str">
        <f>'Wet Well'!H40</f>
        <v>Link</v>
      </c>
      <c r="I293" t="str">
        <f>'Wet Well'!I40</f>
        <v>Acessed</v>
      </c>
      <c r="AF293" t="s">
        <v>3</v>
      </c>
      <c r="AG293" t="s">
        <v>794</v>
      </c>
      <c r="AH293" t="s">
        <v>795</v>
      </c>
      <c r="AI293" t="s">
        <v>412</v>
      </c>
    </row>
    <row r="294" spans="2:35" x14ac:dyDescent="0.25">
      <c r="B294" t="str">
        <f>'Wet Well'!B41</f>
        <v>Clarke HSEC</v>
      </c>
      <c r="C294">
        <f>'Wet Well'!C41</f>
        <v>290</v>
      </c>
      <c r="D294">
        <f>'Wet Well'!D41</f>
        <v>217.98</v>
      </c>
      <c r="F294">
        <f>'Wet Well'!F41</f>
        <v>0.66500000000000004</v>
      </c>
      <c r="H294" t="str">
        <f>'Wet Well'!H41</f>
        <v>https://www.pumpsalesdirect.co.uk/clarke-hsec-650a-230v.html</v>
      </c>
      <c r="I294" s="35">
        <f>'Wet Well'!I41</f>
        <v>44511</v>
      </c>
      <c r="AF294" t="s">
        <v>802</v>
      </c>
      <c r="AG294">
        <v>396.29</v>
      </c>
      <c r="AH294" s="4" t="s">
        <v>804</v>
      </c>
      <c r="AI294" s="35">
        <v>44476</v>
      </c>
    </row>
    <row r="295" spans="2:35" x14ac:dyDescent="0.25">
      <c r="B295" t="str">
        <f>'Wet Well'!B42</f>
        <v>Clarke SWP900A</v>
      </c>
      <c r="C295">
        <f>'Wet Well'!C42</f>
        <v>350</v>
      </c>
      <c r="D295">
        <f>'Wet Well'!D42</f>
        <v>239.4</v>
      </c>
      <c r="F295">
        <f>'Wet Well'!F42</f>
        <v>1.1000000000000001</v>
      </c>
      <c r="H295" t="str">
        <f>'Wet Well'!H42</f>
        <v>https://www.pumpsalesdirect.co.uk/clarke-swp900a-heavy-duty-submersible-sewage-pump-with-float-switch-230v.html</v>
      </c>
      <c r="I295" s="35">
        <f>'Wet Well'!I42</f>
        <v>44511</v>
      </c>
    </row>
    <row r="296" spans="2:35" x14ac:dyDescent="0.25">
      <c r="B296" t="str">
        <f>'Wet Well'!B43</f>
        <v>DAB Feka</v>
      </c>
      <c r="C296">
        <f>'Wet Well'!C43</f>
        <v>533</v>
      </c>
      <c r="D296">
        <f>'Wet Well'!D43</f>
        <v>330.12</v>
      </c>
      <c r="F296">
        <f>'Wet Well'!F43</f>
        <v>0.9</v>
      </c>
      <c r="H296" t="str">
        <f>'Wet Well'!H43</f>
        <v>https://www.pumpsalesdirect.co.uk/dab-feka-vs-550-ma.html</v>
      </c>
      <c r="I296" s="35">
        <f>'Wet Well'!I43</f>
        <v>44511</v>
      </c>
    </row>
    <row r="297" spans="2:35" x14ac:dyDescent="0.25">
      <c r="B297" t="str">
        <f>'Wet Well'!B44</f>
        <v>JS 650 SV</v>
      </c>
      <c r="C297">
        <f>'Wet Well'!C44</f>
        <v>300</v>
      </c>
      <c r="D297">
        <f>'Wet Well'!D44</f>
        <v>354</v>
      </c>
      <c r="F297">
        <f>'Wet Well'!F44</f>
        <v>0</v>
      </c>
      <c r="H297" t="str">
        <f>'Wet Well'!H44</f>
        <v>https://www.pumpsalesdirect.co.uk/js-650sv-auto-230v.html</v>
      </c>
      <c r="I297" s="35">
        <f>'Wet Well'!I44</f>
        <v>44511</v>
      </c>
    </row>
    <row r="298" spans="2:35" x14ac:dyDescent="0.25">
      <c r="B298" t="str">
        <f>'Wet Well'!B45</f>
        <v>Pedrollo VXM</v>
      </c>
      <c r="C298">
        <f>'Wet Well'!C45</f>
        <v>650</v>
      </c>
      <c r="D298">
        <f>'Wet Well'!D45</f>
        <v>472.8</v>
      </c>
      <c r="F298">
        <f>'Wet Well'!F45</f>
        <v>0.55000000000000004</v>
      </c>
      <c r="H298" t="str">
        <f>'Wet Well'!H45</f>
        <v>https://www.pumpsalesdirect.co.uk/pedrollo-vxm-8-50.html</v>
      </c>
      <c r="I298" s="35">
        <f>'Wet Well'!I45</f>
        <v>44511</v>
      </c>
    </row>
    <row r="300" spans="2:35" x14ac:dyDescent="0.25">
      <c r="B300" t="str">
        <f>'Wet Well'!B47</f>
        <v>Hippo 50</v>
      </c>
      <c r="C300">
        <f>'Wet Well'!C47</f>
        <v>300</v>
      </c>
      <c r="D300">
        <f>'Wet Well'!D47</f>
        <v>538.79</v>
      </c>
      <c r="F300">
        <f>'Wet Well'!F47</f>
        <v>0.37</v>
      </c>
      <c r="H300" t="str">
        <f>'Wet Well'!H47</f>
        <v>https://www.jtpumps.co.uk/hippo-50-heavy-duty-sewage-submersible-pump-6m-lift-605-p.asp</v>
      </c>
      <c r="I300" s="35">
        <f>'Wet Well'!I47</f>
        <v>44511</v>
      </c>
    </row>
    <row r="302" spans="2:35" x14ac:dyDescent="0.25">
      <c r="B302" t="str">
        <f>'Wet Well'!B49</f>
        <v>Clarke HSEC 650A</v>
      </c>
      <c r="C302">
        <f>'Wet Well'!C49</f>
        <v>290</v>
      </c>
      <c r="D302">
        <f>'Wet Well'!D49</f>
        <v>274.8</v>
      </c>
      <c r="F302">
        <f>'Wet Well'!F49</f>
        <v>0.66500000000000004</v>
      </c>
      <c r="H302" t="str">
        <f>'Wet Well'!H49</f>
        <v>https://www.machinemart.co.uk/p/clarke-2inch-industrial-submersible-water-pump/</v>
      </c>
      <c r="I302" s="35">
        <f>'Wet Well'!I49</f>
        <v>44511</v>
      </c>
    </row>
    <row r="303" spans="2:35" x14ac:dyDescent="0.25">
      <c r="B303" t="str">
        <f>'Wet Well'!B50</f>
        <v>Clarke SWP900A</v>
      </c>
      <c r="C303">
        <f>'Wet Well'!C50</f>
        <v>350</v>
      </c>
      <c r="D303">
        <f>'Wet Well'!D50</f>
        <v>287.98</v>
      </c>
      <c r="F303">
        <f>'Wet Well'!F50</f>
        <v>1.1000000000000001</v>
      </c>
      <c r="H303" t="str">
        <f>'Wet Well'!H50</f>
        <v>https://www.machinemart.co.uk/p/clarke-swp900a-1-5-stainless-steel-submersibl/</v>
      </c>
      <c r="I303" s="35">
        <f>'Wet Well'!I50</f>
        <v>44511</v>
      </c>
    </row>
    <row r="305" spans="2:17" x14ac:dyDescent="0.25">
      <c r="B305" t="str">
        <f>'Wet Well'!B52</f>
        <v>APP SV 150A</v>
      </c>
      <c r="C305">
        <f>'Wet Well'!C52</f>
        <v>170</v>
      </c>
      <c r="D305">
        <f>'Wet Well'!D52</f>
        <v>184.8</v>
      </c>
      <c r="F305">
        <f>'Wet Well'!F52</f>
        <v>0.15</v>
      </c>
      <c r="H305" t="str">
        <f>'Wet Well'!H52</f>
        <v>https://floodandwaterpumps.co.uk/app-sv-submersible-stainless-steel-pump-4354-p.asp</v>
      </c>
      <c r="I305" s="35">
        <f>'Wet Well'!I52</f>
        <v>44511</v>
      </c>
    </row>
    <row r="306" spans="2:17" x14ac:dyDescent="0.25">
      <c r="B306" t="str">
        <f>'Wet Well'!B53</f>
        <v>APP SV 250A</v>
      </c>
      <c r="C306">
        <f>'Wet Well'!C53</f>
        <v>220</v>
      </c>
      <c r="D306">
        <f>'Wet Well'!D53</f>
        <v>231.6</v>
      </c>
      <c r="F306">
        <f>'Wet Well'!F53</f>
        <v>0.25</v>
      </c>
      <c r="H306" t="str">
        <f>'Wet Well'!H53</f>
        <v>https://floodandwaterpumps.co.uk/app-sv-submersible-stainless-steel-pump-4354-p.asp</v>
      </c>
      <c r="I306" s="35">
        <f>'Wet Well'!I53</f>
        <v>44511</v>
      </c>
    </row>
    <row r="308" spans="2:17" x14ac:dyDescent="0.25">
      <c r="B308" t="str">
        <f>'Wet Well'!B55</f>
        <v>JS 1500 SV</v>
      </c>
      <c r="C308">
        <f>'Wet Well'!C55</f>
        <v>750</v>
      </c>
      <c r="D308">
        <f>'Wet Well'!D55</f>
        <v>645.6</v>
      </c>
      <c r="F308">
        <f>'Wet Well'!F55</f>
        <v>1.5</v>
      </c>
      <c r="H308" t="str">
        <f>'Wet Well'!H55</f>
        <v>https://www.pumpsalesdirect.co.uk/js-1500-sv-submersible-sewage-vortex-pump-230v.html</v>
      </c>
      <c r="I308" s="35">
        <f>'Wet Well'!I55</f>
        <v>44511</v>
      </c>
    </row>
    <row r="310" spans="2:17" x14ac:dyDescent="0.25">
      <c r="B310" t="str">
        <f>'Wet Well'!B57</f>
        <v>TT Pumps DGO 200/280</v>
      </c>
      <c r="C310">
        <f>'Wet Well'!C57</f>
        <v>960</v>
      </c>
      <c r="D310">
        <f>'Wet Well'!D57</f>
        <v>940.8</v>
      </c>
      <c r="F310">
        <f>'Wet Well'!F57</f>
        <v>1.7</v>
      </c>
      <c r="H310" t="str">
        <f>'Wet Well'!H57</f>
        <v>https://www.pumpsalesdirect.co.uk/tt-pumps-dgo-200-2-80-submersible-sewage-pump-manual-230v.html</v>
      </c>
      <c r="I310" s="35">
        <f>'Wet Well'!I57</f>
        <v>44511</v>
      </c>
    </row>
    <row r="313" spans="2:17" x14ac:dyDescent="0.25">
      <c r="B313">
        <v>20</v>
      </c>
      <c r="C313">
        <v>15</v>
      </c>
      <c r="D313">
        <v>15</v>
      </c>
      <c r="E313">
        <v>15</v>
      </c>
      <c r="F313">
        <v>15</v>
      </c>
      <c r="G313">
        <v>15</v>
      </c>
      <c r="H313">
        <v>15</v>
      </c>
      <c r="I313">
        <v>15</v>
      </c>
      <c r="J313">
        <v>15</v>
      </c>
      <c r="K313">
        <v>15</v>
      </c>
      <c r="L313">
        <v>15</v>
      </c>
      <c r="M313">
        <v>15</v>
      </c>
      <c r="N313">
        <v>15</v>
      </c>
      <c r="O313">
        <v>15</v>
      </c>
      <c r="P313">
        <v>15</v>
      </c>
      <c r="Q313">
        <v>15</v>
      </c>
    </row>
    <row r="314" spans="2:17" x14ac:dyDescent="0.25">
      <c r="B314">
        <v>5</v>
      </c>
      <c r="C314">
        <v>10</v>
      </c>
      <c r="D314">
        <v>20</v>
      </c>
      <c r="E314">
        <v>30</v>
      </c>
      <c r="F314">
        <v>50</v>
      </c>
      <c r="G314">
        <v>75</v>
      </c>
      <c r="H314">
        <v>100</v>
      </c>
      <c r="I314">
        <v>150</v>
      </c>
      <c r="J314">
        <v>200</v>
      </c>
      <c r="K314">
        <v>300</v>
      </c>
      <c r="L314">
        <v>400</v>
      </c>
      <c r="M314">
        <v>500</v>
      </c>
      <c r="N314">
        <v>600</v>
      </c>
      <c r="O314">
        <v>700</v>
      </c>
      <c r="P314">
        <v>800</v>
      </c>
      <c r="Q314">
        <v>1000</v>
      </c>
    </row>
    <row r="316" spans="2:17" x14ac:dyDescent="0.25">
      <c r="B316">
        <f>B313*B314*0.25</f>
        <v>25</v>
      </c>
      <c r="C316">
        <f t="shared" ref="C316:Q316" si="217">C313*C314*0.25</f>
        <v>37.5</v>
      </c>
      <c r="D316">
        <f t="shared" si="217"/>
        <v>75</v>
      </c>
      <c r="E316">
        <f t="shared" si="217"/>
        <v>112.5</v>
      </c>
      <c r="F316">
        <f t="shared" si="217"/>
        <v>187.5</v>
      </c>
      <c r="G316">
        <f t="shared" si="217"/>
        <v>281.25</v>
      </c>
      <c r="H316">
        <f t="shared" si="217"/>
        <v>375</v>
      </c>
      <c r="I316">
        <f t="shared" si="217"/>
        <v>562.5</v>
      </c>
      <c r="J316">
        <f t="shared" si="217"/>
        <v>750</v>
      </c>
      <c r="K316">
        <f t="shared" si="217"/>
        <v>1125</v>
      </c>
      <c r="L316">
        <f t="shared" si="217"/>
        <v>1500</v>
      </c>
      <c r="M316">
        <f t="shared" si="217"/>
        <v>1875</v>
      </c>
      <c r="N316">
        <f t="shared" si="217"/>
        <v>2250</v>
      </c>
      <c r="O316">
        <f t="shared" si="217"/>
        <v>2625</v>
      </c>
      <c r="P316">
        <f t="shared" si="217"/>
        <v>3000</v>
      </c>
      <c r="Q316">
        <f t="shared" si="217"/>
        <v>3750</v>
      </c>
    </row>
    <row r="318" spans="2:17" x14ac:dyDescent="0.25">
      <c r="B318">
        <f t="shared" ref="B318:Q318" si="218">B24</f>
        <v>25</v>
      </c>
      <c r="C318">
        <f t="shared" si="218"/>
        <v>50</v>
      </c>
      <c r="D318">
        <f t="shared" si="218"/>
        <v>100</v>
      </c>
      <c r="E318">
        <f t="shared" si="218"/>
        <v>150</v>
      </c>
      <c r="F318">
        <f t="shared" si="218"/>
        <v>250</v>
      </c>
      <c r="G318">
        <f t="shared" si="218"/>
        <v>375</v>
      </c>
      <c r="H318">
        <f t="shared" si="218"/>
        <v>500</v>
      </c>
      <c r="I318">
        <f t="shared" si="218"/>
        <v>750</v>
      </c>
      <c r="J318">
        <f t="shared" si="218"/>
        <v>1000</v>
      </c>
      <c r="K318">
        <f t="shared" si="218"/>
        <v>1500</v>
      </c>
      <c r="L318">
        <f t="shared" si="218"/>
        <v>2000</v>
      </c>
      <c r="M318">
        <f t="shared" si="218"/>
        <v>2500</v>
      </c>
      <c r="N318">
        <f t="shared" si="218"/>
        <v>3000</v>
      </c>
      <c r="O318">
        <f t="shared" si="218"/>
        <v>3500</v>
      </c>
      <c r="P318">
        <f t="shared" si="218"/>
        <v>4000</v>
      </c>
      <c r="Q318">
        <f t="shared" si="218"/>
        <v>5000</v>
      </c>
    </row>
  </sheetData>
  <phoneticPr fontId="10" type="noConversion"/>
  <hyperlinks>
    <hyperlink ref="AI240" r:id="rId1" xr:uid="{829F5F2F-8C85-4845-9E27-D0F4D67E75F9}"/>
    <hyperlink ref="AI245" r:id="rId2" xr:uid="{20503C7B-2D50-44E0-8EFF-7365003EF079}"/>
    <hyperlink ref="X242" r:id="rId3" xr:uid="{69CC0AF4-F3D2-40C8-8C3A-2337F4BBE9FD}"/>
    <hyperlink ref="X248" r:id="rId4" xr:uid="{ADCF8979-B04F-4CE9-9DF8-510FE7DCEE0A}"/>
    <hyperlink ref="X243" r:id="rId5" xr:uid="{9C04965E-681A-4AE8-8053-ABF63DC7FEAA}"/>
    <hyperlink ref="X244" r:id="rId6" xr:uid="{B93322E7-059F-4577-8202-8476452781C6}"/>
    <hyperlink ref="AH278" r:id="rId7" xr:uid="{B0B31025-60DF-4B54-A94B-25FC9D1C1F57}"/>
    <hyperlink ref="AH294" r:id="rId8" xr:uid="{DC692D73-5D12-4FE6-9E0B-5762E9A83C37}"/>
    <hyperlink ref="AI241" r:id="rId9" xr:uid="{D6701C02-A5E2-44E2-A163-49F45461F275}"/>
  </hyperlinks>
  <pageMargins left="0.7" right="0.7" top="0.75" bottom="0.75" header="0.3" footer="0.3"/>
  <pageSetup paperSize="9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931A-1F72-40A5-8584-19CEAFE50870}">
  <sheetPr>
    <tabColor rgb="FFFF0000"/>
  </sheetPr>
  <dimension ref="B2:AL50"/>
  <sheetViews>
    <sheetView topLeftCell="P1" workbookViewId="0">
      <selection activeCell="Q35" sqref="Q35"/>
    </sheetView>
  </sheetViews>
  <sheetFormatPr defaultRowHeight="15" x14ac:dyDescent="0.25"/>
  <cols>
    <col min="21" max="21" width="9.5703125" bestFit="1" customWidth="1"/>
    <col min="27" max="27" width="0" hidden="1" customWidth="1"/>
  </cols>
  <sheetData>
    <row r="2" spans="2:5" x14ac:dyDescent="0.25">
      <c r="B2" t="s">
        <v>913</v>
      </c>
    </row>
    <row r="3" spans="2:5" x14ac:dyDescent="0.25">
      <c r="C3" t="s">
        <v>915</v>
      </c>
      <c r="E3" t="s">
        <v>794</v>
      </c>
    </row>
    <row r="4" spans="2:5" x14ac:dyDescent="0.25">
      <c r="B4" t="s">
        <v>914</v>
      </c>
      <c r="C4" t="s">
        <v>916</v>
      </c>
      <c r="E4">
        <f>Index!$C$90</f>
        <v>35.125005520162802</v>
      </c>
    </row>
    <row r="5" spans="2:5" x14ac:dyDescent="0.25">
      <c r="B5" t="s">
        <v>917</v>
      </c>
      <c r="C5" t="s">
        <v>475</v>
      </c>
      <c r="E5">
        <f>E4</f>
        <v>35.125005520162802</v>
      </c>
    </row>
    <row r="11" spans="2:5" x14ac:dyDescent="0.25">
      <c r="B11" t="s">
        <v>593</v>
      </c>
    </row>
    <row r="12" spans="2:5" x14ac:dyDescent="0.25">
      <c r="B12" t="s">
        <v>944</v>
      </c>
    </row>
    <row r="13" spans="2:5" x14ac:dyDescent="0.25">
      <c r="B13" t="s">
        <v>945</v>
      </c>
    </row>
    <row r="14" spans="2:5" x14ac:dyDescent="0.25">
      <c r="B14" t="s">
        <v>946</v>
      </c>
      <c r="E14" t="s">
        <v>14</v>
      </c>
    </row>
    <row r="15" spans="2:5" x14ac:dyDescent="0.25">
      <c r="B15" t="s">
        <v>947</v>
      </c>
      <c r="E15" t="s">
        <v>950</v>
      </c>
    </row>
    <row r="16" spans="2:5" x14ac:dyDescent="0.25">
      <c r="B16" t="s">
        <v>948</v>
      </c>
      <c r="E16" t="s">
        <v>949</v>
      </c>
    </row>
    <row r="17" spans="2:38" x14ac:dyDescent="0.25">
      <c r="Z17" t="s">
        <v>932</v>
      </c>
    </row>
    <row r="19" spans="2:38" x14ac:dyDescent="0.25">
      <c r="B19" t="s">
        <v>604</v>
      </c>
      <c r="M19" t="s">
        <v>920</v>
      </c>
      <c r="R19" t="s">
        <v>622</v>
      </c>
      <c r="V19" t="s">
        <v>622</v>
      </c>
      <c r="Z19" t="s">
        <v>622</v>
      </c>
      <c r="AE19" t="s">
        <v>622</v>
      </c>
      <c r="AI19" t="s">
        <v>622</v>
      </c>
    </row>
    <row r="20" spans="2:38" x14ac:dyDescent="0.25">
      <c r="B20" t="s">
        <v>944</v>
      </c>
      <c r="M20" t="s">
        <v>2</v>
      </c>
      <c r="N20" t="s">
        <v>926</v>
      </c>
      <c r="R20" t="s">
        <v>792</v>
      </c>
      <c r="S20" t="s">
        <v>206</v>
      </c>
      <c r="T20" t="s">
        <v>3</v>
      </c>
      <c r="U20" t="s">
        <v>412</v>
      </c>
      <c r="V20" t="s">
        <v>793</v>
      </c>
      <c r="W20" t="s">
        <v>206</v>
      </c>
      <c r="X20" t="s">
        <v>3</v>
      </c>
      <c r="Y20" t="s">
        <v>412</v>
      </c>
      <c r="Z20" t="s">
        <v>830</v>
      </c>
      <c r="AB20" t="s">
        <v>206</v>
      </c>
      <c r="AC20" t="s">
        <v>3</v>
      </c>
      <c r="AD20" t="s">
        <v>412</v>
      </c>
      <c r="AE20" t="s">
        <v>831</v>
      </c>
      <c r="AF20" t="s">
        <v>206</v>
      </c>
      <c r="AG20" t="s">
        <v>3</v>
      </c>
      <c r="AH20" t="s">
        <v>412</v>
      </c>
      <c r="AI20" t="s">
        <v>832</v>
      </c>
      <c r="AJ20" t="s">
        <v>206</v>
      </c>
      <c r="AK20" t="s">
        <v>3</v>
      </c>
      <c r="AL20" t="s">
        <v>412</v>
      </c>
    </row>
    <row r="21" spans="2:38" x14ac:dyDescent="0.25">
      <c r="B21" t="s">
        <v>951</v>
      </c>
      <c r="D21" t="s">
        <v>952</v>
      </c>
      <c r="M21" t="s">
        <v>921</v>
      </c>
      <c r="N21">
        <v>1</v>
      </c>
      <c r="R21" t="s">
        <v>929</v>
      </c>
      <c r="S21">
        <v>50.4</v>
      </c>
      <c r="T21" s="4" t="s">
        <v>931</v>
      </c>
      <c r="V21" t="s">
        <v>929</v>
      </c>
      <c r="W21">
        <v>50.4</v>
      </c>
      <c r="X21" t="s">
        <v>931</v>
      </c>
      <c r="Z21" t="s">
        <v>921</v>
      </c>
      <c r="AA21">
        <v>44</v>
      </c>
      <c r="AB21">
        <f>ROUNDDOWN(AA21*(1.02)^3,0)</f>
        <v>46</v>
      </c>
      <c r="AC21" t="s">
        <v>78</v>
      </c>
      <c r="AE21" t="s">
        <v>921</v>
      </c>
      <c r="AF21">
        <v>46</v>
      </c>
      <c r="AI21" t="s">
        <v>921</v>
      </c>
      <c r="AJ21">
        <v>46</v>
      </c>
    </row>
    <row r="22" spans="2:38" x14ac:dyDescent="0.25">
      <c r="B22" t="s">
        <v>945</v>
      </c>
      <c r="M22" t="s">
        <v>922</v>
      </c>
      <c r="N22">
        <v>15</v>
      </c>
      <c r="Z22" t="s">
        <v>922</v>
      </c>
      <c r="AA22">
        <v>260</v>
      </c>
      <c r="AB22">
        <f t="shared" ref="AB22:AB25" si="0">ROUNDDOWN(AA22*(1.02)^3,0)</f>
        <v>275</v>
      </c>
      <c r="AE22" t="s">
        <v>922</v>
      </c>
      <c r="AF22">
        <v>275</v>
      </c>
      <c r="AI22" t="s">
        <v>922</v>
      </c>
      <c r="AJ22">
        <v>275</v>
      </c>
    </row>
    <row r="23" spans="2:38" x14ac:dyDescent="0.25">
      <c r="M23" t="s">
        <v>923</v>
      </c>
      <c r="N23">
        <v>15</v>
      </c>
      <c r="R23" t="s">
        <v>915</v>
      </c>
      <c r="S23">
        <v>1.5</v>
      </c>
      <c r="T23" t="s">
        <v>930</v>
      </c>
      <c r="V23" t="s">
        <v>915</v>
      </c>
      <c r="W23">
        <v>1.5</v>
      </c>
      <c r="X23" t="s">
        <v>930</v>
      </c>
      <c r="Z23" t="s">
        <v>923</v>
      </c>
      <c r="AA23">
        <v>100</v>
      </c>
      <c r="AB23">
        <f t="shared" si="0"/>
        <v>106</v>
      </c>
      <c r="AE23" t="s">
        <v>923</v>
      </c>
      <c r="AF23">
        <v>106</v>
      </c>
      <c r="AI23" t="s">
        <v>923</v>
      </c>
      <c r="AJ23">
        <v>106</v>
      </c>
    </row>
    <row r="24" spans="2:38" x14ac:dyDescent="0.25">
      <c r="M24" t="s">
        <v>924</v>
      </c>
      <c r="N24">
        <v>3</v>
      </c>
      <c r="Z24" t="s">
        <v>924</v>
      </c>
      <c r="AA24">
        <v>30</v>
      </c>
      <c r="AB24">
        <f t="shared" si="0"/>
        <v>31</v>
      </c>
      <c r="AE24" t="s">
        <v>924</v>
      </c>
      <c r="AF24">
        <v>31</v>
      </c>
      <c r="AI24" t="s">
        <v>924</v>
      </c>
      <c r="AJ24">
        <v>31</v>
      </c>
    </row>
    <row r="25" spans="2:38" x14ac:dyDescent="0.25">
      <c r="M25" t="s">
        <v>925</v>
      </c>
      <c r="N25">
        <v>5</v>
      </c>
      <c r="R25" t="s">
        <v>921</v>
      </c>
      <c r="Z25" t="s">
        <v>925</v>
      </c>
      <c r="AA25">
        <v>1000</v>
      </c>
      <c r="AB25">
        <f t="shared" si="0"/>
        <v>1061</v>
      </c>
      <c r="AE25" t="s">
        <v>925</v>
      </c>
      <c r="AF25">
        <v>1061</v>
      </c>
      <c r="AI25" t="s">
        <v>925</v>
      </c>
      <c r="AJ25">
        <v>1061</v>
      </c>
    </row>
    <row r="26" spans="2:38" x14ac:dyDescent="0.25">
      <c r="R26" t="s">
        <v>922</v>
      </c>
      <c r="S26">
        <v>275</v>
      </c>
      <c r="V26" t="s">
        <v>922</v>
      </c>
      <c r="W26">
        <v>275</v>
      </c>
    </row>
    <row r="27" spans="2:38" x14ac:dyDescent="0.25">
      <c r="M27" t="s">
        <v>927</v>
      </c>
      <c r="N27" t="s">
        <v>928</v>
      </c>
      <c r="R27" t="s">
        <v>923</v>
      </c>
      <c r="S27">
        <v>106</v>
      </c>
      <c r="V27" t="s">
        <v>923</v>
      </c>
      <c r="W27">
        <v>106</v>
      </c>
    </row>
    <row r="30" spans="2:38" x14ac:dyDescent="0.25">
      <c r="R30" t="s">
        <v>933</v>
      </c>
      <c r="V30" t="s">
        <v>933</v>
      </c>
      <c r="Z30" t="s">
        <v>933</v>
      </c>
      <c r="AE30" t="s">
        <v>933</v>
      </c>
      <c r="AI30" t="s">
        <v>933</v>
      </c>
    </row>
    <row r="31" spans="2:38" x14ac:dyDescent="0.25">
      <c r="R31" t="s">
        <v>934</v>
      </c>
      <c r="S31">
        <f>(S21/$S$23)+S26/$N$22+S27/$N$23</f>
        <v>59</v>
      </c>
      <c r="V31" t="s">
        <v>934</v>
      </c>
      <c r="W31">
        <f>(W21/$S$23)+W26/$N$22+W27/$N$23</f>
        <v>59</v>
      </c>
      <c r="Z31" t="s">
        <v>934</v>
      </c>
      <c r="AA31" t="e">
        <f>(AA21/AA23)+AA26/V22+AA27/V23</f>
        <v>#DIV/0!</v>
      </c>
      <c r="AB31" s="6">
        <f>AB21/$N$21+AB22/$N$22+AB23/$N$23+AB24/$N$24+AB25/$N$25</f>
        <v>293.93333333333328</v>
      </c>
      <c r="AE31" t="s">
        <v>934</v>
      </c>
      <c r="AF31" s="6">
        <f>AF21/$N$21+AF22/$N$22+AF23/$N$23+AF24/$N$24+AF25/$N$25</f>
        <v>293.93333333333328</v>
      </c>
      <c r="AI31" t="s">
        <v>934</v>
      </c>
      <c r="AJ31">
        <f>AJ21/$N$21+AJ22/$N$22+AJ23/$N$23+AJ24/$N$24+AJ25/$N$25</f>
        <v>293.93333333333328</v>
      </c>
    </row>
    <row r="32" spans="2:38" x14ac:dyDescent="0.25">
      <c r="R32" t="s">
        <v>935</v>
      </c>
      <c r="S32">
        <f>Index!$C$90*(1/$S$23+1/$N$22+1/$N$23)</f>
        <v>28.10000441613024</v>
      </c>
      <c r="V32" t="s">
        <v>935</v>
      </c>
      <c r="W32">
        <f>Index!$C$90*(1/$S$23+1/$N$22+1/$N$23)</f>
        <v>28.10000441613024</v>
      </c>
      <c r="Z32" t="s">
        <v>935</v>
      </c>
      <c r="AB32">
        <f>Index!$C$90*(1/$N$21+1/$N$22+1/$N$23+1/$N$24+1/$N$25)</f>
        <v>58.541675866938</v>
      </c>
      <c r="AE32" t="s">
        <v>935</v>
      </c>
      <c r="AF32">
        <f>Index!$C$90*(1/$N$21+1/$N$22+1/$N$23+1/$N$24+1/$N$25)</f>
        <v>58.541675866938</v>
      </c>
      <c r="AI32" t="s">
        <v>935</v>
      </c>
      <c r="AJ32">
        <f>Index!$C$90*(1/$N$21+1/$N$22+1/$N$23+1/$N$24+1/$N$25)</f>
        <v>58.541675866938</v>
      </c>
    </row>
    <row r="34" spans="13:36" x14ac:dyDescent="0.25">
      <c r="AB34" t="s">
        <v>936</v>
      </c>
    </row>
    <row r="36" spans="13:36" x14ac:dyDescent="0.25">
      <c r="AB36" t="s">
        <v>937</v>
      </c>
    </row>
    <row r="38" spans="13:36" x14ac:dyDescent="0.25">
      <c r="AB38" t="s">
        <v>938</v>
      </c>
    </row>
    <row r="41" spans="13:36" x14ac:dyDescent="0.25">
      <c r="Z41" t="s">
        <v>939</v>
      </c>
      <c r="AB41">
        <f>'Wetland Design'!AG278/2</f>
        <v>90.204999999999998</v>
      </c>
      <c r="AE41" t="s">
        <v>939</v>
      </c>
      <c r="AF41">
        <f>'Wetland Design'!AG287/2</f>
        <v>133.87</v>
      </c>
      <c r="AI41" t="s">
        <v>939</v>
      </c>
      <c r="AJ41">
        <f>'Wetland Design'!AG294/2</f>
        <v>198.14500000000001</v>
      </c>
    </row>
    <row r="42" spans="13:36" x14ac:dyDescent="0.25">
      <c r="Z42" t="s">
        <v>940</v>
      </c>
      <c r="AB42">
        <f>Index!$C$90/2</f>
        <v>17.562502760081401</v>
      </c>
      <c r="AE42" t="s">
        <v>940</v>
      </c>
      <c r="AF42">
        <f>Index!$C$90/2</f>
        <v>17.562502760081401</v>
      </c>
      <c r="AI42" t="s">
        <v>940</v>
      </c>
      <c r="AJ42">
        <f>Index!$C$90/2</f>
        <v>17.562502760081401</v>
      </c>
    </row>
    <row r="45" spans="13:36" x14ac:dyDescent="0.25">
      <c r="M45" t="s">
        <v>566</v>
      </c>
      <c r="N45" t="s">
        <v>941</v>
      </c>
      <c r="P45" t="s">
        <v>468</v>
      </c>
      <c r="R45" t="s">
        <v>942</v>
      </c>
      <c r="U45" t="s">
        <v>943</v>
      </c>
    </row>
    <row r="46" spans="13:36" x14ac:dyDescent="0.25">
      <c r="M46" t="s">
        <v>792</v>
      </c>
      <c r="N46">
        <f>30/1000</f>
        <v>0.03</v>
      </c>
      <c r="P46">
        <v>8760</v>
      </c>
      <c r="R46">
        <f>N46*P46</f>
        <v>262.8</v>
      </c>
      <c r="U46" s="7">
        <f>R46*(Index!$C$64/1000)</f>
        <v>9.3647769230769242</v>
      </c>
    </row>
    <row r="47" spans="13:36" x14ac:dyDescent="0.25">
      <c r="M47" t="s">
        <v>793</v>
      </c>
      <c r="N47">
        <f>60/1000</f>
        <v>0.06</v>
      </c>
      <c r="P47">
        <v>8760</v>
      </c>
      <c r="R47">
        <f t="shared" ref="R47:R50" si="1">N47*P47</f>
        <v>525.6</v>
      </c>
      <c r="U47" s="7">
        <f>R47*(Index!$C$64/1000)</f>
        <v>18.729553846153848</v>
      </c>
    </row>
    <row r="48" spans="13:36" x14ac:dyDescent="0.25">
      <c r="M48" t="s">
        <v>830</v>
      </c>
      <c r="N48">
        <f>370/1000</f>
        <v>0.37</v>
      </c>
      <c r="P48">
        <v>8760</v>
      </c>
      <c r="R48">
        <f t="shared" si="1"/>
        <v>3241.2</v>
      </c>
      <c r="U48" s="7">
        <f>R48*(Index!$C$64/1000)</f>
        <v>115.4989153846154</v>
      </c>
    </row>
    <row r="49" spans="13:21" x14ac:dyDescent="0.25">
      <c r="M49" t="s">
        <v>831</v>
      </c>
      <c r="N49">
        <f>0.4</f>
        <v>0.4</v>
      </c>
      <c r="P49">
        <v>8760</v>
      </c>
      <c r="R49">
        <f t="shared" si="1"/>
        <v>3504</v>
      </c>
      <c r="U49" s="7">
        <f>R49*(Index!$C$64/1000)</f>
        <v>124.86369230769232</v>
      </c>
    </row>
    <row r="50" spans="13:21" x14ac:dyDescent="0.25">
      <c r="M50" t="s">
        <v>832</v>
      </c>
      <c r="N50">
        <v>0.6</v>
      </c>
      <c r="P50">
        <v>8760</v>
      </c>
      <c r="R50">
        <f t="shared" si="1"/>
        <v>5256</v>
      </c>
      <c r="U50" s="7">
        <f>R50*(Index!$C$64/1000)</f>
        <v>187.29553846153848</v>
      </c>
    </row>
  </sheetData>
  <hyperlinks>
    <hyperlink ref="T21" r:id="rId1" xr:uid="{C8C14117-7BB4-47E5-B16D-7A3AF8568525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87BC2-3E37-468D-A3CD-750BE08F6023}">
  <dimension ref="D4:U41"/>
  <sheetViews>
    <sheetView workbookViewId="0">
      <selection activeCell="L36" sqref="L36"/>
    </sheetView>
  </sheetViews>
  <sheetFormatPr defaultRowHeight="15" x14ac:dyDescent="0.25"/>
  <sheetData>
    <row r="4" spans="5:21" x14ac:dyDescent="0.25">
      <c r="E4" t="s">
        <v>156</v>
      </c>
      <c r="F4" s="122" t="s">
        <v>24</v>
      </c>
      <c r="G4" s="122"/>
      <c r="H4" s="122"/>
      <c r="I4" s="122"/>
      <c r="J4" s="122"/>
      <c r="K4" s="122"/>
      <c r="L4" s="122"/>
      <c r="M4" s="122"/>
      <c r="N4" s="122"/>
      <c r="O4" s="122"/>
      <c r="R4" t="s">
        <v>107</v>
      </c>
    </row>
    <row r="5" spans="5:21" x14ac:dyDescent="0.25">
      <c r="E5">
        <v>5</v>
      </c>
      <c r="F5">
        <v>15</v>
      </c>
      <c r="G5">
        <v>25</v>
      </c>
      <c r="H5">
        <v>37.5</v>
      </c>
      <c r="I5">
        <v>50</v>
      </c>
      <c r="J5">
        <v>62.5</v>
      </c>
      <c r="K5">
        <v>75</v>
      </c>
      <c r="L5">
        <v>87.5</v>
      </c>
      <c r="M5">
        <v>100</v>
      </c>
      <c r="N5">
        <v>112.5</v>
      </c>
      <c r="O5">
        <v>125</v>
      </c>
      <c r="Q5">
        <v>25</v>
      </c>
      <c r="R5">
        <v>10.200000000000001</v>
      </c>
      <c r="T5">
        <v>3</v>
      </c>
      <c r="U5">
        <v>1</v>
      </c>
    </row>
    <row r="6" spans="5:21" x14ac:dyDescent="0.25">
      <c r="E6">
        <v>10</v>
      </c>
      <c r="F6">
        <v>30</v>
      </c>
      <c r="G6">
        <v>50</v>
      </c>
      <c r="H6">
        <v>75</v>
      </c>
      <c r="I6">
        <v>100</v>
      </c>
      <c r="J6">
        <v>125</v>
      </c>
      <c r="K6">
        <v>150</v>
      </c>
      <c r="L6">
        <v>175</v>
      </c>
      <c r="M6">
        <v>200</v>
      </c>
      <c r="N6">
        <v>225</v>
      </c>
      <c r="O6">
        <v>250</v>
      </c>
      <c r="Q6">
        <v>50.000000000000007</v>
      </c>
      <c r="R6">
        <v>20.399999999999999</v>
      </c>
      <c r="T6">
        <v>4.0451991747794525</v>
      </c>
      <c r="U6">
        <v>1.3483997249264841</v>
      </c>
    </row>
    <row r="7" spans="5:21" x14ac:dyDescent="0.25">
      <c r="E7">
        <v>20</v>
      </c>
      <c r="F7">
        <v>60</v>
      </c>
      <c r="G7">
        <v>100</v>
      </c>
      <c r="H7">
        <v>150</v>
      </c>
      <c r="I7">
        <v>200</v>
      </c>
      <c r="J7">
        <v>250</v>
      </c>
      <c r="K7">
        <v>300</v>
      </c>
      <c r="L7">
        <v>350</v>
      </c>
      <c r="M7">
        <v>400</v>
      </c>
      <c r="N7">
        <v>450</v>
      </c>
      <c r="O7">
        <v>500</v>
      </c>
      <c r="Q7">
        <v>100</v>
      </c>
      <c r="R7">
        <v>40.800000000000004</v>
      </c>
      <c r="T7">
        <v>5.7207755354735541</v>
      </c>
      <c r="U7">
        <v>1.9069251784911847</v>
      </c>
    </row>
    <row r="8" spans="5:21" x14ac:dyDescent="0.25">
      <c r="E8">
        <v>30</v>
      </c>
      <c r="F8">
        <v>90</v>
      </c>
      <c r="G8">
        <v>150</v>
      </c>
      <c r="H8">
        <v>225</v>
      </c>
      <c r="I8">
        <v>300</v>
      </c>
      <c r="J8">
        <v>375</v>
      </c>
      <c r="K8">
        <v>450</v>
      </c>
      <c r="L8">
        <v>525</v>
      </c>
      <c r="M8">
        <v>600</v>
      </c>
      <c r="N8">
        <v>675</v>
      </c>
      <c r="O8">
        <v>750</v>
      </c>
      <c r="Q8">
        <v>150</v>
      </c>
      <c r="R8">
        <v>61.199999999999989</v>
      </c>
      <c r="T8">
        <v>7.0064904974537061</v>
      </c>
      <c r="U8">
        <v>2.3354968324845689</v>
      </c>
    </row>
    <row r="9" spans="5:21" x14ac:dyDescent="0.25">
      <c r="E9">
        <v>50</v>
      </c>
      <c r="F9">
        <v>150</v>
      </c>
      <c r="G9">
        <v>250</v>
      </c>
      <c r="H9">
        <v>375</v>
      </c>
      <c r="I9">
        <v>500</v>
      </c>
      <c r="J9">
        <v>625</v>
      </c>
      <c r="K9">
        <v>750</v>
      </c>
      <c r="L9">
        <v>875</v>
      </c>
      <c r="M9">
        <v>1000</v>
      </c>
      <c r="N9">
        <v>1125</v>
      </c>
      <c r="O9">
        <v>1250</v>
      </c>
      <c r="Q9">
        <v>250</v>
      </c>
      <c r="R9">
        <v>102.00000000000001</v>
      </c>
      <c r="T9">
        <v>9.0453403373329078</v>
      </c>
      <c r="U9">
        <v>3.0151134457776361</v>
      </c>
    </row>
    <row r="10" spans="5:21" x14ac:dyDescent="0.25">
      <c r="E10">
        <v>75</v>
      </c>
      <c r="F10">
        <v>225</v>
      </c>
      <c r="G10">
        <v>375</v>
      </c>
      <c r="H10">
        <v>562.5</v>
      </c>
      <c r="I10">
        <v>750</v>
      </c>
      <c r="J10">
        <v>937.5</v>
      </c>
      <c r="K10">
        <v>1125</v>
      </c>
      <c r="L10">
        <v>1312.5</v>
      </c>
      <c r="M10">
        <v>1500</v>
      </c>
      <c r="N10">
        <v>1687.5</v>
      </c>
      <c r="O10">
        <v>1875</v>
      </c>
      <c r="Q10">
        <v>375</v>
      </c>
      <c r="R10">
        <v>153</v>
      </c>
      <c r="T10">
        <v>11.078234188139946</v>
      </c>
      <c r="U10">
        <v>3.692744729379982</v>
      </c>
    </row>
    <row r="11" spans="5:21" x14ac:dyDescent="0.25">
      <c r="E11">
        <v>100</v>
      </c>
      <c r="F11">
        <v>300</v>
      </c>
      <c r="G11">
        <v>500</v>
      </c>
      <c r="H11">
        <v>750</v>
      </c>
      <c r="I11">
        <v>1000</v>
      </c>
      <c r="J11">
        <v>1250</v>
      </c>
      <c r="K11">
        <v>1500</v>
      </c>
      <c r="L11">
        <v>1750</v>
      </c>
      <c r="M11">
        <v>2000</v>
      </c>
      <c r="N11">
        <v>2250</v>
      </c>
      <c r="O11">
        <v>2500</v>
      </c>
      <c r="Q11">
        <v>500.00000000000006</v>
      </c>
      <c r="R11">
        <v>204</v>
      </c>
      <c r="T11">
        <v>12.792042981336627</v>
      </c>
      <c r="U11">
        <v>4.2640143271122088</v>
      </c>
    </row>
    <row r="15" spans="5:21" x14ac:dyDescent="0.25">
      <c r="Q15" t="s">
        <v>1125</v>
      </c>
    </row>
    <row r="17" spans="4:21" x14ac:dyDescent="0.25">
      <c r="Q17">
        <v>5</v>
      </c>
      <c r="R17">
        <v>5</v>
      </c>
      <c r="T17">
        <f>Q17</f>
        <v>5</v>
      </c>
      <c r="U17">
        <f>R17+U5</f>
        <v>6</v>
      </c>
    </row>
    <row r="18" spans="4:21" x14ac:dyDescent="0.25">
      <c r="D18" t="s">
        <v>156</v>
      </c>
      <c r="Q18">
        <v>7.0710678118654755</v>
      </c>
      <c r="R18">
        <v>7.0710678118654755</v>
      </c>
      <c r="T18">
        <f t="shared" ref="T18:T23" si="0">Q18</f>
        <v>7.0710678118654755</v>
      </c>
      <c r="U18">
        <f t="shared" ref="U18:U23" si="1">R18+U6</f>
        <v>8.4194675367919594</v>
      </c>
    </row>
    <row r="19" spans="4:21" x14ac:dyDescent="0.25">
      <c r="E19" t="s">
        <v>1108</v>
      </c>
      <c r="F19" t="s">
        <v>1127</v>
      </c>
      <c r="G19" t="s">
        <v>1128</v>
      </c>
      <c r="Q19">
        <v>10</v>
      </c>
      <c r="R19">
        <v>10</v>
      </c>
      <c r="T19">
        <f t="shared" si="0"/>
        <v>10</v>
      </c>
      <c r="U19">
        <f t="shared" si="1"/>
        <v>11.906925178491186</v>
      </c>
    </row>
    <row r="20" spans="4:21" x14ac:dyDescent="0.25">
      <c r="D20">
        <v>5</v>
      </c>
      <c r="E20">
        <v>7.7040000000000006</v>
      </c>
      <c r="F20">
        <f t="shared" ref="F20:F26" si="2">T17*U17</f>
        <v>30</v>
      </c>
      <c r="G20">
        <f t="shared" ref="G20:G26" si="3">T30*U30</f>
        <v>15.731726674375734</v>
      </c>
      <c r="Q20">
        <v>12.24744871391589</v>
      </c>
      <c r="R20">
        <v>12.24744871391589</v>
      </c>
      <c r="T20">
        <f t="shared" si="0"/>
        <v>12.24744871391589</v>
      </c>
      <c r="U20">
        <f t="shared" si="1"/>
        <v>14.58294554640046</v>
      </c>
    </row>
    <row r="21" spans="4:21" x14ac:dyDescent="0.25">
      <c r="D21">
        <v>10</v>
      </c>
      <c r="E21">
        <v>13.054</v>
      </c>
      <c r="F21">
        <f t="shared" si="2"/>
        <v>59.534625892455928</v>
      </c>
      <c r="G21">
        <f t="shared" si="3"/>
        <v>30.948588875898388</v>
      </c>
      <c r="Q21">
        <v>15.811388300841896</v>
      </c>
      <c r="R21">
        <v>15.811388300841896</v>
      </c>
      <c r="T21">
        <f t="shared" si="0"/>
        <v>15.811388300841896</v>
      </c>
      <c r="U21">
        <f t="shared" si="1"/>
        <v>18.826501746619531</v>
      </c>
    </row>
    <row r="22" spans="4:21" x14ac:dyDescent="0.25">
      <c r="D22">
        <v>20</v>
      </c>
      <c r="E22">
        <v>36.665999999999997</v>
      </c>
      <c r="F22">
        <f t="shared" si="2"/>
        <v>119.06925178491186</v>
      </c>
      <c r="G22">
        <f t="shared" si="3"/>
        <v>61.897177751796789</v>
      </c>
      <c r="Q22">
        <v>19.364916731037084</v>
      </c>
      <c r="R22">
        <v>19.364916731037084</v>
      </c>
      <c r="T22">
        <f t="shared" si="0"/>
        <v>19.364916731037084</v>
      </c>
      <c r="U22">
        <f t="shared" si="1"/>
        <v>23.057661460417066</v>
      </c>
    </row>
    <row r="23" spans="4:21" x14ac:dyDescent="0.25">
      <c r="D23">
        <v>30</v>
      </c>
      <c r="E23">
        <v>18.9072</v>
      </c>
      <c r="F23">
        <f t="shared" si="2"/>
        <v>178.60387767736776</v>
      </c>
      <c r="G23">
        <f t="shared" si="3"/>
        <v>92.845766627695141</v>
      </c>
      <c r="Q23">
        <v>22.360679774997898</v>
      </c>
      <c r="R23">
        <v>22.360679774997898</v>
      </c>
      <c r="T23">
        <f t="shared" si="0"/>
        <v>22.360679774997898</v>
      </c>
      <c r="U23">
        <f t="shared" si="1"/>
        <v>26.624694102110105</v>
      </c>
    </row>
    <row r="24" spans="4:21" x14ac:dyDescent="0.25">
      <c r="D24">
        <v>50</v>
      </c>
      <c r="E24">
        <v>30.499200000000002</v>
      </c>
      <c r="F24">
        <f t="shared" si="2"/>
        <v>297.67312946227958</v>
      </c>
      <c r="G24">
        <f t="shared" si="3"/>
        <v>154.74294437949197</v>
      </c>
    </row>
    <row r="25" spans="4:21" x14ac:dyDescent="0.25">
      <c r="D25">
        <v>75</v>
      </c>
      <c r="E25">
        <v>35.247</v>
      </c>
      <c r="F25">
        <f t="shared" si="2"/>
        <v>446.50969419341942</v>
      </c>
      <c r="G25">
        <f t="shared" si="3"/>
        <v>232.11441656923793</v>
      </c>
    </row>
    <row r="26" spans="4:21" x14ac:dyDescent="0.25">
      <c r="D26">
        <v>100</v>
      </c>
      <c r="E26">
        <v>42.16</v>
      </c>
      <c r="F26">
        <f t="shared" si="2"/>
        <v>595.34625892455927</v>
      </c>
      <c r="G26">
        <f t="shared" si="3"/>
        <v>309.48588875898389</v>
      </c>
    </row>
    <row r="28" spans="4:21" x14ac:dyDescent="0.25">
      <c r="Q28" t="s">
        <v>1126</v>
      </c>
    </row>
    <row r="30" spans="4:21" x14ac:dyDescent="0.25">
      <c r="Q30">
        <v>1.8439088914585775</v>
      </c>
      <c r="R30">
        <v>5.531726674375733</v>
      </c>
      <c r="T30">
        <f>Q30+U5</f>
        <v>2.8439088914585775</v>
      </c>
      <c r="U30">
        <f>R30</f>
        <v>5.531726674375733</v>
      </c>
    </row>
    <row r="31" spans="4:21" x14ac:dyDescent="0.25">
      <c r="Q31">
        <v>2.6076809620810595</v>
      </c>
      <c r="R31">
        <v>7.8230428862431785</v>
      </c>
      <c r="T31">
        <f t="shared" ref="T31:T36" si="4">Q31+U6</f>
        <v>3.9560806870075433</v>
      </c>
      <c r="U31">
        <f t="shared" ref="U31:U36" si="5">R31</f>
        <v>7.8230428862431785</v>
      </c>
    </row>
    <row r="32" spans="4:21" x14ac:dyDescent="0.25">
      <c r="Q32">
        <v>3.687817782917155</v>
      </c>
      <c r="R32">
        <v>11.063453348751466</v>
      </c>
      <c r="T32">
        <f t="shared" si="4"/>
        <v>5.5947429614083397</v>
      </c>
      <c r="U32">
        <f t="shared" si="5"/>
        <v>11.063453348751466</v>
      </c>
    </row>
    <row r="33" spans="4:21" x14ac:dyDescent="0.25">
      <c r="Q33">
        <v>4.5166359162544856</v>
      </c>
      <c r="R33">
        <v>13.549907748763456</v>
      </c>
      <c r="T33">
        <f t="shared" si="4"/>
        <v>6.852132748739054</v>
      </c>
      <c r="U33">
        <f t="shared" si="5"/>
        <v>13.549907748763456</v>
      </c>
    </row>
    <row r="34" spans="4:21" x14ac:dyDescent="0.25">
      <c r="Q34">
        <v>5.8309518948453007</v>
      </c>
      <c r="R34">
        <v>17.492855684535904</v>
      </c>
      <c r="T34">
        <f t="shared" si="4"/>
        <v>8.8460653406229373</v>
      </c>
      <c r="U34">
        <f t="shared" si="5"/>
        <v>17.492855684535904</v>
      </c>
    </row>
    <row r="35" spans="4:21" x14ac:dyDescent="0.25">
      <c r="Q35">
        <v>7.1414284285428504</v>
      </c>
      <c r="R35">
        <v>21.42428528562855</v>
      </c>
      <c r="T35">
        <f t="shared" si="4"/>
        <v>10.834173157922832</v>
      </c>
      <c r="U35">
        <f t="shared" si="5"/>
        <v>21.42428528562855</v>
      </c>
    </row>
    <row r="36" spans="4:21" x14ac:dyDescent="0.25">
      <c r="Q36">
        <v>8.2462112512353212</v>
      </c>
      <c r="R36">
        <v>24.738633753705962</v>
      </c>
      <c r="T36">
        <f t="shared" si="4"/>
        <v>12.51022557834753</v>
      </c>
      <c r="U36">
        <f t="shared" si="5"/>
        <v>24.738633753705962</v>
      </c>
    </row>
    <row r="38" spans="4:21" x14ac:dyDescent="0.25">
      <c r="D38">
        <v>3.6</v>
      </c>
      <c r="E38">
        <v>6.1</v>
      </c>
      <c r="F38">
        <v>9.6999999999999993</v>
      </c>
      <c r="G38">
        <v>7.8</v>
      </c>
      <c r="H38">
        <v>10.8</v>
      </c>
      <c r="I38">
        <v>11.37</v>
      </c>
      <c r="J38">
        <v>13.6</v>
      </c>
    </row>
    <row r="39" spans="4:21" x14ac:dyDescent="0.25">
      <c r="D39">
        <v>2.14</v>
      </c>
      <c r="E39">
        <v>2.14</v>
      </c>
      <c r="F39">
        <v>3.78</v>
      </c>
      <c r="G39">
        <v>2.4239999999999999</v>
      </c>
      <c r="H39">
        <v>2.8239999999999998</v>
      </c>
      <c r="I39">
        <v>3.1</v>
      </c>
      <c r="J39">
        <v>3.1</v>
      </c>
    </row>
    <row r="41" spans="4:21" x14ac:dyDescent="0.25">
      <c r="D41">
        <f>D38*D39</f>
        <v>7.7040000000000006</v>
      </c>
      <c r="E41">
        <f t="shared" ref="E41:J41" si="6">E38*E39</f>
        <v>13.054</v>
      </c>
      <c r="F41">
        <f t="shared" si="6"/>
        <v>36.665999999999997</v>
      </c>
      <c r="G41">
        <f t="shared" si="6"/>
        <v>18.9072</v>
      </c>
      <c r="H41">
        <f t="shared" si="6"/>
        <v>30.499200000000002</v>
      </c>
      <c r="I41">
        <f t="shared" si="6"/>
        <v>35.247</v>
      </c>
      <c r="J41">
        <f t="shared" si="6"/>
        <v>42.16</v>
      </c>
    </row>
  </sheetData>
  <mergeCells count="1">
    <mergeCell ref="F4:O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869A-B16F-4A11-BC59-FC4221E714F8}">
  <sheetPr>
    <tabColor theme="7"/>
  </sheetPr>
  <dimension ref="A1:HV205"/>
  <sheetViews>
    <sheetView topLeftCell="DE1" zoomScale="70" zoomScaleNormal="70" workbookViewId="0">
      <pane ySplit="1" topLeftCell="A105" activePane="bottomLeft" state="frozen"/>
      <selection pane="bottomLeft" activeCell="EA140" sqref="EA140"/>
    </sheetView>
  </sheetViews>
  <sheetFormatPr defaultRowHeight="15" x14ac:dyDescent="0.25"/>
  <cols>
    <col min="6" max="6" width="9.140625" style="18"/>
    <col min="7" max="7" width="27" bestFit="1" customWidth="1"/>
    <col min="13" max="13" width="12.42578125" customWidth="1"/>
    <col min="34" max="34" width="13.5703125" bestFit="1" customWidth="1"/>
    <col min="35" max="35" width="9.140625" style="18"/>
    <col min="63" max="63" width="9.140625" style="18"/>
    <col min="78" max="78" width="9.140625" style="18"/>
    <col min="90" max="90" width="10.42578125" customWidth="1"/>
    <col min="91" max="91" width="13" bestFit="1" customWidth="1"/>
    <col min="92" max="92" width="9.140625" style="18"/>
    <col min="105" max="105" width="9.140625" style="18"/>
    <col min="118" max="118" width="9.140625" style="18"/>
    <col min="132" max="132" width="9.140625" style="18"/>
    <col min="146" max="146" width="9.140625" style="18"/>
    <col min="160" max="160" width="9.140625" style="18"/>
    <col min="174" max="174" width="9.140625" style="18"/>
    <col min="188" max="188" width="9.140625" style="18"/>
    <col min="202" max="202" width="9.140625" style="18"/>
    <col min="216" max="216" width="9.140625" style="18"/>
  </cols>
  <sheetData>
    <row r="1" spans="1:230" s="3" customFormat="1" ht="16.5" thickBot="1" x14ac:dyDescent="0.3">
      <c r="A1" s="127" t="s">
        <v>267</v>
      </c>
      <c r="B1" s="127"/>
      <c r="C1" s="127"/>
      <c r="D1" s="127"/>
      <c r="E1" s="127"/>
      <c r="F1" s="128"/>
      <c r="G1" s="124" t="s">
        <v>55</v>
      </c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6"/>
      <c r="AJ1" s="124" t="s">
        <v>135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6"/>
      <c r="BL1" s="124" t="s">
        <v>165</v>
      </c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6"/>
      <c r="CA1" s="124" t="s">
        <v>274</v>
      </c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6"/>
      <c r="CO1" s="124" t="s">
        <v>294</v>
      </c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6"/>
      <c r="DB1" s="124" t="s">
        <v>303</v>
      </c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6"/>
      <c r="DO1" s="124" t="s">
        <v>311</v>
      </c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6"/>
      <c r="EC1" s="124" t="s">
        <v>741</v>
      </c>
      <c r="ED1" s="125"/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6"/>
      <c r="EQ1" s="124" t="s">
        <v>742</v>
      </c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6"/>
      <c r="FE1" s="124" t="s">
        <v>743</v>
      </c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6"/>
      <c r="FS1" s="124" t="s">
        <v>744</v>
      </c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6"/>
      <c r="GG1" s="124" t="s">
        <v>745</v>
      </c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6"/>
      <c r="GU1" s="124" t="s">
        <v>746</v>
      </c>
      <c r="GV1" s="125"/>
      <c r="GW1" s="125"/>
      <c r="GX1" s="125"/>
      <c r="GY1" s="125"/>
      <c r="GZ1" s="125"/>
      <c r="HA1" s="125"/>
      <c r="HB1" s="125"/>
      <c r="HC1" s="125"/>
      <c r="HD1" s="125"/>
      <c r="HE1" s="125"/>
      <c r="HF1" s="125"/>
      <c r="HG1" s="125"/>
      <c r="HH1" s="126"/>
      <c r="HI1" s="124" t="s">
        <v>747</v>
      </c>
      <c r="HJ1" s="125"/>
      <c r="HK1" s="125"/>
      <c r="HL1" s="125"/>
      <c r="HM1" s="125"/>
      <c r="HN1" s="125"/>
      <c r="HO1" s="125"/>
      <c r="HP1" s="125"/>
      <c r="HQ1" s="125"/>
      <c r="HR1" s="125"/>
      <c r="HS1" s="125"/>
      <c r="HT1" s="125"/>
      <c r="HU1" s="125"/>
      <c r="HV1" s="126"/>
    </row>
    <row r="2" spans="1:230" x14ac:dyDescent="0.25">
      <c r="G2" t="s">
        <v>23</v>
      </c>
      <c r="Q2" t="s">
        <v>61</v>
      </c>
      <c r="W2" t="s">
        <v>23</v>
      </c>
      <c r="AE2" t="s">
        <v>61</v>
      </c>
      <c r="AJ2" t="s">
        <v>23</v>
      </c>
      <c r="AR2" t="s">
        <v>61</v>
      </c>
      <c r="AW2" t="s">
        <v>23</v>
      </c>
      <c r="BG2" t="s">
        <v>61</v>
      </c>
      <c r="BL2" t="s">
        <v>23</v>
      </c>
      <c r="BV2" t="s">
        <v>61</v>
      </c>
      <c r="CB2" t="s">
        <v>23</v>
      </c>
      <c r="CL2" t="s">
        <v>61</v>
      </c>
      <c r="CP2" s="10" t="s">
        <v>294</v>
      </c>
      <c r="CQ2" t="s">
        <v>56</v>
      </c>
      <c r="CR2" t="s">
        <v>60</v>
      </c>
      <c r="CT2" t="s">
        <v>83</v>
      </c>
      <c r="CU2">
        <v>0.02</v>
      </c>
      <c r="CV2" t="s">
        <v>37</v>
      </c>
      <c r="CY2" t="s">
        <v>61</v>
      </c>
      <c r="DC2" s="10" t="s">
        <v>303</v>
      </c>
      <c r="DD2" t="s">
        <v>56</v>
      </c>
      <c r="DE2" t="s">
        <v>60</v>
      </c>
      <c r="DG2" t="s">
        <v>83</v>
      </c>
      <c r="DH2">
        <v>0.02</v>
      </c>
      <c r="DI2" t="s">
        <v>37</v>
      </c>
      <c r="DL2" t="s">
        <v>61</v>
      </c>
      <c r="DP2" s="10" t="s">
        <v>311</v>
      </c>
      <c r="DQ2" t="s">
        <v>56</v>
      </c>
      <c r="DR2" t="s">
        <v>60</v>
      </c>
      <c r="DT2" t="s">
        <v>83</v>
      </c>
      <c r="DU2">
        <v>0.02</v>
      </c>
      <c r="DV2" t="s">
        <v>37</v>
      </c>
      <c r="DY2" t="s">
        <v>61</v>
      </c>
    </row>
    <row r="3" spans="1:230" x14ac:dyDescent="0.25">
      <c r="B3" t="s">
        <v>395</v>
      </c>
      <c r="G3" s="10" t="s">
        <v>55</v>
      </c>
      <c r="H3" t="s">
        <v>56</v>
      </c>
      <c r="I3" t="s">
        <v>60</v>
      </c>
      <c r="K3" t="s">
        <v>83</v>
      </c>
      <c r="L3">
        <v>0.02</v>
      </c>
      <c r="M3" t="s">
        <v>33</v>
      </c>
      <c r="Q3" t="s">
        <v>62</v>
      </c>
      <c r="W3" s="10" t="s">
        <v>55</v>
      </c>
      <c r="X3" t="s">
        <v>56</v>
      </c>
      <c r="Y3" t="s">
        <v>60</v>
      </c>
      <c r="AA3" t="s">
        <v>83</v>
      </c>
      <c r="AB3">
        <v>0.02</v>
      </c>
      <c r="AC3" t="s">
        <v>37</v>
      </c>
      <c r="AE3" t="s">
        <v>142</v>
      </c>
      <c r="AJ3" s="10" t="s">
        <v>135</v>
      </c>
      <c r="AK3" t="s">
        <v>56</v>
      </c>
      <c r="AL3" t="s">
        <v>178</v>
      </c>
      <c r="AN3" t="s">
        <v>83</v>
      </c>
      <c r="AO3">
        <v>0.02</v>
      </c>
      <c r="AP3" t="s">
        <v>33</v>
      </c>
      <c r="AR3" t="s">
        <v>62</v>
      </c>
      <c r="AW3" s="10" t="s">
        <v>135</v>
      </c>
      <c r="AX3" t="s">
        <v>56</v>
      </c>
      <c r="AY3" t="s">
        <v>60</v>
      </c>
      <c r="BA3" t="s">
        <v>83</v>
      </c>
      <c r="BB3">
        <v>0.02</v>
      </c>
      <c r="BC3" t="s">
        <v>37</v>
      </c>
      <c r="BG3" t="s">
        <v>142</v>
      </c>
      <c r="BL3" s="10" t="s">
        <v>165</v>
      </c>
      <c r="BM3" t="s">
        <v>56</v>
      </c>
      <c r="BN3" t="s">
        <v>60</v>
      </c>
      <c r="BP3" t="s">
        <v>83</v>
      </c>
      <c r="BQ3">
        <v>0.02</v>
      </c>
      <c r="BR3" t="s">
        <v>37</v>
      </c>
      <c r="BV3" t="s">
        <v>142</v>
      </c>
      <c r="CB3" s="10" t="s">
        <v>275</v>
      </c>
      <c r="CC3" t="s">
        <v>56</v>
      </c>
      <c r="CD3" t="s">
        <v>60</v>
      </c>
      <c r="CF3" t="s">
        <v>83</v>
      </c>
      <c r="CG3">
        <v>0.02</v>
      </c>
      <c r="CH3" t="s">
        <v>37</v>
      </c>
      <c r="CL3" t="s">
        <v>142</v>
      </c>
      <c r="CP3" t="s">
        <v>22</v>
      </c>
      <c r="CY3" t="s">
        <v>142</v>
      </c>
      <c r="DC3" t="s">
        <v>22</v>
      </c>
      <c r="DL3" t="s">
        <v>142</v>
      </c>
      <c r="DP3" t="s">
        <v>22</v>
      </c>
      <c r="DR3" t="s">
        <v>320</v>
      </c>
      <c r="DY3" t="s">
        <v>142</v>
      </c>
    </row>
    <row r="4" spans="1:230" x14ac:dyDescent="0.25">
      <c r="G4" t="s">
        <v>22</v>
      </c>
      <c r="M4" t="s">
        <v>33</v>
      </c>
      <c r="Q4" t="s">
        <v>63</v>
      </c>
      <c r="R4">
        <v>2599</v>
      </c>
      <c r="S4" t="s">
        <v>64</v>
      </c>
      <c r="W4" t="s">
        <v>22</v>
      </c>
      <c r="AJ4" t="s">
        <v>22</v>
      </c>
      <c r="AR4" t="s">
        <v>63</v>
      </c>
      <c r="AS4">
        <v>2810</v>
      </c>
      <c r="AT4" t="s">
        <v>64</v>
      </c>
      <c r="AW4" t="s">
        <v>22</v>
      </c>
      <c r="BL4" t="s">
        <v>22</v>
      </c>
      <c r="CB4" t="s">
        <v>22</v>
      </c>
      <c r="CP4" t="s">
        <v>80</v>
      </c>
      <c r="CQ4" t="s">
        <v>2</v>
      </c>
      <c r="CR4" t="s">
        <v>81</v>
      </c>
      <c r="CS4" t="s">
        <v>82</v>
      </c>
      <c r="CT4" t="s">
        <v>59</v>
      </c>
      <c r="DC4" t="s">
        <v>80</v>
      </c>
      <c r="DD4" t="s">
        <v>2</v>
      </c>
      <c r="DE4" t="s">
        <v>81</v>
      </c>
      <c r="DF4" t="s">
        <v>82</v>
      </c>
      <c r="DG4" t="s">
        <v>59</v>
      </c>
      <c r="DP4" t="s">
        <v>80</v>
      </c>
      <c r="DQ4" t="s">
        <v>2</v>
      </c>
      <c r="DR4" t="s">
        <v>81</v>
      </c>
      <c r="DS4" t="s">
        <v>82</v>
      </c>
      <c r="DT4" t="s">
        <v>59</v>
      </c>
    </row>
    <row r="5" spans="1:230" x14ac:dyDescent="0.25">
      <c r="B5" t="s">
        <v>25</v>
      </c>
      <c r="D5" s="2" t="s">
        <v>26</v>
      </c>
      <c r="G5" t="s">
        <v>80</v>
      </c>
      <c r="H5" t="s">
        <v>2</v>
      </c>
      <c r="I5" t="s">
        <v>81</v>
      </c>
      <c r="J5" t="s">
        <v>82</v>
      </c>
      <c r="K5" t="s">
        <v>59</v>
      </c>
      <c r="M5" t="s">
        <v>127</v>
      </c>
      <c r="N5" t="s">
        <v>55</v>
      </c>
      <c r="R5" s="2" t="s">
        <v>65</v>
      </c>
      <c r="W5" t="s">
        <v>80</v>
      </c>
      <c r="X5" t="s">
        <v>2</v>
      </c>
      <c r="Y5" t="s">
        <v>81</v>
      </c>
      <c r="Z5" t="s">
        <v>82</v>
      </c>
      <c r="AA5" t="s">
        <v>59</v>
      </c>
      <c r="AE5" t="s">
        <v>143</v>
      </c>
      <c r="AJ5" t="s">
        <v>80</v>
      </c>
      <c r="AK5" t="s">
        <v>2</v>
      </c>
      <c r="AL5" t="s">
        <v>81</v>
      </c>
      <c r="AM5" t="s">
        <v>82</v>
      </c>
      <c r="AN5" t="s">
        <v>59</v>
      </c>
      <c r="AS5" s="2" t="s">
        <v>65</v>
      </c>
      <c r="AW5" t="s">
        <v>80</v>
      </c>
      <c r="AX5" t="s">
        <v>2</v>
      </c>
      <c r="AY5" t="s">
        <v>81</v>
      </c>
      <c r="AZ5" t="s">
        <v>82</v>
      </c>
      <c r="BA5" t="s">
        <v>59</v>
      </c>
      <c r="BG5" t="s">
        <v>143</v>
      </c>
      <c r="BL5" t="s">
        <v>80</v>
      </c>
      <c r="BM5" t="s">
        <v>2</v>
      </c>
      <c r="BN5" t="s">
        <v>81</v>
      </c>
      <c r="BO5" t="s">
        <v>82</v>
      </c>
      <c r="BP5" t="s">
        <v>59</v>
      </c>
      <c r="BV5" t="s">
        <v>143</v>
      </c>
      <c r="CB5" t="s">
        <v>80</v>
      </c>
      <c r="CC5" t="s">
        <v>2</v>
      </c>
      <c r="CD5" t="s">
        <v>81</v>
      </c>
      <c r="CE5" t="s">
        <v>82</v>
      </c>
      <c r="CF5" t="s">
        <v>59</v>
      </c>
      <c r="CL5" s="2" t="s">
        <v>144</v>
      </c>
      <c r="CP5" t="s">
        <v>291</v>
      </c>
      <c r="CQ5">
        <v>1</v>
      </c>
      <c r="CR5">
        <f>Index!$C$12</f>
        <v>2910</v>
      </c>
      <c r="CS5">
        <f>CR5</f>
        <v>2910</v>
      </c>
      <c r="CT5">
        <f>CS5*CQ5</f>
        <v>2910</v>
      </c>
      <c r="CY5" t="s">
        <v>145</v>
      </c>
      <c r="CZ5">
        <v>2650</v>
      </c>
      <c r="DC5" t="s">
        <v>291</v>
      </c>
      <c r="DD5">
        <v>1</v>
      </c>
      <c r="DE5">
        <f>Index!$C$13</f>
        <v>3114</v>
      </c>
      <c r="DF5">
        <f>DE5</f>
        <v>3114</v>
      </c>
      <c r="DG5">
        <f>DF5*DD5</f>
        <v>3114</v>
      </c>
      <c r="DL5" t="s">
        <v>145</v>
      </c>
      <c r="DM5">
        <v>2650</v>
      </c>
      <c r="DP5" t="s">
        <v>291</v>
      </c>
      <c r="DQ5">
        <v>1</v>
      </c>
      <c r="DR5">
        <f>Index!$C$14</f>
        <v>4861</v>
      </c>
      <c r="DS5">
        <f>DR5</f>
        <v>4861</v>
      </c>
      <c r="DT5">
        <f>DS5*DQ5</f>
        <v>4861</v>
      </c>
      <c r="DY5" t="s">
        <v>145</v>
      </c>
      <c r="DZ5">
        <v>3710</v>
      </c>
    </row>
    <row r="6" spans="1:230" x14ac:dyDescent="0.25">
      <c r="G6" t="s">
        <v>57</v>
      </c>
      <c r="H6">
        <v>1</v>
      </c>
      <c r="I6">
        <f>Index!$C$5</f>
        <v>596.4</v>
      </c>
      <c r="J6">
        <f>I6</f>
        <v>596.4</v>
      </c>
      <c r="K6">
        <f>H6*J6</f>
        <v>596.4</v>
      </c>
      <c r="N6" t="s">
        <v>134</v>
      </c>
      <c r="Q6" t="s">
        <v>77</v>
      </c>
      <c r="R6">
        <v>300</v>
      </c>
      <c r="S6" t="s">
        <v>64</v>
      </c>
      <c r="W6" t="s">
        <v>154</v>
      </c>
      <c r="X6">
        <v>1</v>
      </c>
      <c r="Y6">
        <f>Index!$C$6</f>
        <v>834</v>
      </c>
      <c r="Z6">
        <f>Y6</f>
        <v>834</v>
      </c>
      <c r="AA6">
        <f>Z6*X6</f>
        <v>834</v>
      </c>
      <c r="AE6" t="s">
        <v>147</v>
      </c>
      <c r="AJ6" t="s">
        <v>189</v>
      </c>
      <c r="AK6">
        <v>1</v>
      </c>
      <c r="AL6">
        <f>Index!C7</f>
        <v>765</v>
      </c>
      <c r="AM6">
        <f>AL6</f>
        <v>765</v>
      </c>
      <c r="AN6">
        <f>AM6*AK6</f>
        <v>765</v>
      </c>
      <c r="AR6" t="s">
        <v>77</v>
      </c>
      <c r="AS6">
        <v>300</v>
      </c>
      <c r="AT6" t="s">
        <v>64</v>
      </c>
      <c r="AW6" t="s">
        <v>154</v>
      </c>
      <c r="AX6">
        <v>1</v>
      </c>
      <c r="AY6">
        <f>Index!$C$8</f>
        <v>1090</v>
      </c>
      <c r="AZ6">
        <f>AY6</f>
        <v>1090</v>
      </c>
      <c r="BA6">
        <f>AZ6*AX6</f>
        <v>1090</v>
      </c>
      <c r="BG6" t="s">
        <v>147</v>
      </c>
      <c r="BL6" t="s">
        <v>154</v>
      </c>
      <c r="BM6">
        <v>1</v>
      </c>
      <c r="BN6">
        <f>Index!$C$9</f>
        <v>1678.8</v>
      </c>
      <c r="BO6">
        <f>BN6</f>
        <v>1678.8</v>
      </c>
      <c r="BP6">
        <f>BO6*BM6</f>
        <v>1678.8</v>
      </c>
      <c r="BV6" t="s">
        <v>147</v>
      </c>
      <c r="CB6" t="s">
        <v>291</v>
      </c>
      <c r="CC6">
        <v>1</v>
      </c>
      <c r="CD6">
        <f>Index!$C$11</f>
        <v>2285</v>
      </c>
      <c r="CE6">
        <f>CD6</f>
        <v>2285</v>
      </c>
      <c r="CF6">
        <f>CE6*CC6</f>
        <v>2285</v>
      </c>
      <c r="CL6" t="s">
        <v>292</v>
      </c>
      <c r="CM6">
        <v>2110</v>
      </c>
      <c r="CN6" s="18" t="s">
        <v>64</v>
      </c>
      <c r="CP6" t="s">
        <v>152</v>
      </c>
      <c r="CQ6">
        <f>CZ11</f>
        <v>39.724552500000001</v>
      </c>
      <c r="CR6">
        <f>Index!$C$69</f>
        <v>11.9580460758</v>
      </c>
      <c r="CS6">
        <f>CR6</f>
        <v>11.9580460758</v>
      </c>
      <c r="CT6">
        <f>CS6*CQ6</f>
        <v>475.02802913553609</v>
      </c>
      <c r="CY6" t="s">
        <v>150</v>
      </c>
      <c r="CZ6">
        <v>4750</v>
      </c>
      <c r="DC6" t="s">
        <v>152</v>
      </c>
      <c r="DD6">
        <f>DM11</f>
        <v>47.372456999999997</v>
      </c>
      <c r="DE6">
        <f>Index!$C$69</f>
        <v>11.9580460758</v>
      </c>
      <c r="DF6">
        <f>DE6</f>
        <v>11.9580460758</v>
      </c>
      <c r="DG6">
        <f>DF6*DD6</f>
        <v>566.48202352985425</v>
      </c>
      <c r="DL6" t="s">
        <v>150</v>
      </c>
      <c r="DM6">
        <v>5780</v>
      </c>
      <c r="DP6" t="s">
        <v>152</v>
      </c>
      <c r="DQ6">
        <f>DZ11</f>
        <v>73.250910599999997</v>
      </c>
      <c r="DR6">
        <f>Index!$C$69</f>
        <v>11.9580460758</v>
      </c>
      <c r="DS6">
        <f>DR6</f>
        <v>11.9580460758</v>
      </c>
      <c r="DT6">
        <f>DS6*DQ6</f>
        <v>875.93776404910659</v>
      </c>
      <c r="DY6" t="s">
        <v>150</v>
      </c>
      <c r="DZ6">
        <v>5073</v>
      </c>
    </row>
    <row r="7" spans="1:230" x14ac:dyDescent="0.25">
      <c r="B7" t="s">
        <v>396</v>
      </c>
      <c r="G7" t="s">
        <v>152</v>
      </c>
      <c r="H7" s="7">
        <f>R13</f>
        <v>18.118749999999999</v>
      </c>
      <c r="I7">
        <f>Index!$C$69</f>
        <v>11.9580460758</v>
      </c>
      <c r="J7">
        <f>I7</f>
        <v>11.9580460758</v>
      </c>
      <c r="K7">
        <f>J7*H7</f>
        <v>216.66484733590124</v>
      </c>
      <c r="M7" t="s">
        <v>130</v>
      </c>
      <c r="N7">
        <v>11083.907802725997</v>
      </c>
      <c r="W7" t="s">
        <v>152</v>
      </c>
      <c r="X7">
        <f>$AF$27</f>
        <v>11.422599999999999</v>
      </c>
      <c r="Y7">
        <f>Index!$C$69</f>
        <v>11.9580460758</v>
      </c>
      <c r="Z7">
        <f>Y7</f>
        <v>11.9580460758</v>
      </c>
      <c r="AA7">
        <f>Z7*X7</f>
        <v>136.59197710543307</v>
      </c>
      <c r="AE7" t="s">
        <v>144</v>
      </c>
      <c r="AJ7" t="s">
        <v>152</v>
      </c>
      <c r="AK7">
        <v>19.5</v>
      </c>
      <c r="AL7">
        <f>Index!$C$69</f>
        <v>11.9580460758</v>
      </c>
      <c r="AM7">
        <f>AL7</f>
        <v>11.9580460758</v>
      </c>
      <c r="AN7">
        <f>AM7*AK7</f>
        <v>233.18189847810001</v>
      </c>
      <c r="AW7" t="s">
        <v>152</v>
      </c>
      <c r="AX7">
        <f>BH27</f>
        <v>18.273599999999998</v>
      </c>
      <c r="AY7">
        <f>Index!$C$69</f>
        <v>11.9580460758</v>
      </c>
      <c r="AZ7">
        <f>AY7</f>
        <v>11.9580460758</v>
      </c>
      <c r="BA7">
        <f>AZ7*AX7</f>
        <v>218.51655077073886</v>
      </c>
      <c r="BG7" t="s">
        <v>144</v>
      </c>
      <c r="BL7" t="s">
        <v>152</v>
      </c>
      <c r="BM7">
        <f>BW27</f>
        <v>21.680400000000002</v>
      </c>
      <c r="BN7">
        <f>Index!$C$69</f>
        <v>11.9580460758</v>
      </c>
      <c r="BO7">
        <f>BN7</f>
        <v>11.9580460758</v>
      </c>
      <c r="BP7">
        <f>BO7*BM7</f>
        <v>259.25522214177437</v>
      </c>
      <c r="BV7" t="s">
        <v>144</v>
      </c>
      <c r="CB7" t="s">
        <v>152</v>
      </c>
      <c r="CC7">
        <f>CM12</f>
        <v>25.576847999999998</v>
      </c>
      <c r="CD7">
        <f>Index!$C$69</f>
        <v>11.9580460758</v>
      </c>
      <c r="CE7">
        <f>CD7</f>
        <v>11.9580460758</v>
      </c>
      <c r="CF7">
        <f>CE7*CC7</f>
        <v>305.8491268577331</v>
      </c>
      <c r="CL7" t="s">
        <v>116</v>
      </c>
      <c r="CM7">
        <v>2080</v>
      </c>
      <c r="CN7" s="18" t="s">
        <v>64</v>
      </c>
      <c r="CP7" t="s">
        <v>100</v>
      </c>
      <c r="CQ7">
        <f>CZ13</f>
        <v>2.731725</v>
      </c>
      <c r="CR7">
        <f>Index!$C$53</f>
        <v>99.508928571428555</v>
      </c>
      <c r="CS7">
        <f>CR7</f>
        <v>99.508928571428555</v>
      </c>
      <c r="CT7">
        <f>CS7*CQ7</f>
        <v>271.83102790178566</v>
      </c>
      <c r="CY7" t="s">
        <v>116</v>
      </c>
      <c r="CZ7">
        <v>1917</v>
      </c>
      <c r="DC7" t="s">
        <v>100</v>
      </c>
      <c r="DD7">
        <f>DM13</f>
        <v>3.3240780000000001</v>
      </c>
      <c r="DE7">
        <f>Index!$C$53</f>
        <v>99.508928571428555</v>
      </c>
      <c r="DF7">
        <f>DE7</f>
        <v>99.508928571428555</v>
      </c>
      <c r="DG7">
        <f>DF7*DD7</f>
        <v>330.77544026785711</v>
      </c>
      <c r="DL7" t="s">
        <v>116</v>
      </c>
      <c r="DM7">
        <v>1917</v>
      </c>
      <c r="DP7" t="s">
        <v>100</v>
      </c>
      <c r="DQ7">
        <f>DZ13</f>
        <v>3.9873780000000001</v>
      </c>
      <c r="DR7">
        <f>Index!$C$53</f>
        <v>99.508928571428555</v>
      </c>
      <c r="DS7">
        <f>DR7</f>
        <v>99.508928571428555</v>
      </c>
      <c r="DT7">
        <f>DS7*DQ7</f>
        <v>396.77971258928568</v>
      </c>
      <c r="DY7" t="s">
        <v>116</v>
      </c>
      <c r="DZ7">
        <v>2620</v>
      </c>
    </row>
    <row r="8" spans="1:230" x14ac:dyDescent="0.25">
      <c r="B8">
        <v>0.15</v>
      </c>
      <c r="C8" t="s">
        <v>156</v>
      </c>
      <c r="G8" t="s">
        <v>151</v>
      </c>
      <c r="H8">
        <v>1</v>
      </c>
      <c r="I8">
        <f>Index!$C$53</f>
        <v>99.508928571428555</v>
      </c>
      <c r="J8">
        <f>I8</f>
        <v>99.508928571428555</v>
      </c>
      <c r="K8">
        <f>H8*J8</f>
        <v>99.508928571428555</v>
      </c>
      <c r="M8" t="s">
        <v>131</v>
      </c>
      <c r="N8">
        <v>11265.53628493512</v>
      </c>
      <c r="Q8" t="s">
        <v>66</v>
      </c>
      <c r="R8">
        <v>2075</v>
      </c>
      <c r="S8" t="s">
        <v>64</v>
      </c>
      <c r="W8" t="s">
        <v>101</v>
      </c>
      <c r="X8">
        <v>3.5</v>
      </c>
      <c r="Y8">
        <f>Index!$C$36</f>
        <v>36.718627421191144</v>
      </c>
      <c r="Z8">
        <f>Y8*(1+$L$3)^3</f>
        <v>38.966101168387411</v>
      </c>
      <c r="AA8">
        <f>Z8*X8</f>
        <v>136.38135408935594</v>
      </c>
      <c r="AJ8" t="s">
        <v>151</v>
      </c>
      <c r="AK8">
        <v>3.6</v>
      </c>
      <c r="AL8">
        <f>Index!$C$53</f>
        <v>99.508928571428555</v>
      </c>
      <c r="AM8">
        <f>AL8</f>
        <v>99.508928571428555</v>
      </c>
      <c r="AN8">
        <f>AK8*AM8</f>
        <v>358.23214285714283</v>
      </c>
      <c r="AR8" t="s">
        <v>66</v>
      </c>
      <c r="AS8">
        <v>2075</v>
      </c>
      <c r="AT8" t="s">
        <v>64</v>
      </c>
      <c r="AW8" t="s">
        <v>101</v>
      </c>
      <c r="AX8">
        <f>BH34</f>
        <v>13.677106336101645</v>
      </c>
      <c r="AY8">
        <f>Index!$C$36</f>
        <v>36.718627421191144</v>
      </c>
      <c r="AZ8">
        <f>AY8*(1+$L$3)^3</f>
        <v>38.966101168387411</v>
      </c>
      <c r="BA8">
        <f>AZ8*AX8</f>
        <v>532.94350918332918</v>
      </c>
      <c r="BL8" t="s">
        <v>101</v>
      </c>
      <c r="BM8">
        <f>BW34</f>
        <v>14.862419902778269</v>
      </c>
      <c r="BN8">
        <f>Index!$C$36</f>
        <v>36.718627421191144</v>
      </c>
      <c r="BO8">
        <f>BN8*(1+$L$3)^3</f>
        <v>38.966101168387411</v>
      </c>
      <c r="BP8">
        <f>BO8*BM8</f>
        <v>579.13055753871265</v>
      </c>
      <c r="CB8" t="s">
        <v>101</v>
      </c>
      <c r="CC8">
        <f>CC7-8</f>
        <v>17.576847999999998</v>
      </c>
      <c r="CD8">
        <f>Index!$C$36</f>
        <v>36.718627421191144</v>
      </c>
      <c r="CE8">
        <f>CD8*(1+$L$3)^3</f>
        <v>38.966101168387411</v>
      </c>
      <c r="CF8">
        <f>CE8*CC8</f>
        <v>684.90123738936791</v>
      </c>
      <c r="CL8" t="s">
        <v>150</v>
      </c>
      <c r="CM8">
        <v>3360</v>
      </c>
      <c r="CN8" s="18" t="s">
        <v>64</v>
      </c>
      <c r="CP8" t="s">
        <v>101</v>
      </c>
      <c r="CQ8">
        <f>CQ6-12-CQ7</f>
        <v>24.992827500000001</v>
      </c>
      <c r="CR8">
        <f>Index!$C$36</f>
        <v>36.718627421191144</v>
      </c>
      <c r="CS8">
        <f>CR8*(1+$L$3)^3</f>
        <v>38.966101168387411</v>
      </c>
      <c r="CT8">
        <f>CS8*CQ8</f>
        <v>973.87304484905508</v>
      </c>
      <c r="DC8" t="s">
        <v>101</v>
      </c>
      <c r="DD8">
        <f>DD6-15-DD7</f>
        <v>29.048378999999997</v>
      </c>
      <c r="DE8">
        <f>Index!$C$36</f>
        <v>36.718627421191144</v>
      </c>
      <c r="DF8">
        <f>DE8*(1+$L$3)^3</f>
        <v>38.966101168387411</v>
      </c>
      <c r="DG8">
        <f>DF8*DD8</f>
        <v>1131.9020748916603</v>
      </c>
      <c r="DP8" t="s">
        <v>101</v>
      </c>
      <c r="DQ8">
        <f>(DZ11)-22</f>
        <v>51.250910599999997</v>
      </c>
      <c r="DR8">
        <f>Index!$C$36</f>
        <v>36.718627421191144</v>
      </c>
      <c r="DS8">
        <f>DR8*(1+$L$3)^3</f>
        <v>38.966101168387411</v>
      </c>
      <c r="DT8">
        <f>DS8*DQ8</f>
        <v>1997.0481674115786</v>
      </c>
    </row>
    <row r="9" spans="1:230" x14ac:dyDescent="0.25">
      <c r="G9" t="s">
        <v>101</v>
      </c>
      <c r="H9">
        <v>3</v>
      </c>
      <c r="I9">
        <f>Index!$C$36</f>
        <v>36.718627421191144</v>
      </c>
      <c r="J9">
        <f>I9*(1+$L$3)^3</f>
        <v>38.966101168387411</v>
      </c>
      <c r="K9">
        <f>J9*H9</f>
        <v>116.89830350516223</v>
      </c>
      <c r="M9" t="s">
        <v>132</v>
      </c>
      <c r="N9">
        <v>6488.9078027259975</v>
      </c>
      <c r="W9" s="14"/>
      <c r="AE9" t="s">
        <v>145</v>
      </c>
      <c r="AF9">
        <v>1440</v>
      </c>
      <c r="AJ9" t="s">
        <v>101</v>
      </c>
      <c r="AK9">
        <v>6.2</v>
      </c>
      <c r="AL9">
        <f>Index!$C$36</f>
        <v>36.718627421191144</v>
      </c>
      <c r="AM9">
        <f>AL9*(1+$L$3)^3</f>
        <v>38.966101168387411</v>
      </c>
      <c r="AN9">
        <f>AM9*AK9</f>
        <v>241.58982724400195</v>
      </c>
      <c r="AW9" s="14" t="s">
        <v>190</v>
      </c>
      <c r="BG9" t="s">
        <v>145</v>
      </c>
      <c r="BH9">
        <v>1620</v>
      </c>
      <c r="BL9" t="s">
        <v>100</v>
      </c>
      <c r="BM9">
        <v>1.9</v>
      </c>
      <c r="BN9">
        <f>Index!$C$53</f>
        <v>99.508928571428555</v>
      </c>
      <c r="BO9">
        <f>BN9</f>
        <v>99.508928571428555</v>
      </c>
      <c r="BP9">
        <f>BO9*BM9</f>
        <v>189.06696428571425</v>
      </c>
      <c r="BV9" t="s">
        <v>145</v>
      </c>
      <c r="BW9">
        <v>1620</v>
      </c>
      <c r="CY9" t="s">
        <v>293</v>
      </c>
      <c r="CZ9">
        <v>300</v>
      </c>
      <c r="DA9" s="18" t="s">
        <v>64</v>
      </c>
      <c r="DL9" t="s">
        <v>293</v>
      </c>
      <c r="DM9">
        <v>300</v>
      </c>
      <c r="DN9" s="18" t="s">
        <v>64</v>
      </c>
      <c r="DY9" t="s">
        <v>293</v>
      </c>
      <c r="DZ9">
        <v>300</v>
      </c>
      <c r="EA9" t="s">
        <v>64</v>
      </c>
    </row>
    <row r="10" spans="1:230" x14ac:dyDescent="0.25">
      <c r="G10" s="14"/>
      <c r="M10" t="s">
        <v>133</v>
      </c>
      <c r="N10">
        <v>6670.5362849351204</v>
      </c>
      <c r="AJ10" s="14"/>
      <c r="CL10" t="s">
        <v>293</v>
      </c>
      <c r="CM10">
        <v>300</v>
      </c>
      <c r="CN10" s="18" t="s">
        <v>64</v>
      </c>
      <c r="CP10" s="3" t="s">
        <v>58</v>
      </c>
      <c r="CQ10" s="3"/>
      <c r="CR10" s="3"/>
      <c r="CS10" s="3"/>
      <c r="CT10" s="3">
        <f>SUM(CT5:CT8)</f>
        <v>4630.7321018863768</v>
      </c>
      <c r="DC10" s="3" t="s">
        <v>58</v>
      </c>
      <c r="DD10" s="3"/>
      <c r="DE10" s="3"/>
      <c r="DF10" s="3"/>
      <c r="DG10" s="3">
        <f>SUM(DG5:DG8)</f>
        <v>5143.1595386893714</v>
      </c>
      <c r="DP10" s="3" t="s">
        <v>58</v>
      </c>
      <c r="DQ10" s="3"/>
      <c r="DR10" s="3"/>
      <c r="DS10" s="3"/>
      <c r="DT10" s="3">
        <f>SUM(DT5:DT8)</f>
        <v>8130.7656440499704</v>
      </c>
    </row>
    <row r="11" spans="1:230" x14ac:dyDescent="0.25">
      <c r="B11" t="s">
        <v>156</v>
      </c>
      <c r="C11" t="s">
        <v>397</v>
      </c>
      <c r="Q11" t="s">
        <v>67</v>
      </c>
      <c r="R11">
        <v>2500</v>
      </c>
      <c r="S11" t="s">
        <v>64</v>
      </c>
      <c r="AE11" t="s">
        <v>116</v>
      </c>
      <c r="AF11">
        <v>1190</v>
      </c>
      <c r="AR11" t="s">
        <v>67</v>
      </c>
      <c r="AS11">
        <v>2500</v>
      </c>
      <c r="AT11" t="s">
        <v>64</v>
      </c>
      <c r="BG11" t="s">
        <v>116</v>
      </c>
      <c r="BH11">
        <v>1225</v>
      </c>
      <c r="BV11" t="s">
        <v>116</v>
      </c>
      <c r="BW11">
        <v>1425</v>
      </c>
      <c r="CB11" s="3" t="s">
        <v>58</v>
      </c>
      <c r="CC11" s="3"/>
      <c r="CD11" s="3"/>
      <c r="CE11" s="3"/>
      <c r="CF11" s="3">
        <f>SUM(CF5:CF8)</f>
        <v>3275.7503642471011</v>
      </c>
      <c r="CY11" t="s">
        <v>152</v>
      </c>
      <c r="CZ11">
        <f>(CZ5+CZ9)*(CZ6+CZ9*2)*(CZ7+CZ9*2)/10^9</f>
        <v>39.724552500000001</v>
      </c>
      <c r="DA11" s="18" t="s">
        <v>71</v>
      </c>
      <c r="DL11" t="s">
        <v>152</v>
      </c>
      <c r="DM11">
        <f>(DM5+DM9)*(DM6+DM9*2)*(DM7+DM9*2)/10^9</f>
        <v>47.372456999999997</v>
      </c>
      <c r="DN11" s="18" t="s">
        <v>71</v>
      </c>
      <c r="DY11" t="s">
        <v>152</v>
      </c>
      <c r="DZ11">
        <f>(DZ5+DZ9)*(DZ6+DZ9*2)*(DZ7+DZ9*2)/10^9</f>
        <v>73.250910599999997</v>
      </c>
    </row>
    <row r="12" spans="1:230" x14ac:dyDescent="0.25">
      <c r="B12">
        <v>5</v>
      </c>
      <c r="C12">
        <v>2900</v>
      </c>
      <c r="G12" s="3" t="s">
        <v>58</v>
      </c>
      <c r="H12" s="3"/>
      <c r="I12" s="3"/>
      <c r="J12" s="3"/>
      <c r="K12" s="3">
        <f>SUM(K6:K9)</f>
        <v>1029.4720794124921</v>
      </c>
      <c r="W12" s="3" t="s">
        <v>58</v>
      </c>
      <c r="X12" s="3"/>
      <c r="Y12" s="3"/>
      <c r="Z12" s="3"/>
      <c r="AA12" s="3">
        <f>SUM(AA6:AA9)</f>
        <v>1106.9733311947891</v>
      </c>
      <c r="AE12" t="s">
        <v>150</v>
      </c>
      <c r="AF12">
        <v>2700</v>
      </c>
      <c r="AJ12" s="3" t="s">
        <v>58</v>
      </c>
      <c r="AK12" s="3"/>
      <c r="AL12" s="3"/>
      <c r="AM12" s="3"/>
      <c r="AN12" s="3">
        <f>SUM(AN6:AN10)</f>
        <v>1598.0038685792449</v>
      </c>
      <c r="AW12" s="3" t="s">
        <v>58</v>
      </c>
      <c r="AX12" s="3"/>
      <c r="AY12" s="3"/>
      <c r="AZ12" s="3"/>
      <c r="BA12" s="3">
        <f>SUM(BA6:BA9)</f>
        <v>1841.4600599540681</v>
      </c>
      <c r="BG12" t="s">
        <v>150</v>
      </c>
      <c r="BH12">
        <v>3900</v>
      </c>
      <c r="BL12" s="3" t="s">
        <v>58</v>
      </c>
      <c r="BM12" s="3"/>
      <c r="BN12" s="3"/>
      <c r="BO12" s="3"/>
      <c r="BP12" s="3">
        <f>SUM(BP6:BP9)</f>
        <v>2706.2527439662013</v>
      </c>
      <c r="BV12" t="s">
        <v>150</v>
      </c>
      <c r="BW12">
        <v>4275</v>
      </c>
      <c r="CL12" t="s">
        <v>152</v>
      </c>
      <c r="CM12">
        <f>(CM6+CM10)*(CM7+CM10*2)*(CM8+CM10*2)/10^9</f>
        <v>25.576847999999998</v>
      </c>
    </row>
    <row r="13" spans="1:230" x14ac:dyDescent="0.25">
      <c r="B13">
        <v>10</v>
      </c>
      <c r="C13">
        <v>3800</v>
      </c>
      <c r="R13">
        <f>(R11/1000)*(R11/1000)*(R4+R6)/1000</f>
        <v>18.118749999999999</v>
      </c>
      <c r="S13" t="s">
        <v>71</v>
      </c>
      <c r="AS13">
        <f>(AS11/1000)*(AS11/1000)*(AS4+AS6)/1000</f>
        <v>19.4375</v>
      </c>
      <c r="AT13" t="s">
        <v>71</v>
      </c>
      <c r="CY13" t="s">
        <v>302</v>
      </c>
      <c r="CZ13">
        <f>CZ6*CZ7*CZ9/10^9</f>
        <v>2.731725</v>
      </c>
      <c r="DL13" t="s">
        <v>302</v>
      </c>
      <c r="DM13">
        <f>DM6*DM7*DM9/10^9</f>
        <v>3.3240780000000001</v>
      </c>
      <c r="DY13" t="s">
        <v>302</v>
      </c>
      <c r="DZ13">
        <f>DZ6*DZ7*DZ9/10^9</f>
        <v>3.9873780000000001</v>
      </c>
    </row>
    <row r="14" spans="1:230" x14ac:dyDescent="0.25">
      <c r="B14">
        <v>20</v>
      </c>
      <c r="C14">
        <v>5600</v>
      </c>
      <c r="D14">
        <v>182.41</v>
      </c>
      <c r="AE14" t="s">
        <v>146</v>
      </c>
      <c r="BG14" t="s">
        <v>146</v>
      </c>
      <c r="BV14" t="s">
        <v>146</v>
      </c>
    </row>
    <row r="15" spans="1:230" x14ac:dyDescent="0.25">
      <c r="B15">
        <v>30</v>
      </c>
      <c r="C15">
        <v>7400</v>
      </c>
      <c r="AR15" t="s">
        <v>179</v>
      </c>
      <c r="DY15" t="s">
        <v>321</v>
      </c>
    </row>
    <row r="16" spans="1:230" x14ac:dyDescent="0.25">
      <c r="B16">
        <v>50</v>
      </c>
      <c r="C16">
        <v>11000</v>
      </c>
      <c r="D16">
        <v>404.95199999999994</v>
      </c>
      <c r="G16" t="s">
        <v>55</v>
      </c>
      <c r="H16" t="s">
        <v>56</v>
      </c>
      <c r="I16" t="s">
        <v>126</v>
      </c>
      <c r="K16" t="s">
        <v>83</v>
      </c>
      <c r="L16">
        <v>0.02</v>
      </c>
      <c r="Q16" t="s">
        <v>68</v>
      </c>
      <c r="R16" t="s">
        <v>73</v>
      </c>
      <c r="W16" s="10" t="s">
        <v>55</v>
      </c>
      <c r="X16" t="s">
        <v>56</v>
      </c>
      <c r="Y16" t="s">
        <v>129</v>
      </c>
      <c r="AA16" t="s">
        <v>83</v>
      </c>
      <c r="AB16">
        <v>0.02</v>
      </c>
      <c r="AC16" t="s">
        <v>37</v>
      </c>
      <c r="AE16" t="s">
        <v>128</v>
      </c>
      <c r="AW16" s="10" t="s">
        <v>135</v>
      </c>
      <c r="AX16" t="s">
        <v>56</v>
      </c>
      <c r="AY16" t="s">
        <v>129</v>
      </c>
      <c r="BA16" t="s">
        <v>83</v>
      </c>
      <c r="BB16">
        <v>0.02</v>
      </c>
      <c r="BC16" t="s">
        <v>37</v>
      </c>
      <c r="BG16" t="s">
        <v>128</v>
      </c>
      <c r="BV16" t="s">
        <v>128</v>
      </c>
      <c r="DZ16">
        <v>3010</v>
      </c>
      <c r="EA16" t="s">
        <v>64</v>
      </c>
    </row>
    <row r="17" spans="2:126" x14ac:dyDescent="0.25">
      <c r="B17">
        <v>75</v>
      </c>
      <c r="C17">
        <v>15500</v>
      </c>
      <c r="D17">
        <v>506.18999999999994</v>
      </c>
      <c r="Q17" t="s">
        <v>75</v>
      </c>
      <c r="R17" t="s">
        <v>76</v>
      </c>
      <c r="AE17" t="s">
        <v>116</v>
      </c>
      <c r="AF17">
        <v>400</v>
      </c>
      <c r="AG17" t="s">
        <v>64</v>
      </c>
      <c r="AR17" t="s">
        <v>180</v>
      </c>
      <c r="BG17" t="s">
        <v>116</v>
      </c>
      <c r="BH17">
        <v>400</v>
      </c>
      <c r="BI17" t="s">
        <v>64</v>
      </c>
      <c r="BL17" s="10" t="s">
        <v>165</v>
      </c>
      <c r="BM17" t="s">
        <v>56</v>
      </c>
      <c r="BN17" t="s">
        <v>129</v>
      </c>
      <c r="BP17" t="s">
        <v>83</v>
      </c>
      <c r="BQ17">
        <v>0.02</v>
      </c>
      <c r="BR17" t="s">
        <v>37</v>
      </c>
      <c r="BV17" t="s">
        <v>116</v>
      </c>
      <c r="BW17">
        <v>400</v>
      </c>
      <c r="BX17" t="s">
        <v>64</v>
      </c>
      <c r="CB17" s="10" t="s">
        <v>275</v>
      </c>
      <c r="CC17" t="s">
        <v>56</v>
      </c>
      <c r="CD17" t="s">
        <v>60</v>
      </c>
      <c r="CF17" t="s">
        <v>83</v>
      </c>
      <c r="CG17">
        <v>0.02</v>
      </c>
      <c r="CH17" t="s">
        <v>37</v>
      </c>
      <c r="DP17" s="10" t="s">
        <v>311</v>
      </c>
      <c r="DQ17" t="s">
        <v>56</v>
      </c>
      <c r="DR17" t="s">
        <v>126</v>
      </c>
      <c r="DT17" t="s">
        <v>83</v>
      </c>
      <c r="DU17">
        <v>0.02</v>
      </c>
      <c r="DV17" t="s">
        <v>37</v>
      </c>
    </row>
    <row r="18" spans="2:126" x14ac:dyDescent="0.25">
      <c r="B18">
        <v>100</v>
      </c>
      <c r="C18">
        <v>20000</v>
      </c>
      <c r="D18">
        <v>674.92</v>
      </c>
      <c r="G18" t="s">
        <v>22</v>
      </c>
      <c r="AE18" t="s">
        <v>63</v>
      </c>
      <c r="AF18">
        <v>200</v>
      </c>
      <c r="AG18" t="s">
        <v>64</v>
      </c>
      <c r="BG18" t="s">
        <v>63</v>
      </c>
      <c r="BH18">
        <v>300</v>
      </c>
      <c r="BI18" t="s">
        <v>64</v>
      </c>
      <c r="BV18" t="s">
        <v>63</v>
      </c>
      <c r="BW18">
        <v>300</v>
      </c>
      <c r="BX18" t="s">
        <v>64</v>
      </c>
      <c r="CB18" t="s">
        <v>22</v>
      </c>
      <c r="CP18" s="10" t="s">
        <v>294</v>
      </c>
      <c r="CQ18" t="s">
        <v>56</v>
      </c>
      <c r="CR18" t="s">
        <v>126</v>
      </c>
      <c r="CT18" t="s">
        <v>83</v>
      </c>
      <c r="CU18">
        <v>0.02</v>
      </c>
      <c r="CV18" t="s">
        <v>37</v>
      </c>
      <c r="DC18" s="10" t="s">
        <v>294</v>
      </c>
      <c r="DD18" t="s">
        <v>56</v>
      </c>
      <c r="DE18" t="s">
        <v>126</v>
      </c>
      <c r="DG18" t="s">
        <v>83</v>
      </c>
      <c r="DH18">
        <v>0.02</v>
      </c>
      <c r="DI18" t="s">
        <v>37</v>
      </c>
      <c r="DP18" t="s">
        <v>22</v>
      </c>
      <c r="DR18" t="s">
        <v>320</v>
      </c>
    </row>
    <row r="19" spans="2:126" x14ac:dyDescent="0.25">
      <c r="G19" t="s">
        <v>80</v>
      </c>
      <c r="H19" t="s">
        <v>2</v>
      </c>
      <c r="I19" t="s">
        <v>81</v>
      </c>
      <c r="J19" t="s">
        <v>82</v>
      </c>
      <c r="K19" t="s">
        <v>59</v>
      </c>
      <c r="Q19" t="s">
        <v>74</v>
      </c>
      <c r="W19" t="s">
        <v>80</v>
      </c>
      <c r="X19" t="s">
        <v>2</v>
      </c>
      <c r="Y19" t="s">
        <v>81</v>
      </c>
      <c r="Z19" t="s">
        <v>82</v>
      </c>
      <c r="AA19" t="s">
        <v>59</v>
      </c>
      <c r="AR19" t="s">
        <v>145</v>
      </c>
      <c r="AS19">
        <v>1819</v>
      </c>
      <c r="AT19" t="s">
        <v>64</v>
      </c>
      <c r="AW19" t="s">
        <v>80</v>
      </c>
      <c r="AX19" t="s">
        <v>2</v>
      </c>
      <c r="AY19" t="s">
        <v>81</v>
      </c>
      <c r="AZ19" t="s">
        <v>82</v>
      </c>
      <c r="BA19" t="s">
        <v>59</v>
      </c>
      <c r="CB19" t="s">
        <v>80</v>
      </c>
      <c r="CC19" t="s">
        <v>2</v>
      </c>
      <c r="CD19" t="s">
        <v>81</v>
      </c>
      <c r="CE19" t="s">
        <v>82</v>
      </c>
      <c r="CF19" t="s">
        <v>59</v>
      </c>
      <c r="CP19" t="s">
        <v>80</v>
      </c>
      <c r="CQ19" t="s">
        <v>2</v>
      </c>
      <c r="CR19" t="s">
        <v>81</v>
      </c>
      <c r="CS19" t="s">
        <v>82</v>
      </c>
      <c r="CT19" t="s">
        <v>59</v>
      </c>
      <c r="DC19" t="s">
        <v>80</v>
      </c>
      <c r="DD19" t="s">
        <v>2</v>
      </c>
      <c r="DE19" t="s">
        <v>81</v>
      </c>
      <c r="DF19" t="s">
        <v>82</v>
      </c>
      <c r="DG19" t="s">
        <v>59</v>
      </c>
      <c r="DP19" t="s">
        <v>80</v>
      </c>
      <c r="DQ19" t="s">
        <v>2</v>
      </c>
      <c r="DR19" t="s">
        <v>81</v>
      </c>
      <c r="DS19" t="s">
        <v>82</v>
      </c>
      <c r="DT19" t="s">
        <v>59</v>
      </c>
    </row>
    <row r="20" spans="2:126" x14ac:dyDescent="0.25">
      <c r="G20" t="s">
        <v>57</v>
      </c>
      <c r="H20">
        <v>1</v>
      </c>
      <c r="I20">
        <f>Index!$C$5</f>
        <v>596.4</v>
      </c>
      <c r="J20">
        <f>I20</f>
        <v>596.4</v>
      </c>
      <c r="K20">
        <f>H20*J20</f>
        <v>596.4</v>
      </c>
      <c r="R20" t="s">
        <v>70</v>
      </c>
      <c r="W20" t="s">
        <v>154</v>
      </c>
      <c r="X20">
        <v>1</v>
      </c>
      <c r="Y20">
        <f>Index!$C$6</f>
        <v>834</v>
      </c>
      <c r="Z20">
        <f>Y20</f>
        <v>834</v>
      </c>
      <c r="AA20">
        <f>Z20*X20</f>
        <v>834</v>
      </c>
      <c r="AE20" t="s">
        <v>129</v>
      </c>
      <c r="AR20" t="s">
        <v>116</v>
      </c>
      <c r="AS20">
        <v>2500</v>
      </c>
      <c r="AT20" t="s">
        <v>64</v>
      </c>
      <c r="AW20" t="s">
        <v>154</v>
      </c>
      <c r="AX20">
        <v>1</v>
      </c>
      <c r="AY20">
        <f>Index!$C$8</f>
        <v>1090</v>
      </c>
      <c r="AZ20">
        <f>AY20</f>
        <v>1090</v>
      </c>
      <c r="BA20">
        <f>AZ20*AX20</f>
        <v>1090</v>
      </c>
      <c r="BG20" t="s">
        <v>129</v>
      </c>
      <c r="BL20" t="s">
        <v>80</v>
      </c>
      <c r="BM20" t="s">
        <v>2</v>
      </c>
      <c r="BN20" t="s">
        <v>81</v>
      </c>
      <c r="BO20" t="s">
        <v>82</v>
      </c>
      <c r="BP20" t="s">
        <v>59</v>
      </c>
      <c r="BV20" t="s">
        <v>129</v>
      </c>
      <c r="CB20" t="s">
        <v>291</v>
      </c>
      <c r="CC20">
        <v>1</v>
      </c>
      <c r="CD20">
        <f>Index!$C$10</f>
        <v>1745</v>
      </c>
      <c r="CE20">
        <f>CD20</f>
        <v>1745</v>
      </c>
      <c r="CF20">
        <f>CE20*CC20</f>
        <v>1745</v>
      </c>
      <c r="CP20" t="s">
        <v>291</v>
      </c>
      <c r="CQ20">
        <v>1</v>
      </c>
      <c r="CR20">
        <f>Index!$C$12</f>
        <v>2910</v>
      </c>
      <c r="CS20">
        <f>CR20</f>
        <v>2910</v>
      </c>
      <c r="CT20">
        <f>CS20*CQ20</f>
        <v>2910</v>
      </c>
      <c r="DC20" t="s">
        <v>291</v>
      </c>
      <c r="DD20">
        <v>1</v>
      </c>
      <c r="DE20">
        <f>Index!$C$13</f>
        <v>3114</v>
      </c>
      <c r="DF20">
        <f>DE20</f>
        <v>3114</v>
      </c>
      <c r="DG20">
        <f>DF20*DD20</f>
        <v>3114</v>
      </c>
      <c r="DP20" t="s">
        <v>291</v>
      </c>
      <c r="DQ20">
        <v>1</v>
      </c>
      <c r="DR20">
        <f>Index!$C$14</f>
        <v>4861</v>
      </c>
      <c r="DS20">
        <f>DR20</f>
        <v>4861</v>
      </c>
      <c r="DT20">
        <f>DS20*DQ20</f>
        <v>4861</v>
      </c>
    </row>
    <row r="21" spans="2:126" x14ac:dyDescent="0.25">
      <c r="G21" t="s">
        <v>93</v>
      </c>
      <c r="H21" s="7">
        <f>R13</f>
        <v>18.118749999999999</v>
      </c>
      <c r="I21">
        <f>Index!$C$69</f>
        <v>11.9580460758</v>
      </c>
      <c r="J21">
        <f>I21</f>
        <v>11.9580460758</v>
      </c>
      <c r="K21">
        <f>J21*H21</f>
        <v>216.66484733590124</v>
      </c>
      <c r="R21" s="5">
        <f>(((PI()*1.25^2)*1.5)-(4/3*PI()*1^3))</f>
        <v>3.174317577064687</v>
      </c>
      <c r="S21" t="s">
        <v>71</v>
      </c>
      <c r="W21" t="s">
        <v>152</v>
      </c>
      <c r="X21">
        <f>$AF$31</f>
        <v>12.1191</v>
      </c>
      <c r="Y21">
        <f>Index!$C$69</f>
        <v>11.9580460758</v>
      </c>
      <c r="Z21">
        <f>Y21</f>
        <v>11.9580460758</v>
      </c>
      <c r="AA21">
        <f>Z21*X21</f>
        <v>144.92075619722777</v>
      </c>
      <c r="AE21" t="s">
        <v>116</v>
      </c>
      <c r="AF21">
        <v>400</v>
      </c>
      <c r="AG21" t="s">
        <v>64</v>
      </c>
      <c r="AR21" t="s">
        <v>181</v>
      </c>
      <c r="AS21">
        <v>2075</v>
      </c>
      <c r="AT21" t="s">
        <v>64</v>
      </c>
      <c r="AW21" t="s">
        <v>152</v>
      </c>
      <c r="AX21">
        <f>BH31</f>
        <v>18.273599999999998</v>
      </c>
      <c r="AY21">
        <f>Index!$C$69</f>
        <v>11.9580460758</v>
      </c>
      <c r="AZ21">
        <f>AY21</f>
        <v>11.9580460758</v>
      </c>
      <c r="BA21">
        <f>AZ21*AX21</f>
        <v>218.51655077073886</v>
      </c>
      <c r="BG21" t="s">
        <v>116</v>
      </c>
      <c r="BH21">
        <v>200</v>
      </c>
      <c r="BI21" t="s">
        <v>64</v>
      </c>
      <c r="BL21" t="s">
        <v>154</v>
      </c>
      <c r="BM21">
        <v>1</v>
      </c>
      <c r="BN21">
        <f>Index!$C$8</f>
        <v>1090</v>
      </c>
      <c r="BO21">
        <f>BN21</f>
        <v>1090</v>
      </c>
      <c r="BP21">
        <f>BO21*BM21</f>
        <v>1090</v>
      </c>
      <c r="BV21" t="s">
        <v>116</v>
      </c>
      <c r="BW21">
        <v>200</v>
      </c>
      <c r="BX21" t="s">
        <v>64</v>
      </c>
      <c r="CB21" t="s">
        <v>152</v>
      </c>
      <c r="CC21">
        <f>CM12</f>
        <v>25.576847999999998</v>
      </c>
      <c r="CD21">
        <f>Index!$C$69</f>
        <v>11.9580460758</v>
      </c>
      <c r="CE21">
        <f>CD21</f>
        <v>11.9580460758</v>
      </c>
      <c r="CF21">
        <f>CE21*CC21</f>
        <v>305.8491268577331</v>
      </c>
      <c r="CP21" t="s">
        <v>152</v>
      </c>
      <c r="CQ21">
        <f>CZ11</f>
        <v>39.724552500000001</v>
      </c>
      <c r="CR21">
        <f>Index!$C$69</f>
        <v>11.9580460758</v>
      </c>
      <c r="CS21">
        <f>CR21</f>
        <v>11.9580460758</v>
      </c>
      <c r="CT21">
        <f>CS21*CQ21</f>
        <v>475.02802913553609</v>
      </c>
      <c r="DC21" t="s">
        <v>152</v>
      </c>
      <c r="DD21">
        <f>DM11</f>
        <v>47.372456999999997</v>
      </c>
      <c r="DE21">
        <f>Index!$C$69</f>
        <v>11.9580460758</v>
      </c>
      <c r="DF21">
        <f>DE21</f>
        <v>11.9580460758</v>
      </c>
      <c r="DG21">
        <f>DF21*DD21</f>
        <v>566.48202352985425</v>
      </c>
      <c r="DP21" t="s">
        <v>152</v>
      </c>
      <c r="DQ21">
        <f>DQ6</f>
        <v>73.250910599999997</v>
      </c>
      <c r="DR21">
        <f>Index!$C$69</f>
        <v>11.9580460758</v>
      </c>
      <c r="DS21">
        <f>DR21</f>
        <v>11.9580460758</v>
      </c>
      <c r="DT21">
        <f>DS21*DQ21</f>
        <v>875.93776404910659</v>
      </c>
    </row>
    <row r="22" spans="2:126" x14ac:dyDescent="0.25">
      <c r="G22" t="s">
        <v>94</v>
      </c>
      <c r="H22">
        <v>4</v>
      </c>
      <c r="I22">
        <f>Index!$C$53</f>
        <v>99.508928571428555</v>
      </c>
      <c r="J22">
        <f>I22</f>
        <v>99.508928571428555</v>
      </c>
      <c r="K22">
        <f>H22*J22</f>
        <v>398.03571428571422</v>
      </c>
      <c r="Q22" t="s">
        <v>72</v>
      </c>
      <c r="W22" t="s">
        <v>100</v>
      </c>
      <c r="X22">
        <v>4</v>
      </c>
      <c r="Y22">
        <f>Index!C53</f>
        <v>99.508928571428555</v>
      </c>
      <c r="Z22">
        <f>Y22</f>
        <v>99.508928571428555</v>
      </c>
      <c r="AA22">
        <f>Z22*X22</f>
        <v>398.03571428571422</v>
      </c>
      <c r="AE22" t="s">
        <v>63</v>
      </c>
      <c r="AF22">
        <v>300</v>
      </c>
      <c r="AG22" t="s">
        <v>64</v>
      </c>
      <c r="AW22" t="s">
        <v>100</v>
      </c>
      <c r="AX22">
        <f>BH34</f>
        <v>13.677106336101645</v>
      </c>
      <c r="AY22">
        <f>Index!$C$53</f>
        <v>99.508928571428555</v>
      </c>
      <c r="AZ22">
        <f>AY22</f>
        <v>99.508928571428555</v>
      </c>
      <c r="BA22">
        <f>AZ22*AX22</f>
        <v>1360.9941974629714</v>
      </c>
      <c r="BG22" t="s">
        <v>63</v>
      </c>
      <c r="BH22">
        <v>300</v>
      </c>
      <c r="BI22" t="s">
        <v>64</v>
      </c>
      <c r="BL22" t="s">
        <v>152</v>
      </c>
      <c r="BM22">
        <f>BW31</f>
        <v>21.680400000000002</v>
      </c>
      <c r="BN22">
        <f>Index!$C$69</f>
        <v>11.9580460758</v>
      </c>
      <c r="BO22">
        <f>BN22</f>
        <v>11.9580460758</v>
      </c>
      <c r="BP22">
        <f>BO22*BM22</f>
        <v>259.25522214177437</v>
      </c>
      <c r="BV22" t="s">
        <v>63</v>
      </c>
      <c r="BW22">
        <v>300</v>
      </c>
      <c r="BX22" t="s">
        <v>64</v>
      </c>
      <c r="CB22" t="s">
        <v>100</v>
      </c>
      <c r="CC22">
        <f>CC21-8</f>
        <v>17.576847999999998</v>
      </c>
      <c r="CD22">
        <f>Index!$C$53</f>
        <v>99.508928571428555</v>
      </c>
      <c r="CE22">
        <f>CD22</f>
        <v>99.508928571428555</v>
      </c>
      <c r="CF22">
        <f>CE22*CC22</f>
        <v>1749.0533121428566</v>
      </c>
      <c r="CP22" t="s">
        <v>100</v>
      </c>
      <c r="CQ22">
        <f>CQ21-12</f>
        <v>27.724552500000001</v>
      </c>
      <c r="CR22">
        <f>Index!$C$53</f>
        <v>99.508928571428555</v>
      </c>
      <c r="CS22">
        <f>CR22</f>
        <v>99.508928571428555</v>
      </c>
      <c r="CT22">
        <f>CS22*CQ22</f>
        <v>2758.8405143973209</v>
      </c>
      <c r="DC22" t="s">
        <v>100</v>
      </c>
      <c r="DD22">
        <f>DD21-15</f>
        <v>32.372456999999997</v>
      </c>
      <c r="DE22">
        <f>Index!$C$53</f>
        <v>99.508928571428555</v>
      </c>
      <c r="DF22">
        <f>DE22</f>
        <v>99.508928571428555</v>
      </c>
      <c r="DG22">
        <f>DF22*DD22</f>
        <v>3221.3485112946419</v>
      </c>
      <c r="DP22" t="s">
        <v>100</v>
      </c>
      <c r="DQ22">
        <f>DQ21-22</f>
        <v>51.250910599999997</v>
      </c>
      <c r="DR22">
        <f>Index!$C$53</f>
        <v>99.508928571428555</v>
      </c>
      <c r="DS22">
        <f>DR22</f>
        <v>99.508928571428555</v>
      </c>
      <c r="DT22">
        <f>DS22*DQ22</f>
        <v>5099.9232021160706</v>
      </c>
    </row>
    <row r="23" spans="2:126" x14ac:dyDescent="0.25">
      <c r="G23" s="14"/>
      <c r="W23" s="14"/>
      <c r="AS23">
        <f>((PI()*(AS20/2/1000)^2)-(PI()*(AS21/2/1000)^2))*AS19/1000</f>
        <v>2.7778104596458055</v>
      </c>
      <c r="AT23" t="s">
        <v>71</v>
      </c>
      <c r="AW23" s="14"/>
      <c r="BL23" t="s">
        <v>100</v>
      </c>
      <c r="BM23">
        <f>BW34+BM9</f>
        <v>16.762419902778269</v>
      </c>
      <c r="BN23">
        <f>Index!$C$53</f>
        <v>99.508928571428555</v>
      </c>
      <c r="BO23">
        <f>BN23</f>
        <v>99.508928571428555</v>
      </c>
      <c r="BP23">
        <f>BO23*BM23</f>
        <v>1668.0104447898552</v>
      </c>
    </row>
    <row r="24" spans="2:126" x14ac:dyDescent="0.25">
      <c r="AE24" t="s">
        <v>122</v>
      </c>
      <c r="BG24" t="s">
        <v>122</v>
      </c>
      <c r="BL24" s="14"/>
      <c r="BV24" t="s">
        <v>122</v>
      </c>
      <c r="CP24" s="3" t="s">
        <v>58</v>
      </c>
      <c r="CQ24" s="3"/>
      <c r="CR24" s="3"/>
      <c r="CS24" s="3"/>
      <c r="CT24" s="3">
        <f>SUM(CT19:CT22)</f>
        <v>6143.8685435328571</v>
      </c>
      <c r="DC24" s="3" t="s">
        <v>58</v>
      </c>
      <c r="DD24" s="3"/>
      <c r="DE24" s="3"/>
      <c r="DF24" s="3"/>
      <c r="DG24" s="3">
        <f>SUM(DG19:DG22)</f>
        <v>6901.8305348244958</v>
      </c>
    </row>
    <row r="25" spans="2:126" x14ac:dyDescent="0.25">
      <c r="G25" s="3" t="s">
        <v>58</v>
      </c>
      <c r="H25" s="3"/>
      <c r="I25" s="3"/>
      <c r="J25" s="3"/>
      <c r="K25" s="3">
        <f>SUM(K20:K23)</f>
        <v>1211.1005616216155</v>
      </c>
      <c r="Q25" t="s">
        <v>69</v>
      </c>
      <c r="W25" s="3" t="s">
        <v>58</v>
      </c>
      <c r="X25" s="3"/>
      <c r="Y25" s="3"/>
      <c r="Z25" s="3"/>
      <c r="AA25" s="3">
        <f>SUM(AA20:AA23)</f>
        <v>1376.956470482942</v>
      </c>
      <c r="AE25" t="s">
        <v>128</v>
      </c>
      <c r="AW25" s="3" t="s">
        <v>58</v>
      </c>
      <c r="AX25" s="3"/>
      <c r="AY25" s="3"/>
      <c r="AZ25" s="3"/>
      <c r="BA25" s="3">
        <f>SUM(BA20:BA23)</f>
        <v>2669.5107482337103</v>
      </c>
      <c r="BG25" t="s">
        <v>128</v>
      </c>
      <c r="BV25" t="s">
        <v>128</v>
      </c>
      <c r="CB25" s="3" t="s">
        <v>58</v>
      </c>
      <c r="CC25" s="3"/>
      <c r="CD25" s="3"/>
      <c r="CE25" s="3"/>
      <c r="CF25" s="3">
        <f>SUM(CF19:CF22)</f>
        <v>3799.9024390005898</v>
      </c>
      <c r="DP25" s="3" t="s">
        <v>58</v>
      </c>
      <c r="DQ25" s="3"/>
      <c r="DR25" s="3"/>
      <c r="DS25" s="3"/>
      <c r="DT25" s="3">
        <f>SUM(DT20:DT23)</f>
        <v>10836.860966165177</v>
      </c>
    </row>
    <row r="26" spans="2:126" x14ac:dyDescent="0.25">
      <c r="AE26" t="s">
        <v>148</v>
      </c>
      <c r="AF26">
        <f>((AF11+AF17*2)/1000)*((AF12+AF17*2)/1000)</f>
        <v>6.9649999999999999</v>
      </c>
      <c r="AR26" t="s">
        <v>182</v>
      </c>
      <c r="BG26" t="s">
        <v>148</v>
      </c>
      <c r="BH26">
        <f>((BH11+BH17*2)/1000)*((BH12+BH17*2)/1000)</f>
        <v>9.5175000000000001</v>
      </c>
      <c r="BL26" s="3" t="s">
        <v>58</v>
      </c>
      <c r="BM26" s="3"/>
      <c r="BN26" s="3"/>
      <c r="BO26" s="3"/>
      <c r="BP26" s="3">
        <f>SUM(BP21:BP24)</f>
        <v>3017.2656669316293</v>
      </c>
      <c r="BV26" t="s">
        <v>148</v>
      </c>
      <c r="BW26">
        <f>((BW11+BW17*2)/1000)*((BW12+BW17*2)/1000)</f>
        <v>11.291875000000001</v>
      </c>
    </row>
    <row r="27" spans="2:126" x14ac:dyDescent="0.25">
      <c r="AE27" t="s">
        <v>149</v>
      </c>
      <c r="AF27">
        <f>((AF9+AF18)/1000)*AF26</f>
        <v>11.422599999999999</v>
      </c>
      <c r="AG27" t="s">
        <v>71</v>
      </c>
      <c r="AR27" t="s">
        <v>63</v>
      </c>
      <c r="AS27">
        <v>150</v>
      </c>
      <c r="AT27" t="s">
        <v>64</v>
      </c>
      <c r="BG27" t="s">
        <v>149</v>
      </c>
      <c r="BH27">
        <f>((BH9+BH18)/1000)*BH26</f>
        <v>18.273599999999998</v>
      </c>
      <c r="BI27" t="s">
        <v>71</v>
      </c>
      <c r="BV27" t="s">
        <v>149</v>
      </c>
      <c r="BW27">
        <f>((BW9+BW18)/1000)*BW26</f>
        <v>21.680400000000002</v>
      </c>
      <c r="BX27" t="s">
        <v>71</v>
      </c>
    </row>
    <row r="28" spans="2:126" x14ac:dyDescent="0.25">
      <c r="AR28" t="s">
        <v>116</v>
      </c>
      <c r="AS28">
        <v>2500</v>
      </c>
      <c r="AT28" t="s">
        <v>64</v>
      </c>
    </row>
    <row r="29" spans="2:126" x14ac:dyDescent="0.25">
      <c r="AE29" t="s">
        <v>129</v>
      </c>
      <c r="AR29" t="s">
        <v>149</v>
      </c>
      <c r="AS29">
        <f>((PI()*(AS28/2/1000)^2)*AS27/1000)</f>
        <v>0.73631077818510782</v>
      </c>
      <c r="BG29" t="s">
        <v>129</v>
      </c>
      <c r="BL29" t="s">
        <v>103</v>
      </c>
      <c r="BV29" t="s">
        <v>129</v>
      </c>
    </row>
    <row r="30" spans="2:126" x14ac:dyDescent="0.25">
      <c r="AE30" t="s">
        <v>148</v>
      </c>
      <c r="AF30">
        <f>AF26</f>
        <v>6.9649999999999999</v>
      </c>
      <c r="BG30" t="s">
        <v>148</v>
      </c>
      <c r="BH30">
        <f>BH26</f>
        <v>9.5175000000000001</v>
      </c>
      <c r="BL30" t="s">
        <v>205</v>
      </c>
      <c r="BN30">
        <f>Index!$C$65</f>
        <v>193.5</v>
      </c>
      <c r="BO30">
        <f>BN30</f>
        <v>193.5</v>
      </c>
      <c r="BV30" t="s">
        <v>148</v>
      </c>
      <c r="BW30">
        <f>BW26</f>
        <v>11.291875000000001</v>
      </c>
    </row>
    <row r="31" spans="2:126" x14ac:dyDescent="0.25">
      <c r="AE31" t="s">
        <v>149</v>
      </c>
      <c r="AF31">
        <f>((AF9+AF22)/1000)*AF30</f>
        <v>12.1191</v>
      </c>
      <c r="AR31" t="s">
        <v>183</v>
      </c>
      <c r="BG31" t="s">
        <v>149</v>
      </c>
      <c r="BH31">
        <f>((BH9+BH22)/1000)*BH30</f>
        <v>18.273599999999998</v>
      </c>
      <c r="BV31" t="s">
        <v>149</v>
      </c>
      <c r="BW31">
        <f>((BW9+BW22)/1000)*BW30</f>
        <v>21.680400000000002</v>
      </c>
    </row>
    <row r="32" spans="2:126" x14ac:dyDescent="0.25">
      <c r="AS32">
        <f>AS23+AS29</f>
        <v>3.5141212378309135</v>
      </c>
      <c r="DP32" s="10" t="s">
        <v>311</v>
      </c>
      <c r="DQ32" t="s">
        <v>56</v>
      </c>
      <c r="DR32" t="s">
        <v>126</v>
      </c>
      <c r="DT32" t="s">
        <v>83</v>
      </c>
      <c r="DU32">
        <v>0.02</v>
      </c>
      <c r="DV32" t="s">
        <v>37</v>
      </c>
    </row>
    <row r="33" spans="31:131" x14ac:dyDescent="0.25">
      <c r="AE33" t="s">
        <v>153</v>
      </c>
      <c r="AR33" t="s">
        <v>184</v>
      </c>
      <c r="BG33" t="s">
        <v>153</v>
      </c>
      <c r="BV33" t="s">
        <v>153</v>
      </c>
      <c r="DP33" t="s">
        <v>22</v>
      </c>
      <c r="DR33" t="s">
        <v>322</v>
      </c>
      <c r="DY33" t="s">
        <v>142</v>
      </c>
    </row>
    <row r="34" spans="31:131" x14ac:dyDescent="0.25">
      <c r="AE34" t="s">
        <v>128</v>
      </c>
      <c r="AF34">
        <f>AF27-(AF9*AF11*AF12)/(10^9)</f>
        <v>6.7958799999999995</v>
      </c>
      <c r="AG34" t="s">
        <v>71</v>
      </c>
      <c r="BG34" t="s">
        <v>128</v>
      </c>
      <c r="BH34">
        <f>BH27-((PI()*(BH11/2)^2)*BH12)/(10^9)</f>
        <v>13.677106336101645</v>
      </c>
      <c r="BI34" t="s">
        <v>71</v>
      </c>
      <c r="BV34" t="s">
        <v>128</v>
      </c>
      <c r="BW34">
        <f>BW27-((PI()*(BW11/2)^2)*BW12)/(10^9)</f>
        <v>14.862419902778269</v>
      </c>
      <c r="BX34" t="s">
        <v>71</v>
      </c>
      <c r="DP34" t="s">
        <v>80</v>
      </c>
      <c r="DQ34" t="s">
        <v>2</v>
      </c>
      <c r="DR34" t="s">
        <v>81</v>
      </c>
      <c r="DS34" t="s">
        <v>82</v>
      </c>
      <c r="DT34" t="s">
        <v>59</v>
      </c>
    </row>
    <row r="35" spans="31:131" x14ac:dyDescent="0.25">
      <c r="AR35" t="s">
        <v>185</v>
      </c>
      <c r="AS35">
        <f>AS4+AS6</f>
        <v>3110</v>
      </c>
      <c r="AT35" t="s">
        <v>64</v>
      </c>
      <c r="DP35" t="s">
        <v>291</v>
      </c>
      <c r="DQ35">
        <v>1</v>
      </c>
      <c r="DR35">
        <f>Index!$C$15</f>
        <v>5184</v>
      </c>
      <c r="DS35">
        <f>DR35</f>
        <v>5184</v>
      </c>
      <c r="DT35">
        <f>DS35*DQ35</f>
        <v>5184</v>
      </c>
      <c r="DY35" t="s">
        <v>145</v>
      </c>
      <c r="DZ35">
        <v>3500</v>
      </c>
    </row>
    <row r="36" spans="31:131" x14ac:dyDescent="0.25">
      <c r="AE36" t="s">
        <v>129</v>
      </c>
      <c r="AF36">
        <f>AF31-(AF9*AF11*AF12)/(10^9)</f>
        <v>7.4923799999999998</v>
      </c>
      <c r="AG36" t="s">
        <v>71</v>
      </c>
      <c r="AR36" t="s">
        <v>186</v>
      </c>
      <c r="AS36">
        <v>1819</v>
      </c>
      <c r="AT36" t="s">
        <v>64</v>
      </c>
      <c r="BG36" t="s">
        <v>129</v>
      </c>
      <c r="BH36">
        <f>BH34</f>
        <v>13.677106336101645</v>
      </c>
      <c r="BI36" t="s">
        <v>71</v>
      </c>
      <c r="BV36" t="s">
        <v>129</v>
      </c>
      <c r="BW36">
        <f>BW34</f>
        <v>14.862419902778269</v>
      </c>
      <c r="BX36" t="s">
        <v>71</v>
      </c>
      <c r="DP36" t="s">
        <v>152</v>
      </c>
      <c r="DQ36">
        <f>DZ41</f>
        <v>60.372500000000002</v>
      </c>
      <c r="DR36">
        <f>Index!$C$69</f>
        <v>11.9580460758</v>
      </c>
      <c r="DS36">
        <f>DR36</f>
        <v>11.9580460758</v>
      </c>
      <c r="DT36">
        <f>DS36*DQ36</f>
        <v>721.93713671123555</v>
      </c>
      <c r="DY36" t="s">
        <v>150</v>
      </c>
      <c r="DZ36">
        <v>4525</v>
      </c>
    </row>
    <row r="37" spans="31:131" x14ac:dyDescent="0.25">
      <c r="AR37" t="s">
        <v>187</v>
      </c>
      <c r="AS37">
        <v>2500</v>
      </c>
      <c r="AT37" t="s">
        <v>64</v>
      </c>
      <c r="DP37" t="s">
        <v>100</v>
      </c>
      <c r="DQ37">
        <f>DQ36-20</f>
        <v>40.372500000000002</v>
      </c>
      <c r="DR37">
        <f>Index!$C$53</f>
        <v>99.508928571428555</v>
      </c>
      <c r="DS37">
        <f>DR37</f>
        <v>99.508928571428555</v>
      </c>
      <c r="DT37">
        <f>DS37*DQ37</f>
        <v>4017.4242187499995</v>
      </c>
      <c r="DY37" t="s">
        <v>116</v>
      </c>
      <c r="DZ37">
        <v>2500</v>
      </c>
    </row>
    <row r="38" spans="31:131" x14ac:dyDescent="0.25">
      <c r="AR38" t="s">
        <v>188</v>
      </c>
      <c r="AS38">
        <v>460</v>
      </c>
      <c r="AT38" t="s">
        <v>64</v>
      </c>
    </row>
    <row r="39" spans="31:131" x14ac:dyDescent="0.25">
      <c r="AE39" t="s">
        <v>192</v>
      </c>
      <c r="DY39" t="s">
        <v>293</v>
      </c>
      <c r="DZ39">
        <v>300</v>
      </c>
      <c r="EA39" t="s">
        <v>64</v>
      </c>
    </row>
    <row r="40" spans="31:131" x14ac:dyDescent="0.25">
      <c r="AS40">
        <f>((PI()*(AS37/2/1000)^2)-(PI()*(AS38/2/1000)^2))*(AS35-AS36)/1000</f>
        <v>6.1226298163881658</v>
      </c>
      <c r="DP40" s="3" t="s">
        <v>58</v>
      </c>
      <c r="DQ40" s="3"/>
      <c r="DR40" s="3"/>
      <c r="DS40" s="3"/>
      <c r="DT40" s="3">
        <f>SUM(DT35:DT38)</f>
        <v>9923.3613554612348</v>
      </c>
    </row>
    <row r="41" spans="31:131" x14ac:dyDescent="0.25">
      <c r="DY41" t="s">
        <v>152</v>
      </c>
      <c r="DZ41">
        <f>(DZ35+DZ39)*(DZ36+DZ39*2)*(DZ37+DZ39*2)/10^9</f>
        <v>60.372500000000002</v>
      </c>
    </row>
    <row r="43" spans="31:131" x14ac:dyDescent="0.25">
      <c r="DY43" t="s">
        <v>302</v>
      </c>
      <c r="DZ43">
        <f>DZ36*DZ37*DZ39/10^9</f>
        <v>3.3937499999999998</v>
      </c>
    </row>
    <row r="45" spans="31:131" x14ac:dyDescent="0.25">
      <c r="DY45" t="s">
        <v>321</v>
      </c>
    </row>
    <row r="46" spans="31:131" x14ac:dyDescent="0.25">
      <c r="DZ46">
        <v>3010</v>
      </c>
      <c r="EA46" t="s">
        <v>64</v>
      </c>
    </row>
    <row r="47" spans="31:131" x14ac:dyDescent="0.25">
      <c r="DP47" s="10" t="s">
        <v>311</v>
      </c>
      <c r="DQ47" t="s">
        <v>56</v>
      </c>
      <c r="DR47" t="s">
        <v>128</v>
      </c>
      <c r="DT47" t="s">
        <v>83</v>
      </c>
      <c r="DU47">
        <v>0.02</v>
      </c>
      <c r="DV47" t="s">
        <v>37</v>
      </c>
    </row>
    <row r="48" spans="31:131" x14ac:dyDescent="0.25">
      <c r="DP48" t="s">
        <v>22</v>
      </c>
      <c r="DR48" t="s">
        <v>322</v>
      </c>
    </row>
    <row r="49" spans="6:230" x14ac:dyDescent="0.25">
      <c r="DP49" t="s">
        <v>80</v>
      </c>
      <c r="DQ49" t="s">
        <v>2</v>
      </c>
      <c r="DR49" t="s">
        <v>81</v>
      </c>
      <c r="DS49" t="s">
        <v>82</v>
      </c>
      <c r="DT49" t="s">
        <v>59</v>
      </c>
    </row>
    <row r="50" spans="6:230" x14ac:dyDescent="0.25">
      <c r="DP50" t="s">
        <v>291</v>
      </c>
      <c r="DQ50">
        <v>1</v>
      </c>
      <c r="DR50">
        <f>Index!$C$16</f>
        <v>6083</v>
      </c>
      <c r="DS50">
        <f>DR50</f>
        <v>6083</v>
      </c>
      <c r="DT50">
        <f>DS50*DQ50</f>
        <v>6083</v>
      </c>
    </row>
    <row r="51" spans="6:230" x14ac:dyDescent="0.25">
      <c r="DP51" t="s">
        <v>152</v>
      </c>
      <c r="DQ51">
        <f>DZ41</f>
        <v>60.372500000000002</v>
      </c>
      <c r="DR51">
        <f>Index!$C$69</f>
        <v>11.9580460758</v>
      </c>
      <c r="DS51">
        <f>DR51</f>
        <v>11.9580460758</v>
      </c>
      <c r="DT51">
        <f>DS51*DQ51</f>
        <v>721.93713671123555</v>
      </c>
    </row>
    <row r="52" spans="6:230" x14ac:dyDescent="0.25">
      <c r="DP52" t="s">
        <v>100</v>
      </c>
      <c r="DQ52">
        <f>DZ43</f>
        <v>3.3937499999999998</v>
      </c>
      <c r="DR52">
        <f>Index!$C$53</f>
        <v>99.508928571428555</v>
      </c>
      <c r="DS52">
        <f>DR52</f>
        <v>99.508928571428555</v>
      </c>
      <c r="DT52">
        <f>DS52*DQ52</f>
        <v>337.70842633928567</v>
      </c>
    </row>
    <row r="53" spans="6:230" x14ac:dyDescent="0.25">
      <c r="DP53" t="s">
        <v>101</v>
      </c>
      <c r="DQ53">
        <f>DQ51-DQ52-20</f>
        <v>36.978750000000005</v>
      </c>
      <c r="DR53">
        <f>Index!$C$36</f>
        <v>36.718627421191144</v>
      </c>
      <c r="DS53">
        <f>DR53*(1+$L$3)^3</f>
        <v>38.966101168387411</v>
      </c>
      <c r="DT53">
        <f>DS53*DQ53</f>
        <v>1440.9177135805062</v>
      </c>
    </row>
    <row r="55" spans="6:230" x14ac:dyDescent="0.25">
      <c r="DP55" s="3" t="s">
        <v>58</v>
      </c>
      <c r="DQ55" s="3"/>
      <c r="DR55" s="3"/>
      <c r="DS55" s="3"/>
      <c r="DT55" s="3">
        <f>SUM(DT50:DT53)</f>
        <v>8583.5632766310264</v>
      </c>
    </row>
    <row r="58" spans="6:230" s="17" customFormat="1" ht="18.75" x14ac:dyDescent="0.3">
      <c r="F58" s="19"/>
      <c r="G58" s="17" t="s">
        <v>203</v>
      </c>
      <c r="AI58" s="19"/>
      <c r="BK58" s="19"/>
      <c r="BZ58" s="19"/>
      <c r="CN58" s="19"/>
      <c r="DA58" s="19"/>
      <c r="DN58" s="19"/>
      <c r="EB58" s="19"/>
      <c r="EP58" s="19"/>
      <c r="FD58" s="19"/>
      <c r="FR58" s="19"/>
      <c r="GF58" s="19"/>
      <c r="GT58" s="19"/>
      <c r="HH58" s="19"/>
    </row>
    <row r="60" spans="6:230" x14ac:dyDescent="0.25">
      <c r="HV60" s="18"/>
    </row>
    <row r="61" spans="6:230" x14ac:dyDescent="0.25">
      <c r="G61" t="s">
        <v>104</v>
      </c>
      <c r="AJ61" t="s">
        <v>104</v>
      </c>
      <c r="AV61" t="s">
        <v>104</v>
      </c>
      <c r="BL61" t="s">
        <v>104</v>
      </c>
      <c r="CB61" t="s">
        <v>104</v>
      </c>
      <c r="CP61" t="s">
        <v>104</v>
      </c>
      <c r="DC61" t="s">
        <v>104</v>
      </c>
      <c r="DP61" t="s">
        <v>104</v>
      </c>
      <c r="ED61" t="s">
        <v>104</v>
      </c>
      <c r="ER61" t="s">
        <v>104</v>
      </c>
      <c r="FF61" t="s">
        <v>104</v>
      </c>
      <c r="FT61" t="s">
        <v>104</v>
      </c>
      <c r="GH61" t="s">
        <v>104</v>
      </c>
      <c r="GV61" t="s">
        <v>104</v>
      </c>
      <c r="HJ61" t="s">
        <v>104</v>
      </c>
      <c r="HV61" s="18"/>
    </row>
    <row r="62" spans="6:230" x14ac:dyDescent="0.25">
      <c r="HV62" s="18"/>
    </row>
    <row r="63" spans="6:230" x14ac:dyDescent="0.25">
      <c r="HV63" s="18"/>
    </row>
    <row r="64" spans="6:230" x14ac:dyDescent="0.25">
      <c r="G64" t="s">
        <v>105</v>
      </c>
      <c r="H64">
        <v>15</v>
      </c>
      <c r="I64">
        <v>20</v>
      </c>
      <c r="J64">
        <v>30</v>
      </c>
      <c r="K64">
        <v>40</v>
      </c>
      <c r="L64">
        <v>50</v>
      </c>
      <c r="M64">
        <v>60</v>
      </c>
      <c r="N64">
        <v>70</v>
      </c>
      <c r="O64">
        <v>80</v>
      </c>
      <c r="P64">
        <v>90</v>
      </c>
      <c r="Q64">
        <v>100</v>
      </c>
      <c r="AJ64" t="s">
        <v>105</v>
      </c>
      <c r="AK64">
        <v>15</v>
      </c>
      <c r="AL64">
        <v>20</v>
      </c>
      <c r="AM64">
        <v>30</v>
      </c>
      <c r="AN64">
        <v>40</v>
      </c>
      <c r="AO64">
        <v>50</v>
      </c>
      <c r="AP64">
        <v>60</v>
      </c>
      <c r="AQ64">
        <v>70</v>
      </c>
      <c r="AR64">
        <v>80</v>
      </c>
      <c r="AS64">
        <v>90</v>
      </c>
      <c r="AT64">
        <v>100</v>
      </c>
      <c r="AV64" t="s">
        <v>105</v>
      </c>
      <c r="AW64">
        <v>15</v>
      </c>
      <c r="AX64">
        <v>20</v>
      </c>
      <c r="AY64">
        <v>30</v>
      </c>
      <c r="AZ64">
        <v>40</v>
      </c>
      <c r="BA64">
        <v>50</v>
      </c>
      <c r="BB64">
        <v>60</v>
      </c>
      <c r="BC64">
        <v>70</v>
      </c>
      <c r="BD64">
        <v>80</v>
      </c>
      <c r="BE64">
        <v>90</v>
      </c>
      <c r="BF64">
        <v>100</v>
      </c>
      <c r="BL64" t="s">
        <v>105</v>
      </c>
      <c r="BM64">
        <v>15</v>
      </c>
      <c r="BN64">
        <v>20</v>
      </c>
      <c r="BO64">
        <v>30</v>
      </c>
      <c r="BP64">
        <v>40</v>
      </c>
      <c r="BQ64">
        <v>50</v>
      </c>
      <c r="BR64">
        <v>60</v>
      </c>
      <c r="BS64">
        <v>70</v>
      </c>
      <c r="BT64">
        <v>80</v>
      </c>
      <c r="BU64">
        <v>90</v>
      </c>
      <c r="BV64">
        <v>100</v>
      </c>
      <c r="CB64" t="s">
        <v>105</v>
      </c>
      <c r="CC64">
        <v>15</v>
      </c>
      <c r="CD64">
        <v>20</v>
      </c>
      <c r="CE64">
        <v>30</v>
      </c>
      <c r="CF64">
        <v>40</v>
      </c>
      <c r="CG64">
        <v>50</v>
      </c>
      <c r="CH64">
        <v>60</v>
      </c>
      <c r="CI64">
        <v>70</v>
      </c>
      <c r="CJ64">
        <v>80</v>
      </c>
      <c r="CK64">
        <v>90</v>
      </c>
      <c r="CL64">
        <v>100</v>
      </c>
      <c r="CP64" t="s">
        <v>105</v>
      </c>
      <c r="CQ64">
        <v>15</v>
      </c>
      <c r="CR64">
        <v>20</v>
      </c>
      <c r="CS64">
        <v>30</v>
      </c>
      <c r="CT64">
        <v>40</v>
      </c>
      <c r="CU64">
        <v>50</v>
      </c>
      <c r="CV64">
        <v>60</v>
      </c>
      <c r="CW64">
        <v>70</v>
      </c>
      <c r="CX64">
        <v>80</v>
      </c>
      <c r="CY64">
        <v>90</v>
      </c>
      <c r="CZ64">
        <v>100</v>
      </c>
      <c r="DC64" t="s">
        <v>105</v>
      </c>
      <c r="DD64">
        <v>15</v>
      </c>
      <c r="DE64">
        <v>20</v>
      </c>
      <c r="DF64">
        <v>30</v>
      </c>
      <c r="DG64">
        <v>40</v>
      </c>
      <c r="DH64">
        <v>50</v>
      </c>
      <c r="DI64">
        <v>60</v>
      </c>
      <c r="DJ64">
        <v>70</v>
      </c>
      <c r="DK64">
        <v>80</v>
      </c>
      <c r="DL64">
        <v>90</v>
      </c>
      <c r="DM64">
        <v>100</v>
      </c>
      <c r="DP64" t="s">
        <v>105</v>
      </c>
      <c r="DQ64">
        <v>15</v>
      </c>
      <c r="DR64">
        <v>20</v>
      </c>
      <c r="DS64">
        <v>30</v>
      </c>
      <c r="DT64">
        <v>40</v>
      </c>
      <c r="DU64">
        <v>50</v>
      </c>
      <c r="DV64">
        <v>60</v>
      </c>
      <c r="DW64">
        <v>70</v>
      </c>
      <c r="DX64">
        <v>80</v>
      </c>
      <c r="DY64">
        <v>90</v>
      </c>
      <c r="DZ64">
        <v>100</v>
      </c>
      <c r="ED64" t="s">
        <v>105</v>
      </c>
      <c r="EE64">
        <v>15</v>
      </c>
      <c r="EF64">
        <v>20</v>
      </c>
      <c r="EG64">
        <v>30</v>
      </c>
      <c r="EH64">
        <v>40</v>
      </c>
      <c r="EI64">
        <v>50</v>
      </c>
      <c r="EJ64">
        <v>60</v>
      </c>
      <c r="EK64">
        <v>70</v>
      </c>
      <c r="EL64">
        <v>80</v>
      </c>
      <c r="EM64">
        <v>90</v>
      </c>
      <c r="EN64">
        <v>100</v>
      </c>
      <c r="ER64" t="s">
        <v>105</v>
      </c>
      <c r="ES64">
        <v>15</v>
      </c>
      <c r="ET64">
        <v>20</v>
      </c>
      <c r="EU64">
        <v>30</v>
      </c>
      <c r="EV64">
        <v>40</v>
      </c>
      <c r="EW64">
        <v>50</v>
      </c>
      <c r="EX64">
        <v>60</v>
      </c>
      <c r="EY64">
        <v>70</v>
      </c>
      <c r="EZ64">
        <v>80</v>
      </c>
      <c r="FA64">
        <v>90</v>
      </c>
      <c r="FB64">
        <v>100</v>
      </c>
      <c r="FF64" t="s">
        <v>105</v>
      </c>
      <c r="FG64">
        <v>15</v>
      </c>
      <c r="FH64">
        <v>20</v>
      </c>
      <c r="FI64">
        <v>30</v>
      </c>
      <c r="FJ64">
        <v>40</v>
      </c>
      <c r="FK64">
        <v>50</v>
      </c>
      <c r="FL64">
        <v>60</v>
      </c>
      <c r="FM64">
        <v>70</v>
      </c>
      <c r="FN64">
        <v>80</v>
      </c>
      <c r="FO64">
        <v>90</v>
      </c>
      <c r="FP64">
        <v>100</v>
      </c>
      <c r="FT64" t="s">
        <v>105</v>
      </c>
      <c r="FU64">
        <v>15</v>
      </c>
      <c r="FV64">
        <v>20</v>
      </c>
      <c r="FW64">
        <v>30</v>
      </c>
      <c r="FX64">
        <v>40</v>
      </c>
      <c r="FY64">
        <v>50</v>
      </c>
      <c r="FZ64">
        <v>60</v>
      </c>
      <c r="GA64">
        <v>70</v>
      </c>
      <c r="GB64">
        <v>80</v>
      </c>
      <c r="GC64">
        <v>90</v>
      </c>
      <c r="GD64">
        <v>100</v>
      </c>
      <c r="GH64" t="s">
        <v>105</v>
      </c>
      <c r="GI64">
        <v>15</v>
      </c>
      <c r="GJ64">
        <v>20</v>
      </c>
      <c r="GK64">
        <v>30</v>
      </c>
      <c r="GL64">
        <v>40</v>
      </c>
      <c r="GM64">
        <v>50</v>
      </c>
      <c r="GN64">
        <v>60</v>
      </c>
      <c r="GO64">
        <v>70</v>
      </c>
      <c r="GP64">
        <v>80</v>
      </c>
      <c r="GQ64">
        <v>90</v>
      </c>
      <c r="GR64">
        <v>100</v>
      </c>
      <c r="GV64" t="s">
        <v>105</v>
      </c>
      <c r="GW64">
        <v>15</v>
      </c>
      <c r="GX64">
        <v>20</v>
      </c>
      <c r="GY64">
        <v>30</v>
      </c>
      <c r="GZ64">
        <v>40</v>
      </c>
      <c r="HA64">
        <v>50</v>
      </c>
      <c r="HB64">
        <v>60</v>
      </c>
      <c r="HC64">
        <v>70</v>
      </c>
      <c r="HD64">
        <v>80</v>
      </c>
      <c r="HE64">
        <v>90</v>
      </c>
      <c r="HF64">
        <v>100</v>
      </c>
      <c r="HJ64" t="s">
        <v>105</v>
      </c>
      <c r="HK64">
        <v>15</v>
      </c>
      <c r="HL64">
        <v>20</v>
      </c>
      <c r="HM64">
        <v>30</v>
      </c>
      <c r="HN64">
        <v>40</v>
      </c>
      <c r="HO64">
        <v>50</v>
      </c>
      <c r="HP64">
        <v>60</v>
      </c>
      <c r="HQ64">
        <v>70</v>
      </c>
      <c r="HR64">
        <v>80</v>
      </c>
      <c r="HS64">
        <v>90</v>
      </c>
      <c r="HT64">
        <v>100</v>
      </c>
      <c r="HV64" s="18"/>
    </row>
    <row r="65" spans="7:230" x14ac:dyDescent="0.25">
      <c r="G65" t="s">
        <v>106</v>
      </c>
      <c r="H65">
        <v>5</v>
      </c>
      <c r="I65">
        <v>5</v>
      </c>
      <c r="J65">
        <v>5</v>
      </c>
      <c r="K65">
        <v>5</v>
      </c>
      <c r="L65">
        <v>5</v>
      </c>
      <c r="M65">
        <v>5</v>
      </c>
      <c r="N65">
        <v>5</v>
      </c>
      <c r="O65">
        <v>5</v>
      </c>
      <c r="P65">
        <v>5</v>
      </c>
      <c r="Q65">
        <v>5</v>
      </c>
      <c r="AJ65" t="s">
        <v>106</v>
      </c>
      <c r="AK65">
        <v>10</v>
      </c>
      <c r="AL65">
        <v>10</v>
      </c>
      <c r="AM65">
        <v>10</v>
      </c>
      <c r="AN65">
        <v>10</v>
      </c>
      <c r="AO65">
        <v>10</v>
      </c>
      <c r="AP65">
        <v>10</v>
      </c>
      <c r="AQ65">
        <v>10</v>
      </c>
      <c r="AR65">
        <v>10</v>
      </c>
      <c r="AS65">
        <v>10</v>
      </c>
      <c r="AT65">
        <v>10</v>
      </c>
      <c r="AV65" t="s">
        <v>106</v>
      </c>
      <c r="AW65">
        <v>10</v>
      </c>
      <c r="AX65">
        <v>10</v>
      </c>
      <c r="AY65">
        <v>10</v>
      </c>
      <c r="AZ65">
        <v>10</v>
      </c>
      <c r="BA65">
        <v>10</v>
      </c>
      <c r="BB65">
        <v>10</v>
      </c>
      <c r="BC65">
        <v>10</v>
      </c>
      <c r="BD65">
        <v>10</v>
      </c>
      <c r="BE65">
        <v>10</v>
      </c>
      <c r="BF65">
        <v>10</v>
      </c>
      <c r="BL65" t="s">
        <v>106</v>
      </c>
      <c r="BM65">
        <v>20</v>
      </c>
      <c r="BN65">
        <v>20</v>
      </c>
      <c r="BO65">
        <v>20</v>
      </c>
      <c r="BP65">
        <v>20</v>
      </c>
      <c r="BQ65">
        <v>20</v>
      </c>
      <c r="BR65">
        <v>20</v>
      </c>
      <c r="BS65">
        <v>20</v>
      </c>
      <c r="BT65">
        <v>20</v>
      </c>
      <c r="BU65">
        <v>20</v>
      </c>
      <c r="BV65">
        <v>20</v>
      </c>
      <c r="CB65" t="s">
        <v>106</v>
      </c>
      <c r="CC65">
        <v>30</v>
      </c>
      <c r="CD65">
        <v>30</v>
      </c>
      <c r="CE65">
        <v>30</v>
      </c>
      <c r="CF65">
        <v>30</v>
      </c>
      <c r="CG65">
        <v>30</v>
      </c>
      <c r="CH65">
        <v>30</v>
      </c>
      <c r="CI65">
        <v>30</v>
      </c>
      <c r="CJ65">
        <v>30</v>
      </c>
      <c r="CK65">
        <v>30</v>
      </c>
      <c r="CL65">
        <v>30</v>
      </c>
      <c r="CP65" t="s">
        <v>106</v>
      </c>
      <c r="CQ65">
        <v>50</v>
      </c>
      <c r="CR65">
        <v>50</v>
      </c>
      <c r="CS65">
        <v>50</v>
      </c>
      <c r="CT65">
        <v>50</v>
      </c>
      <c r="CU65">
        <v>50</v>
      </c>
      <c r="CV65">
        <v>50</v>
      </c>
      <c r="CW65">
        <v>50</v>
      </c>
      <c r="CX65">
        <v>50</v>
      </c>
      <c r="CY65">
        <v>50</v>
      </c>
      <c r="CZ65">
        <v>50</v>
      </c>
      <c r="DC65" t="s">
        <v>106</v>
      </c>
      <c r="DD65">
        <v>75</v>
      </c>
      <c r="DE65">
        <v>75</v>
      </c>
      <c r="DF65">
        <v>75</v>
      </c>
      <c r="DG65">
        <v>75</v>
      </c>
      <c r="DH65">
        <v>75</v>
      </c>
      <c r="DI65">
        <v>75</v>
      </c>
      <c r="DJ65">
        <v>75</v>
      </c>
      <c r="DK65">
        <v>75</v>
      </c>
      <c r="DL65">
        <v>75</v>
      </c>
      <c r="DM65">
        <v>75</v>
      </c>
      <c r="DP65" t="s">
        <v>106</v>
      </c>
      <c r="DQ65">
        <v>100</v>
      </c>
      <c r="DR65">
        <v>100</v>
      </c>
      <c r="DS65">
        <v>100</v>
      </c>
      <c r="DT65">
        <v>100</v>
      </c>
      <c r="DU65">
        <v>100</v>
      </c>
      <c r="DV65">
        <v>100</v>
      </c>
      <c r="DW65">
        <v>100</v>
      </c>
      <c r="DX65">
        <v>100</v>
      </c>
      <c r="DY65">
        <v>100</v>
      </c>
      <c r="DZ65">
        <v>100</v>
      </c>
      <c r="ED65" t="s">
        <v>106</v>
      </c>
      <c r="EE65">
        <v>200</v>
      </c>
      <c r="EF65">
        <v>200</v>
      </c>
      <c r="EG65">
        <v>200</v>
      </c>
      <c r="EH65">
        <v>200</v>
      </c>
      <c r="EI65">
        <v>200</v>
      </c>
      <c r="EJ65">
        <v>200</v>
      </c>
      <c r="EK65">
        <v>200</v>
      </c>
      <c r="EL65">
        <v>200</v>
      </c>
      <c r="EM65">
        <v>200</v>
      </c>
      <c r="EN65">
        <v>200</v>
      </c>
      <c r="ER65" t="s">
        <v>106</v>
      </c>
      <c r="ES65">
        <v>300</v>
      </c>
      <c r="ET65">
        <v>300</v>
      </c>
      <c r="EU65">
        <v>300</v>
      </c>
      <c r="EV65">
        <v>300</v>
      </c>
      <c r="EW65">
        <v>300</v>
      </c>
      <c r="EX65">
        <v>300</v>
      </c>
      <c r="EY65">
        <v>300</v>
      </c>
      <c r="EZ65">
        <v>300</v>
      </c>
      <c r="FA65">
        <v>300</v>
      </c>
      <c r="FB65">
        <v>300</v>
      </c>
      <c r="FF65" t="s">
        <v>106</v>
      </c>
      <c r="FG65">
        <v>400</v>
      </c>
      <c r="FH65">
        <v>400</v>
      </c>
      <c r="FI65">
        <v>400</v>
      </c>
      <c r="FJ65">
        <v>400</v>
      </c>
      <c r="FK65">
        <v>400</v>
      </c>
      <c r="FL65">
        <v>400</v>
      </c>
      <c r="FM65">
        <v>400</v>
      </c>
      <c r="FN65">
        <v>400</v>
      </c>
      <c r="FO65">
        <v>400</v>
      </c>
      <c r="FP65">
        <v>400</v>
      </c>
      <c r="FT65" t="s">
        <v>106</v>
      </c>
      <c r="FU65">
        <v>500</v>
      </c>
      <c r="FV65">
        <v>500</v>
      </c>
      <c r="FW65">
        <v>500</v>
      </c>
      <c r="FX65">
        <v>500</v>
      </c>
      <c r="FY65">
        <v>500</v>
      </c>
      <c r="FZ65">
        <v>500</v>
      </c>
      <c r="GA65">
        <v>500</v>
      </c>
      <c r="GB65">
        <v>500</v>
      </c>
      <c r="GC65">
        <v>500</v>
      </c>
      <c r="GD65">
        <v>500</v>
      </c>
      <c r="GH65" t="s">
        <v>106</v>
      </c>
      <c r="GI65">
        <v>600</v>
      </c>
      <c r="GJ65">
        <v>600</v>
      </c>
      <c r="GK65">
        <v>600</v>
      </c>
      <c r="GL65">
        <v>600</v>
      </c>
      <c r="GM65">
        <v>600</v>
      </c>
      <c r="GN65">
        <v>600</v>
      </c>
      <c r="GO65">
        <v>600</v>
      </c>
      <c r="GP65">
        <v>600</v>
      </c>
      <c r="GQ65">
        <v>600</v>
      </c>
      <c r="GR65">
        <v>600</v>
      </c>
      <c r="GV65" t="s">
        <v>106</v>
      </c>
      <c r="GW65">
        <v>800</v>
      </c>
      <c r="GX65">
        <v>800</v>
      </c>
      <c r="GY65">
        <v>800</v>
      </c>
      <c r="GZ65">
        <v>800</v>
      </c>
      <c r="HA65">
        <v>800</v>
      </c>
      <c r="HB65">
        <v>800</v>
      </c>
      <c r="HC65">
        <v>800</v>
      </c>
      <c r="HD65">
        <v>800</v>
      </c>
      <c r="HE65">
        <v>800</v>
      </c>
      <c r="HF65">
        <v>800</v>
      </c>
      <c r="HJ65" t="s">
        <v>106</v>
      </c>
      <c r="HK65">
        <v>1000</v>
      </c>
      <c r="HL65">
        <v>1000</v>
      </c>
      <c r="HM65">
        <v>1000</v>
      </c>
      <c r="HN65">
        <v>1000</v>
      </c>
      <c r="HO65">
        <v>1000</v>
      </c>
      <c r="HP65">
        <v>1000</v>
      </c>
      <c r="HQ65">
        <v>1000</v>
      </c>
      <c r="HR65">
        <v>1000</v>
      </c>
      <c r="HS65">
        <v>1000</v>
      </c>
      <c r="HT65">
        <v>1000</v>
      </c>
      <c r="HV65" s="18"/>
    </row>
    <row r="66" spans="7:230" x14ac:dyDescent="0.25">
      <c r="HV66" s="18"/>
    </row>
    <row r="67" spans="7:230" x14ac:dyDescent="0.25">
      <c r="G67" t="s">
        <v>107</v>
      </c>
      <c r="H67">
        <f>H64*H65*0.25</f>
        <v>18.75</v>
      </c>
      <c r="I67">
        <f t="shared" ref="I67:Q67" si="0">I64*I65*0.25</f>
        <v>25</v>
      </c>
      <c r="J67">
        <f t="shared" si="0"/>
        <v>37.5</v>
      </c>
      <c r="K67">
        <f t="shared" si="0"/>
        <v>50</v>
      </c>
      <c r="L67">
        <f t="shared" si="0"/>
        <v>62.5</v>
      </c>
      <c r="M67">
        <f t="shared" si="0"/>
        <v>75</v>
      </c>
      <c r="N67">
        <f t="shared" si="0"/>
        <v>87.5</v>
      </c>
      <c r="O67">
        <f t="shared" si="0"/>
        <v>100</v>
      </c>
      <c r="P67">
        <f t="shared" si="0"/>
        <v>112.5</v>
      </c>
      <c r="Q67">
        <f t="shared" si="0"/>
        <v>125</v>
      </c>
      <c r="AJ67" t="s">
        <v>107</v>
      </c>
      <c r="AK67">
        <f>AK64*AK65*0.25</f>
        <v>37.5</v>
      </c>
      <c r="AL67">
        <f t="shared" ref="AL67:AT67" si="1">AL64*AL65*0.25</f>
        <v>50</v>
      </c>
      <c r="AM67">
        <f t="shared" si="1"/>
        <v>75</v>
      </c>
      <c r="AN67">
        <f t="shared" si="1"/>
        <v>100</v>
      </c>
      <c r="AO67">
        <f t="shared" si="1"/>
        <v>125</v>
      </c>
      <c r="AP67">
        <f t="shared" si="1"/>
        <v>150</v>
      </c>
      <c r="AQ67">
        <f t="shared" si="1"/>
        <v>175</v>
      </c>
      <c r="AR67">
        <f t="shared" si="1"/>
        <v>200</v>
      </c>
      <c r="AS67">
        <f t="shared" si="1"/>
        <v>225</v>
      </c>
      <c r="AT67">
        <f t="shared" si="1"/>
        <v>250</v>
      </c>
      <c r="AV67" t="s">
        <v>107</v>
      </c>
      <c r="AW67">
        <f>AW64*AW65*0.25</f>
        <v>37.5</v>
      </c>
      <c r="AX67">
        <f t="shared" ref="AX67:BF67" si="2">AX64*AX65*0.25</f>
        <v>50</v>
      </c>
      <c r="AY67">
        <f t="shared" si="2"/>
        <v>75</v>
      </c>
      <c r="AZ67">
        <f t="shared" si="2"/>
        <v>100</v>
      </c>
      <c r="BA67">
        <f t="shared" si="2"/>
        <v>125</v>
      </c>
      <c r="BB67">
        <f t="shared" si="2"/>
        <v>150</v>
      </c>
      <c r="BC67">
        <f t="shared" si="2"/>
        <v>175</v>
      </c>
      <c r="BD67">
        <f t="shared" si="2"/>
        <v>200</v>
      </c>
      <c r="BE67">
        <f t="shared" si="2"/>
        <v>225</v>
      </c>
      <c r="BF67">
        <f t="shared" si="2"/>
        <v>250</v>
      </c>
      <c r="BL67" t="s">
        <v>107</v>
      </c>
      <c r="BM67">
        <f>BM64*BM65*0.25</f>
        <v>75</v>
      </c>
      <c r="BN67">
        <f t="shared" ref="BN67:BV67" si="3">BN64*BN65*0.25</f>
        <v>100</v>
      </c>
      <c r="BO67">
        <f t="shared" si="3"/>
        <v>150</v>
      </c>
      <c r="BP67">
        <f t="shared" si="3"/>
        <v>200</v>
      </c>
      <c r="BQ67">
        <f t="shared" si="3"/>
        <v>250</v>
      </c>
      <c r="BR67">
        <f t="shared" si="3"/>
        <v>300</v>
      </c>
      <c r="BS67">
        <f t="shared" si="3"/>
        <v>350</v>
      </c>
      <c r="BT67">
        <f t="shared" si="3"/>
        <v>400</v>
      </c>
      <c r="BU67">
        <f t="shared" si="3"/>
        <v>450</v>
      </c>
      <c r="BV67">
        <f t="shared" si="3"/>
        <v>500</v>
      </c>
      <c r="CB67" t="s">
        <v>107</v>
      </c>
      <c r="CC67">
        <f>CC64*CC65*0.25</f>
        <v>112.5</v>
      </c>
      <c r="CD67">
        <f t="shared" ref="CD67:CL67" si="4">CD64*CD65*0.25</f>
        <v>150</v>
      </c>
      <c r="CE67">
        <f t="shared" si="4"/>
        <v>225</v>
      </c>
      <c r="CF67">
        <f t="shared" si="4"/>
        <v>300</v>
      </c>
      <c r="CG67">
        <f t="shared" si="4"/>
        <v>375</v>
      </c>
      <c r="CH67">
        <f t="shared" si="4"/>
        <v>450</v>
      </c>
      <c r="CI67">
        <f t="shared" si="4"/>
        <v>525</v>
      </c>
      <c r="CJ67">
        <f t="shared" si="4"/>
        <v>600</v>
      </c>
      <c r="CK67">
        <f t="shared" si="4"/>
        <v>675</v>
      </c>
      <c r="CL67">
        <f t="shared" si="4"/>
        <v>750</v>
      </c>
      <c r="CP67" t="s">
        <v>107</v>
      </c>
      <c r="CQ67">
        <f>CQ64*CQ65*0.25</f>
        <v>187.5</v>
      </c>
      <c r="CR67">
        <f t="shared" ref="CR67:CZ67" si="5">CR64*CR65*0.25</f>
        <v>250</v>
      </c>
      <c r="CS67">
        <f t="shared" si="5"/>
        <v>375</v>
      </c>
      <c r="CT67">
        <f t="shared" si="5"/>
        <v>500</v>
      </c>
      <c r="CU67">
        <f t="shared" si="5"/>
        <v>625</v>
      </c>
      <c r="CV67">
        <f t="shared" si="5"/>
        <v>750</v>
      </c>
      <c r="CW67">
        <f t="shared" si="5"/>
        <v>875</v>
      </c>
      <c r="CX67">
        <f t="shared" si="5"/>
        <v>1000</v>
      </c>
      <c r="CY67">
        <f t="shared" si="5"/>
        <v>1125</v>
      </c>
      <c r="CZ67">
        <f t="shared" si="5"/>
        <v>1250</v>
      </c>
      <c r="DC67" t="s">
        <v>107</v>
      </c>
      <c r="DD67">
        <f>DD64*DD65*0.25</f>
        <v>281.25</v>
      </c>
      <c r="DE67">
        <f t="shared" ref="DE67:DM67" si="6">DE64*DE65*0.25</f>
        <v>375</v>
      </c>
      <c r="DF67">
        <f t="shared" si="6"/>
        <v>562.5</v>
      </c>
      <c r="DG67">
        <f t="shared" si="6"/>
        <v>750</v>
      </c>
      <c r="DH67">
        <f t="shared" si="6"/>
        <v>937.5</v>
      </c>
      <c r="DI67">
        <f t="shared" si="6"/>
        <v>1125</v>
      </c>
      <c r="DJ67">
        <f t="shared" si="6"/>
        <v>1312.5</v>
      </c>
      <c r="DK67">
        <f t="shared" si="6"/>
        <v>1500</v>
      </c>
      <c r="DL67">
        <f t="shared" si="6"/>
        <v>1687.5</v>
      </c>
      <c r="DM67">
        <f t="shared" si="6"/>
        <v>1875</v>
      </c>
      <c r="DP67" t="s">
        <v>107</v>
      </c>
      <c r="DQ67">
        <f>DQ64*DQ65*0.25</f>
        <v>375</v>
      </c>
      <c r="DR67">
        <f t="shared" ref="DR67:DZ67" si="7">DR64*DR65*0.25</f>
        <v>500</v>
      </c>
      <c r="DS67">
        <f t="shared" si="7"/>
        <v>750</v>
      </c>
      <c r="DT67">
        <f t="shared" si="7"/>
        <v>1000</v>
      </c>
      <c r="DU67">
        <f t="shared" si="7"/>
        <v>1250</v>
      </c>
      <c r="DV67">
        <f t="shared" si="7"/>
        <v>1500</v>
      </c>
      <c r="DW67">
        <f t="shared" si="7"/>
        <v>1750</v>
      </c>
      <c r="DX67">
        <f t="shared" si="7"/>
        <v>2000</v>
      </c>
      <c r="DY67">
        <f t="shared" si="7"/>
        <v>2250</v>
      </c>
      <c r="DZ67">
        <f t="shared" si="7"/>
        <v>2500</v>
      </c>
      <c r="ED67" t="s">
        <v>107</v>
      </c>
      <c r="EE67">
        <f>EE64*EE65*0.25</f>
        <v>750</v>
      </c>
      <c r="EF67">
        <f t="shared" ref="EF67:EN67" si="8">EF64*EF65*0.25</f>
        <v>1000</v>
      </c>
      <c r="EG67">
        <f t="shared" si="8"/>
        <v>1500</v>
      </c>
      <c r="EH67">
        <f t="shared" si="8"/>
        <v>2000</v>
      </c>
      <c r="EI67">
        <f t="shared" si="8"/>
        <v>2500</v>
      </c>
      <c r="EJ67">
        <f t="shared" si="8"/>
        <v>3000</v>
      </c>
      <c r="EK67">
        <f t="shared" si="8"/>
        <v>3500</v>
      </c>
      <c r="EL67">
        <f t="shared" si="8"/>
        <v>4000</v>
      </c>
      <c r="EM67">
        <f t="shared" si="8"/>
        <v>4500</v>
      </c>
      <c r="EN67">
        <f t="shared" si="8"/>
        <v>5000</v>
      </c>
      <c r="ER67" t="s">
        <v>107</v>
      </c>
      <c r="ES67">
        <f>ES64*ES65*0.25</f>
        <v>1125</v>
      </c>
      <c r="ET67">
        <f t="shared" ref="ET67:FB67" si="9">ET64*ET65*0.25</f>
        <v>1500</v>
      </c>
      <c r="EU67">
        <f t="shared" si="9"/>
        <v>2250</v>
      </c>
      <c r="EV67">
        <f t="shared" si="9"/>
        <v>3000</v>
      </c>
      <c r="EW67">
        <f t="shared" si="9"/>
        <v>3750</v>
      </c>
      <c r="EX67">
        <f t="shared" si="9"/>
        <v>4500</v>
      </c>
      <c r="EY67">
        <f t="shared" si="9"/>
        <v>5250</v>
      </c>
      <c r="EZ67">
        <f t="shared" si="9"/>
        <v>6000</v>
      </c>
      <c r="FA67">
        <f t="shared" si="9"/>
        <v>6750</v>
      </c>
      <c r="FB67">
        <f t="shared" si="9"/>
        <v>7500</v>
      </c>
      <c r="FF67" t="s">
        <v>107</v>
      </c>
      <c r="FG67">
        <f>FG64*FG65*0.25</f>
        <v>1500</v>
      </c>
      <c r="FH67">
        <f t="shared" ref="FH67:FP67" si="10">FH64*FH65*0.25</f>
        <v>2000</v>
      </c>
      <c r="FI67">
        <f t="shared" si="10"/>
        <v>3000</v>
      </c>
      <c r="FJ67">
        <f t="shared" si="10"/>
        <v>4000</v>
      </c>
      <c r="FK67">
        <f t="shared" si="10"/>
        <v>5000</v>
      </c>
      <c r="FL67">
        <f t="shared" si="10"/>
        <v>6000</v>
      </c>
      <c r="FM67">
        <f t="shared" si="10"/>
        <v>7000</v>
      </c>
      <c r="FN67">
        <f t="shared" si="10"/>
        <v>8000</v>
      </c>
      <c r="FO67">
        <f t="shared" si="10"/>
        <v>9000</v>
      </c>
      <c r="FP67">
        <f t="shared" si="10"/>
        <v>10000</v>
      </c>
      <c r="FT67" t="s">
        <v>107</v>
      </c>
      <c r="FU67">
        <f>FU64*FU65*0.25</f>
        <v>1875</v>
      </c>
      <c r="FV67">
        <f t="shared" ref="FV67:GD67" si="11">FV64*FV65*0.25</f>
        <v>2500</v>
      </c>
      <c r="FW67">
        <f t="shared" si="11"/>
        <v>3750</v>
      </c>
      <c r="FX67">
        <f t="shared" si="11"/>
        <v>5000</v>
      </c>
      <c r="FY67">
        <f t="shared" si="11"/>
        <v>6250</v>
      </c>
      <c r="FZ67">
        <f t="shared" si="11"/>
        <v>7500</v>
      </c>
      <c r="GA67">
        <f t="shared" si="11"/>
        <v>8750</v>
      </c>
      <c r="GB67">
        <f t="shared" si="11"/>
        <v>10000</v>
      </c>
      <c r="GC67">
        <f t="shared" si="11"/>
        <v>11250</v>
      </c>
      <c r="GD67">
        <f t="shared" si="11"/>
        <v>12500</v>
      </c>
      <c r="GH67" t="s">
        <v>107</v>
      </c>
      <c r="GI67">
        <f>GI64*GI65*0.25</f>
        <v>2250</v>
      </c>
      <c r="GJ67">
        <f t="shared" ref="GJ67:GR67" si="12">GJ64*GJ65*0.25</f>
        <v>3000</v>
      </c>
      <c r="GK67">
        <f t="shared" si="12"/>
        <v>4500</v>
      </c>
      <c r="GL67">
        <f t="shared" si="12"/>
        <v>6000</v>
      </c>
      <c r="GM67">
        <f t="shared" si="12"/>
        <v>7500</v>
      </c>
      <c r="GN67">
        <f t="shared" si="12"/>
        <v>9000</v>
      </c>
      <c r="GO67">
        <f t="shared" si="12"/>
        <v>10500</v>
      </c>
      <c r="GP67">
        <f t="shared" si="12"/>
        <v>12000</v>
      </c>
      <c r="GQ67">
        <f t="shared" si="12"/>
        <v>13500</v>
      </c>
      <c r="GR67">
        <f t="shared" si="12"/>
        <v>15000</v>
      </c>
      <c r="GV67" t="s">
        <v>107</v>
      </c>
      <c r="GW67">
        <f>GW64*GW65*0.25</f>
        <v>3000</v>
      </c>
      <c r="GX67">
        <f t="shared" ref="GX67:HF67" si="13">GX64*GX65*0.25</f>
        <v>4000</v>
      </c>
      <c r="GY67">
        <f t="shared" si="13"/>
        <v>6000</v>
      </c>
      <c r="GZ67">
        <f t="shared" si="13"/>
        <v>8000</v>
      </c>
      <c r="HA67">
        <f t="shared" si="13"/>
        <v>10000</v>
      </c>
      <c r="HB67">
        <f t="shared" si="13"/>
        <v>12000</v>
      </c>
      <c r="HC67">
        <f t="shared" si="13"/>
        <v>14000</v>
      </c>
      <c r="HD67">
        <f t="shared" si="13"/>
        <v>16000</v>
      </c>
      <c r="HE67">
        <f t="shared" si="13"/>
        <v>18000</v>
      </c>
      <c r="HF67">
        <f t="shared" si="13"/>
        <v>20000</v>
      </c>
      <c r="HJ67" t="s">
        <v>107</v>
      </c>
      <c r="HK67">
        <f>HK64*HK65*0.25</f>
        <v>3750</v>
      </c>
      <c r="HL67">
        <f t="shared" ref="HL67:HT67" si="14">HL64*HL65*0.25</f>
        <v>5000</v>
      </c>
      <c r="HM67">
        <f t="shared" si="14"/>
        <v>7500</v>
      </c>
      <c r="HN67">
        <f t="shared" si="14"/>
        <v>10000</v>
      </c>
      <c r="HO67">
        <f t="shared" si="14"/>
        <v>12500</v>
      </c>
      <c r="HP67">
        <f t="shared" si="14"/>
        <v>15000</v>
      </c>
      <c r="HQ67">
        <f t="shared" si="14"/>
        <v>17500</v>
      </c>
      <c r="HR67">
        <f t="shared" si="14"/>
        <v>20000</v>
      </c>
      <c r="HS67">
        <f t="shared" si="14"/>
        <v>22500</v>
      </c>
      <c r="HT67">
        <f t="shared" si="14"/>
        <v>25000</v>
      </c>
      <c r="HV67" s="18"/>
    </row>
    <row r="68" spans="7:230" x14ac:dyDescent="0.25">
      <c r="DN68" s="18">
        <f>DM67/DD67</f>
        <v>6.666666666666667</v>
      </c>
      <c r="EB68" s="18">
        <f>DZ67/DQ67</f>
        <v>6.666666666666667</v>
      </c>
      <c r="HV68" s="18"/>
    </row>
    <row r="69" spans="7:230" x14ac:dyDescent="0.25">
      <c r="G69" t="s">
        <v>108</v>
      </c>
      <c r="AJ69" t="s">
        <v>266</v>
      </c>
      <c r="AK69">
        <v>3</v>
      </c>
      <c r="AL69">
        <v>3</v>
      </c>
      <c r="AM69">
        <v>3</v>
      </c>
      <c r="AN69">
        <v>3</v>
      </c>
      <c r="AO69">
        <v>4</v>
      </c>
      <c r="AP69">
        <v>4</v>
      </c>
      <c r="AQ69">
        <v>5</v>
      </c>
      <c r="AR69">
        <v>5</v>
      </c>
      <c r="AS69">
        <v>6</v>
      </c>
      <c r="AT69">
        <v>6</v>
      </c>
      <c r="AV69" t="s">
        <v>266</v>
      </c>
      <c r="AW69">
        <v>3</v>
      </c>
      <c r="AX69">
        <v>3</v>
      </c>
      <c r="AY69">
        <v>3</v>
      </c>
      <c r="AZ69">
        <v>3</v>
      </c>
      <c r="BA69">
        <v>4</v>
      </c>
      <c r="BB69">
        <v>4</v>
      </c>
      <c r="BC69">
        <v>5</v>
      </c>
      <c r="BD69">
        <v>5</v>
      </c>
      <c r="BE69">
        <v>6</v>
      </c>
      <c r="BF69">
        <v>6</v>
      </c>
      <c r="BL69" t="s">
        <v>266</v>
      </c>
      <c r="BM69">
        <v>3</v>
      </c>
      <c r="BN69">
        <v>3</v>
      </c>
      <c r="BO69">
        <v>4</v>
      </c>
      <c r="BP69">
        <v>5</v>
      </c>
      <c r="BQ69">
        <v>6</v>
      </c>
      <c r="BR69">
        <v>7</v>
      </c>
      <c r="BS69">
        <v>8</v>
      </c>
      <c r="BT69">
        <v>9</v>
      </c>
      <c r="BU69">
        <v>10</v>
      </c>
      <c r="BV69">
        <v>11</v>
      </c>
      <c r="CB69" t="s">
        <v>266</v>
      </c>
      <c r="CC69">
        <v>3</v>
      </c>
      <c r="CD69">
        <v>4</v>
      </c>
      <c r="CE69">
        <v>6</v>
      </c>
      <c r="CF69">
        <v>7</v>
      </c>
      <c r="CG69">
        <v>9</v>
      </c>
      <c r="CH69">
        <v>10</v>
      </c>
      <c r="CI69">
        <v>12</v>
      </c>
      <c r="CJ69">
        <v>13</v>
      </c>
      <c r="CK69">
        <v>15</v>
      </c>
      <c r="CL69">
        <v>16</v>
      </c>
      <c r="CP69" t="s">
        <v>266</v>
      </c>
      <c r="CQ69">
        <v>4</v>
      </c>
      <c r="CR69">
        <v>6</v>
      </c>
      <c r="CS69">
        <v>9</v>
      </c>
      <c r="CT69">
        <v>11</v>
      </c>
      <c r="CU69">
        <v>14</v>
      </c>
      <c r="CV69">
        <v>16</v>
      </c>
      <c r="CW69">
        <v>19</v>
      </c>
      <c r="CX69">
        <v>21</v>
      </c>
      <c r="CY69">
        <v>24</v>
      </c>
      <c r="CZ69">
        <v>26</v>
      </c>
      <c r="DC69" t="s">
        <v>266</v>
      </c>
      <c r="DD69">
        <v>6</v>
      </c>
      <c r="DE69">
        <v>9</v>
      </c>
      <c r="DF69">
        <v>13</v>
      </c>
      <c r="DG69">
        <v>16</v>
      </c>
      <c r="DH69">
        <v>20</v>
      </c>
      <c r="DI69">
        <v>24</v>
      </c>
      <c r="DJ69">
        <v>28</v>
      </c>
      <c r="DK69">
        <v>31</v>
      </c>
      <c r="DL69">
        <v>35</v>
      </c>
      <c r="DM69">
        <v>39</v>
      </c>
      <c r="DP69" t="s">
        <v>266</v>
      </c>
      <c r="DQ69">
        <v>7</v>
      </c>
      <c r="DR69">
        <v>11</v>
      </c>
      <c r="DS69">
        <v>16</v>
      </c>
      <c r="DT69">
        <v>21</v>
      </c>
      <c r="DU69">
        <v>26</v>
      </c>
      <c r="DV69">
        <v>31</v>
      </c>
      <c r="DW69">
        <v>36</v>
      </c>
      <c r="DX69">
        <v>41</v>
      </c>
      <c r="DY69">
        <v>46</v>
      </c>
      <c r="DZ69">
        <v>51</v>
      </c>
      <c r="ED69" t="s">
        <v>266</v>
      </c>
      <c r="EE69">
        <v>7</v>
      </c>
      <c r="EF69">
        <v>11</v>
      </c>
      <c r="EG69">
        <v>16</v>
      </c>
      <c r="EH69">
        <v>21</v>
      </c>
      <c r="EI69">
        <v>26</v>
      </c>
      <c r="EJ69">
        <v>31</v>
      </c>
      <c r="EK69">
        <v>36</v>
      </c>
      <c r="EL69">
        <v>41</v>
      </c>
      <c r="EM69">
        <v>46</v>
      </c>
      <c r="EN69">
        <v>51</v>
      </c>
      <c r="ER69" t="s">
        <v>266</v>
      </c>
      <c r="ES69">
        <v>7</v>
      </c>
      <c r="ET69">
        <v>11</v>
      </c>
      <c r="EU69">
        <v>16</v>
      </c>
      <c r="EV69">
        <v>21</v>
      </c>
      <c r="EW69">
        <v>26</v>
      </c>
      <c r="EX69">
        <v>31</v>
      </c>
      <c r="EY69">
        <v>36</v>
      </c>
      <c r="EZ69">
        <v>41</v>
      </c>
      <c r="FA69">
        <v>46</v>
      </c>
      <c r="FB69">
        <v>51</v>
      </c>
      <c r="FF69" t="s">
        <v>266</v>
      </c>
      <c r="FG69">
        <v>7</v>
      </c>
      <c r="FH69">
        <v>11</v>
      </c>
      <c r="FI69">
        <v>16</v>
      </c>
      <c r="FJ69">
        <v>21</v>
      </c>
      <c r="FK69">
        <v>26</v>
      </c>
      <c r="FL69">
        <v>31</v>
      </c>
      <c r="FM69">
        <v>36</v>
      </c>
      <c r="FN69">
        <v>41</v>
      </c>
      <c r="FO69">
        <v>46</v>
      </c>
      <c r="FP69">
        <v>51</v>
      </c>
      <c r="FT69" t="s">
        <v>266</v>
      </c>
      <c r="FU69">
        <v>7</v>
      </c>
      <c r="FV69">
        <v>11</v>
      </c>
      <c r="FW69">
        <v>16</v>
      </c>
      <c r="FX69">
        <v>21</v>
      </c>
      <c r="FY69">
        <v>26</v>
      </c>
      <c r="FZ69">
        <v>31</v>
      </c>
      <c r="GA69">
        <v>36</v>
      </c>
      <c r="GB69">
        <v>41</v>
      </c>
      <c r="GC69">
        <v>46</v>
      </c>
      <c r="GD69">
        <v>51</v>
      </c>
      <c r="GH69" t="s">
        <v>266</v>
      </c>
      <c r="GI69">
        <v>7</v>
      </c>
      <c r="GJ69">
        <v>11</v>
      </c>
      <c r="GK69">
        <v>16</v>
      </c>
      <c r="GL69">
        <v>21</v>
      </c>
      <c r="GM69">
        <v>26</v>
      </c>
      <c r="GN69">
        <v>31</v>
      </c>
      <c r="GO69">
        <v>36</v>
      </c>
      <c r="GP69">
        <v>41</v>
      </c>
      <c r="GQ69">
        <v>46</v>
      </c>
      <c r="GR69">
        <v>51</v>
      </c>
      <c r="GV69" t="s">
        <v>266</v>
      </c>
      <c r="GW69">
        <v>7</v>
      </c>
      <c r="GX69">
        <v>11</v>
      </c>
      <c r="GY69">
        <v>16</v>
      </c>
      <c r="GZ69">
        <v>21</v>
      </c>
      <c r="HA69">
        <v>26</v>
      </c>
      <c r="HB69">
        <v>31</v>
      </c>
      <c r="HC69">
        <v>36</v>
      </c>
      <c r="HD69">
        <v>41</v>
      </c>
      <c r="HE69">
        <v>46</v>
      </c>
      <c r="HF69">
        <v>51</v>
      </c>
      <c r="HJ69" t="s">
        <v>266</v>
      </c>
      <c r="HK69">
        <v>7</v>
      </c>
      <c r="HL69">
        <v>11</v>
      </c>
      <c r="HM69">
        <v>16</v>
      </c>
      <c r="HN69">
        <v>21</v>
      </c>
      <c r="HO69">
        <v>26</v>
      </c>
      <c r="HP69">
        <v>31</v>
      </c>
      <c r="HQ69">
        <v>36</v>
      </c>
      <c r="HR69">
        <v>41</v>
      </c>
      <c r="HS69">
        <v>46</v>
      </c>
      <c r="HT69">
        <v>51</v>
      </c>
      <c r="HV69" s="18"/>
    </row>
    <row r="70" spans="7:230" x14ac:dyDescent="0.25">
      <c r="HV70" s="18"/>
    </row>
    <row r="71" spans="7:230" x14ac:dyDescent="0.25">
      <c r="G71" t="s">
        <v>150</v>
      </c>
      <c r="H71">
        <f>H67/5</f>
        <v>3.75</v>
      </c>
      <c r="I71">
        <f t="shared" ref="I71:Q71" si="15">I67/5</f>
        <v>5</v>
      </c>
      <c r="J71">
        <f t="shared" si="15"/>
        <v>7.5</v>
      </c>
      <c r="K71">
        <f t="shared" si="15"/>
        <v>10</v>
      </c>
      <c r="L71">
        <f t="shared" si="15"/>
        <v>12.5</v>
      </c>
      <c r="M71">
        <f t="shared" si="15"/>
        <v>15</v>
      </c>
      <c r="N71">
        <f t="shared" si="15"/>
        <v>17.5</v>
      </c>
      <c r="O71">
        <f t="shared" si="15"/>
        <v>20</v>
      </c>
      <c r="P71">
        <f t="shared" si="15"/>
        <v>22.5</v>
      </c>
      <c r="Q71">
        <f t="shared" si="15"/>
        <v>25</v>
      </c>
      <c r="AJ71" t="s">
        <v>150</v>
      </c>
      <c r="AK71">
        <f>AK67/(((AK69-1))*2.5)</f>
        <v>7.5</v>
      </c>
      <c r="AL71">
        <f>AL67/(((AL69-1))*2.5)</f>
        <v>10</v>
      </c>
      <c r="AM71">
        <f t="shared" ref="AM71:AT71" si="16">AM67/(((AM69-1))*2.5)</f>
        <v>15</v>
      </c>
      <c r="AN71">
        <f t="shared" si="16"/>
        <v>20</v>
      </c>
      <c r="AO71" s="7">
        <f t="shared" si="16"/>
        <v>16.666666666666668</v>
      </c>
      <c r="AP71">
        <f t="shared" si="16"/>
        <v>20</v>
      </c>
      <c r="AQ71">
        <f t="shared" si="16"/>
        <v>17.5</v>
      </c>
      <c r="AR71">
        <f t="shared" si="16"/>
        <v>20</v>
      </c>
      <c r="AS71">
        <f t="shared" si="16"/>
        <v>18</v>
      </c>
      <c r="AT71">
        <f t="shared" si="16"/>
        <v>20</v>
      </c>
      <c r="AV71" t="s">
        <v>150</v>
      </c>
      <c r="AW71">
        <f>AW67/(((AW69-1))*2.5)</f>
        <v>7.5</v>
      </c>
      <c r="AX71">
        <f>AX67/(((AX69-1))*2.5)</f>
        <v>10</v>
      </c>
      <c r="AY71">
        <f t="shared" ref="AY71:BF71" si="17">AY67/(((AY69-1))*2.5)</f>
        <v>15</v>
      </c>
      <c r="AZ71">
        <f t="shared" si="17"/>
        <v>20</v>
      </c>
      <c r="BA71" s="7">
        <f t="shared" si="17"/>
        <v>16.666666666666668</v>
      </c>
      <c r="BB71">
        <f t="shared" si="17"/>
        <v>20</v>
      </c>
      <c r="BC71">
        <f t="shared" si="17"/>
        <v>17.5</v>
      </c>
      <c r="BD71">
        <f t="shared" si="17"/>
        <v>20</v>
      </c>
      <c r="BE71">
        <f t="shared" si="17"/>
        <v>18</v>
      </c>
      <c r="BF71">
        <f t="shared" si="17"/>
        <v>20</v>
      </c>
      <c r="BL71" t="s">
        <v>150</v>
      </c>
      <c r="BM71">
        <f>BM67/(((BM69-1))*2.5)</f>
        <v>15</v>
      </c>
      <c r="BN71">
        <f>BN67/(((BN69-1))*2.5)</f>
        <v>20</v>
      </c>
      <c r="BO71">
        <f t="shared" ref="BO71:BV71" si="18">BO67/(((BO69-1))*2.5)</f>
        <v>20</v>
      </c>
      <c r="BP71">
        <f t="shared" si="18"/>
        <v>20</v>
      </c>
      <c r="BQ71" s="7">
        <f t="shared" si="18"/>
        <v>20</v>
      </c>
      <c r="BR71">
        <f t="shared" si="18"/>
        <v>20</v>
      </c>
      <c r="BS71">
        <f t="shared" si="18"/>
        <v>20</v>
      </c>
      <c r="BT71">
        <f t="shared" si="18"/>
        <v>20</v>
      </c>
      <c r="BU71">
        <f t="shared" si="18"/>
        <v>20</v>
      </c>
      <c r="BV71">
        <f t="shared" si="18"/>
        <v>20</v>
      </c>
      <c r="CB71" t="s">
        <v>150</v>
      </c>
      <c r="CC71">
        <f>CC67/(((CC69-1))*2.5)</f>
        <v>22.5</v>
      </c>
      <c r="CD71">
        <f>CD67/(((CD69-1))*2.5)</f>
        <v>20</v>
      </c>
      <c r="CE71">
        <f t="shared" ref="CE71:CL71" si="19">CE67/(((CE69-1))*2.5)</f>
        <v>18</v>
      </c>
      <c r="CF71">
        <f t="shared" si="19"/>
        <v>20</v>
      </c>
      <c r="CG71" s="7">
        <f t="shared" si="19"/>
        <v>18.75</v>
      </c>
      <c r="CH71">
        <f t="shared" si="19"/>
        <v>20</v>
      </c>
      <c r="CI71">
        <f t="shared" si="19"/>
        <v>19.09090909090909</v>
      </c>
      <c r="CJ71">
        <f t="shared" si="19"/>
        <v>20</v>
      </c>
      <c r="CK71">
        <f t="shared" si="19"/>
        <v>19.285714285714285</v>
      </c>
      <c r="CL71">
        <f t="shared" si="19"/>
        <v>20</v>
      </c>
      <c r="CP71" t="s">
        <v>150</v>
      </c>
      <c r="CQ71">
        <f>CQ67/(((CQ69-1))*2.5)</f>
        <v>25</v>
      </c>
      <c r="CR71">
        <f>CR67/(((CR69-1))*2.5)</f>
        <v>20</v>
      </c>
      <c r="CS71">
        <f t="shared" ref="CS71:CZ71" si="20">CS67/(((CS69-1))*2.5)</f>
        <v>18.75</v>
      </c>
      <c r="CT71">
        <f t="shared" si="20"/>
        <v>20</v>
      </c>
      <c r="CU71" s="7">
        <f t="shared" si="20"/>
        <v>19.23076923076923</v>
      </c>
      <c r="CV71">
        <f t="shared" si="20"/>
        <v>20</v>
      </c>
      <c r="CW71">
        <f t="shared" si="20"/>
        <v>19.444444444444443</v>
      </c>
      <c r="CX71">
        <f t="shared" si="20"/>
        <v>20</v>
      </c>
      <c r="CY71">
        <f t="shared" si="20"/>
        <v>19.565217391304348</v>
      </c>
      <c r="CZ71">
        <f t="shared" si="20"/>
        <v>20</v>
      </c>
      <c r="DC71" t="s">
        <v>150</v>
      </c>
      <c r="DD71">
        <f>DD67/(((DD69-1))*2.5)</f>
        <v>22.5</v>
      </c>
      <c r="DE71">
        <f>DE67/(((DE69-1))*2.5)</f>
        <v>18.75</v>
      </c>
      <c r="DF71">
        <f t="shared" ref="DF71:DM71" si="21">DF67/(((DF69-1))*2.5)</f>
        <v>18.75</v>
      </c>
      <c r="DG71">
        <f t="shared" si="21"/>
        <v>20</v>
      </c>
      <c r="DH71" s="7">
        <f t="shared" si="21"/>
        <v>19.736842105263158</v>
      </c>
      <c r="DI71">
        <f t="shared" si="21"/>
        <v>19.565217391304348</v>
      </c>
      <c r="DJ71">
        <f t="shared" si="21"/>
        <v>19.444444444444443</v>
      </c>
      <c r="DK71">
        <f t="shared" si="21"/>
        <v>20</v>
      </c>
      <c r="DL71">
        <f t="shared" si="21"/>
        <v>19.852941176470587</v>
      </c>
      <c r="DM71">
        <f t="shared" si="21"/>
        <v>19.736842105263158</v>
      </c>
      <c r="DP71" t="s">
        <v>150</v>
      </c>
      <c r="DQ71">
        <f>DQ67/(((DQ69-1))*2.5)</f>
        <v>25</v>
      </c>
      <c r="DR71">
        <f>DR67/(((DR69-1))*2.5)</f>
        <v>20</v>
      </c>
      <c r="DS71">
        <f t="shared" ref="DS71:DZ71" si="22">DS67/(((DS69-1))*2.5)</f>
        <v>20</v>
      </c>
      <c r="DT71">
        <f t="shared" si="22"/>
        <v>20</v>
      </c>
      <c r="DU71" s="7">
        <f t="shared" si="22"/>
        <v>20</v>
      </c>
      <c r="DV71">
        <f t="shared" si="22"/>
        <v>20</v>
      </c>
      <c r="DW71">
        <f t="shared" si="22"/>
        <v>20</v>
      </c>
      <c r="DX71">
        <f t="shared" si="22"/>
        <v>20</v>
      </c>
      <c r="DY71">
        <f t="shared" si="22"/>
        <v>20</v>
      </c>
      <c r="DZ71">
        <f t="shared" si="22"/>
        <v>20</v>
      </c>
      <c r="ED71" t="s">
        <v>150</v>
      </c>
      <c r="EE71">
        <f>EE67/(((EE69-1))*2.5)</f>
        <v>50</v>
      </c>
      <c r="EF71">
        <f>EF67/(((EF69-1))*2.5)</f>
        <v>40</v>
      </c>
      <c r="EG71">
        <f t="shared" ref="EG71:EN71" si="23">EG67/(((EG69-1))*2.5)</f>
        <v>40</v>
      </c>
      <c r="EH71">
        <f t="shared" si="23"/>
        <v>40</v>
      </c>
      <c r="EI71" s="7">
        <f t="shared" si="23"/>
        <v>40</v>
      </c>
      <c r="EJ71">
        <f t="shared" si="23"/>
        <v>40</v>
      </c>
      <c r="EK71">
        <f t="shared" si="23"/>
        <v>40</v>
      </c>
      <c r="EL71">
        <f t="shared" si="23"/>
        <v>40</v>
      </c>
      <c r="EM71">
        <f t="shared" si="23"/>
        <v>40</v>
      </c>
      <c r="EN71">
        <f t="shared" si="23"/>
        <v>40</v>
      </c>
      <c r="ER71" t="s">
        <v>150</v>
      </c>
      <c r="ES71">
        <f>ES67/(((ES69-1))*2.5)</f>
        <v>75</v>
      </c>
      <c r="ET71">
        <f>ET67/(((ET69-1))*2.5)</f>
        <v>60</v>
      </c>
      <c r="EU71">
        <f t="shared" ref="EU71:FB71" si="24">EU67/(((EU69-1))*2.5)</f>
        <v>60</v>
      </c>
      <c r="EV71">
        <f t="shared" si="24"/>
        <v>60</v>
      </c>
      <c r="EW71" s="7">
        <f t="shared" si="24"/>
        <v>60</v>
      </c>
      <c r="EX71">
        <f t="shared" si="24"/>
        <v>60</v>
      </c>
      <c r="EY71">
        <f t="shared" si="24"/>
        <v>60</v>
      </c>
      <c r="EZ71">
        <f t="shared" si="24"/>
        <v>60</v>
      </c>
      <c r="FA71">
        <f t="shared" si="24"/>
        <v>60</v>
      </c>
      <c r="FB71">
        <f t="shared" si="24"/>
        <v>60</v>
      </c>
      <c r="FF71" t="s">
        <v>150</v>
      </c>
      <c r="FG71">
        <f>FG67/(((FG69-1))*2.5)</f>
        <v>100</v>
      </c>
      <c r="FH71">
        <f>FH67/(((FH69-1))*2.5)</f>
        <v>80</v>
      </c>
      <c r="FI71">
        <f t="shared" ref="FI71:FP71" si="25">FI67/(((FI69-1))*2.5)</f>
        <v>80</v>
      </c>
      <c r="FJ71">
        <f t="shared" si="25"/>
        <v>80</v>
      </c>
      <c r="FK71" s="7">
        <f t="shared" si="25"/>
        <v>80</v>
      </c>
      <c r="FL71">
        <f t="shared" si="25"/>
        <v>80</v>
      </c>
      <c r="FM71">
        <f t="shared" si="25"/>
        <v>80</v>
      </c>
      <c r="FN71">
        <f t="shared" si="25"/>
        <v>80</v>
      </c>
      <c r="FO71">
        <f t="shared" si="25"/>
        <v>80</v>
      </c>
      <c r="FP71">
        <f t="shared" si="25"/>
        <v>80</v>
      </c>
      <c r="FT71" t="s">
        <v>150</v>
      </c>
      <c r="FU71">
        <f>FU67/(((FU69-1))*2.5)</f>
        <v>125</v>
      </c>
      <c r="FV71">
        <f>FV67/(((FV69-1))*2.5)</f>
        <v>100</v>
      </c>
      <c r="FW71">
        <f t="shared" ref="FW71:GD71" si="26">FW67/(((FW69-1))*2.5)</f>
        <v>100</v>
      </c>
      <c r="FX71">
        <f t="shared" si="26"/>
        <v>100</v>
      </c>
      <c r="FY71" s="7">
        <f t="shared" si="26"/>
        <v>100</v>
      </c>
      <c r="FZ71">
        <f t="shared" si="26"/>
        <v>100</v>
      </c>
      <c r="GA71">
        <f t="shared" si="26"/>
        <v>100</v>
      </c>
      <c r="GB71">
        <f t="shared" si="26"/>
        <v>100</v>
      </c>
      <c r="GC71">
        <f t="shared" si="26"/>
        <v>100</v>
      </c>
      <c r="GD71">
        <f t="shared" si="26"/>
        <v>100</v>
      </c>
      <c r="GH71" t="s">
        <v>150</v>
      </c>
      <c r="GI71">
        <f>GI67/(((GI69-1))*2.5)</f>
        <v>150</v>
      </c>
      <c r="GJ71">
        <f>GJ67/(((GJ69-1))*2.5)</f>
        <v>120</v>
      </c>
      <c r="GK71">
        <f t="shared" ref="GK71:GR71" si="27">GK67/(((GK69-1))*2.5)</f>
        <v>120</v>
      </c>
      <c r="GL71">
        <f t="shared" si="27"/>
        <v>120</v>
      </c>
      <c r="GM71" s="7">
        <f t="shared" si="27"/>
        <v>120</v>
      </c>
      <c r="GN71">
        <f t="shared" si="27"/>
        <v>120</v>
      </c>
      <c r="GO71">
        <f t="shared" si="27"/>
        <v>120</v>
      </c>
      <c r="GP71">
        <f t="shared" si="27"/>
        <v>120</v>
      </c>
      <c r="GQ71">
        <f t="shared" si="27"/>
        <v>120</v>
      </c>
      <c r="GR71">
        <f t="shared" si="27"/>
        <v>120</v>
      </c>
      <c r="GV71" t="s">
        <v>150</v>
      </c>
      <c r="GW71">
        <f>GW67/(((GW69-1))*2.5)</f>
        <v>200</v>
      </c>
      <c r="GX71">
        <f>GX67/(((GX69-1))*2.5)</f>
        <v>160</v>
      </c>
      <c r="GY71">
        <f t="shared" ref="GY71:HF71" si="28">GY67/(((GY69-1))*2.5)</f>
        <v>160</v>
      </c>
      <c r="GZ71">
        <f t="shared" si="28"/>
        <v>160</v>
      </c>
      <c r="HA71" s="7">
        <f t="shared" si="28"/>
        <v>160</v>
      </c>
      <c r="HB71">
        <f t="shared" si="28"/>
        <v>160</v>
      </c>
      <c r="HC71">
        <f t="shared" si="28"/>
        <v>160</v>
      </c>
      <c r="HD71">
        <f t="shared" si="28"/>
        <v>160</v>
      </c>
      <c r="HE71">
        <f t="shared" si="28"/>
        <v>160</v>
      </c>
      <c r="HF71">
        <f t="shared" si="28"/>
        <v>160</v>
      </c>
      <c r="HJ71" t="s">
        <v>150</v>
      </c>
      <c r="HK71">
        <f>HK67/(((HK69-1))*2.5)</f>
        <v>250</v>
      </c>
      <c r="HL71">
        <f>HL67/(((HL69-1))*2.5)</f>
        <v>200</v>
      </c>
      <c r="HM71">
        <f t="shared" ref="HM71:HT71" si="29">HM67/(((HM69-1))*2.5)</f>
        <v>200</v>
      </c>
      <c r="HN71">
        <f t="shared" si="29"/>
        <v>200</v>
      </c>
      <c r="HO71" s="7">
        <f t="shared" si="29"/>
        <v>200</v>
      </c>
      <c r="HP71">
        <f t="shared" si="29"/>
        <v>200</v>
      </c>
      <c r="HQ71">
        <f t="shared" si="29"/>
        <v>200</v>
      </c>
      <c r="HR71">
        <f t="shared" si="29"/>
        <v>200</v>
      </c>
      <c r="HS71">
        <f t="shared" si="29"/>
        <v>200</v>
      </c>
      <c r="HT71">
        <f t="shared" si="29"/>
        <v>200</v>
      </c>
      <c r="HV71" s="18"/>
    </row>
    <row r="72" spans="7:230" x14ac:dyDescent="0.25">
      <c r="HV72" s="18"/>
    </row>
    <row r="73" spans="7:230" x14ac:dyDescent="0.25">
      <c r="G73" t="s">
        <v>109</v>
      </c>
      <c r="H73">
        <f>5+5+H71*3</f>
        <v>21.25</v>
      </c>
      <c r="I73">
        <f>5+5+I71*3</f>
        <v>25</v>
      </c>
      <c r="J73">
        <f t="shared" ref="J73:Q73" si="30">5+5+J71*3</f>
        <v>32.5</v>
      </c>
      <c r="K73">
        <f t="shared" si="30"/>
        <v>40</v>
      </c>
      <c r="L73">
        <f t="shared" si="30"/>
        <v>47.5</v>
      </c>
      <c r="M73">
        <f t="shared" si="30"/>
        <v>55</v>
      </c>
      <c r="N73">
        <f t="shared" si="30"/>
        <v>62.5</v>
      </c>
      <c r="O73">
        <f t="shared" si="30"/>
        <v>70</v>
      </c>
      <c r="P73">
        <f>5+5+P71*3</f>
        <v>77.5</v>
      </c>
      <c r="Q73">
        <f t="shared" si="30"/>
        <v>85</v>
      </c>
      <c r="HV73" s="18"/>
    </row>
    <row r="74" spans="7:230" x14ac:dyDescent="0.25">
      <c r="H74" t="s">
        <v>246</v>
      </c>
      <c r="HV74" s="18"/>
    </row>
    <row r="75" spans="7:230" x14ac:dyDescent="0.25">
      <c r="AJ75" t="s">
        <v>109</v>
      </c>
      <c r="AK75">
        <f>(AK69-1)*2.5*2+AK71*3</f>
        <v>32.5</v>
      </c>
      <c r="AL75">
        <f>(AL69-1)*2.5*2+AL71*3</f>
        <v>40</v>
      </c>
      <c r="AM75">
        <f t="shared" ref="AM75:AT75" si="31">(AM69-1)*2.5*2+AM71*3</f>
        <v>55</v>
      </c>
      <c r="AN75">
        <f t="shared" si="31"/>
        <v>70</v>
      </c>
      <c r="AO75">
        <f>(AO69-1)*2.5*2+AO71*3</f>
        <v>65</v>
      </c>
      <c r="AP75">
        <f t="shared" si="31"/>
        <v>75</v>
      </c>
      <c r="AQ75">
        <f t="shared" si="31"/>
        <v>72.5</v>
      </c>
      <c r="AR75">
        <f t="shared" si="31"/>
        <v>80</v>
      </c>
      <c r="AS75">
        <f t="shared" si="31"/>
        <v>79</v>
      </c>
      <c r="AT75">
        <f t="shared" si="31"/>
        <v>85</v>
      </c>
      <c r="AV75" t="s">
        <v>109</v>
      </c>
      <c r="AW75">
        <f>(AW69-1)*2.5*2+AW71*3</f>
        <v>32.5</v>
      </c>
      <c r="AX75">
        <f>(AX69-1)*2.5*2+AX71*3</f>
        <v>40</v>
      </c>
      <c r="AY75">
        <f t="shared" ref="AY75:AZ75" si="32">(AY69-1)*2.5*2+AY71*3</f>
        <v>55</v>
      </c>
      <c r="AZ75">
        <f t="shared" si="32"/>
        <v>70</v>
      </c>
      <c r="BA75">
        <f>(BA69-1)*2.5*2+BA71*3</f>
        <v>65</v>
      </c>
      <c r="BB75">
        <f t="shared" ref="BB75:BF75" si="33">(BB69-1)*2.5*2+BB71*3</f>
        <v>75</v>
      </c>
      <c r="BC75">
        <f t="shared" si="33"/>
        <v>72.5</v>
      </c>
      <c r="BD75">
        <f t="shared" si="33"/>
        <v>80</v>
      </c>
      <c r="BE75">
        <f t="shared" si="33"/>
        <v>79</v>
      </c>
      <c r="BF75">
        <f t="shared" si="33"/>
        <v>85</v>
      </c>
      <c r="BL75" t="s">
        <v>109</v>
      </c>
      <c r="BM75">
        <f>(BM69-1)*2.5*2+BM71*3</f>
        <v>55</v>
      </c>
      <c r="BN75">
        <f>(BN69-1)*2.5*2+BN71*3</f>
        <v>70</v>
      </c>
      <c r="BO75">
        <f t="shared" ref="BO75:BP75" si="34">(BO69-1)*2.5*2+BO71*3</f>
        <v>75</v>
      </c>
      <c r="BP75">
        <f t="shared" si="34"/>
        <v>80</v>
      </c>
      <c r="BQ75">
        <f>(BQ69-1)*2.5*2+BQ71*3</f>
        <v>85</v>
      </c>
      <c r="BR75">
        <f t="shared" ref="BR75:BV75" si="35">(BR69-1)*2.5*2+BR71*3</f>
        <v>90</v>
      </c>
      <c r="BS75">
        <f t="shared" si="35"/>
        <v>95</v>
      </c>
      <c r="BT75">
        <f t="shared" si="35"/>
        <v>100</v>
      </c>
      <c r="BU75">
        <f t="shared" si="35"/>
        <v>105</v>
      </c>
      <c r="BV75">
        <f t="shared" si="35"/>
        <v>110</v>
      </c>
      <c r="CB75" t="s">
        <v>109</v>
      </c>
      <c r="CC75">
        <f>(CC69-1)*2.5*2+CC71*3</f>
        <v>77.5</v>
      </c>
      <c r="CD75">
        <f>(CD69-1)*2.5*2+CD71*3</f>
        <v>75</v>
      </c>
      <c r="CE75">
        <f t="shared" ref="CE75:CF75" si="36">(CE69-1)*2.5*2+CE71*3</f>
        <v>79</v>
      </c>
      <c r="CF75">
        <f t="shared" si="36"/>
        <v>90</v>
      </c>
      <c r="CG75">
        <f>(CG69-1)*2.5*2+CG71*3</f>
        <v>96.25</v>
      </c>
      <c r="CH75">
        <f t="shared" ref="CH75:CL75" si="37">(CH69-1)*2.5*2+CH71*3</f>
        <v>105</v>
      </c>
      <c r="CI75">
        <f t="shared" si="37"/>
        <v>112.27272727272727</v>
      </c>
      <c r="CJ75">
        <f t="shared" si="37"/>
        <v>120</v>
      </c>
      <c r="CK75">
        <f t="shared" si="37"/>
        <v>127.85714285714286</v>
      </c>
      <c r="CL75">
        <f t="shared" si="37"/>
        <v>135</v>
      </c>
      <c r="CP75" t="s">
        <v>109</v>
      </c>
      <c r="CQ75">
        <f>(CQ69-1)*2.5*2+CQ71*3</f>
        <v>90</v>
      </c>
      <c r="CR75">
        <f>(CR69-1)*2.5*2+CR71*3</f>
        <v>85</v>
      </c>
      <c r="CS75">
        <f t="shared" ref="CS75:CT75" si="38">(CS69-1)*2.5*2+CS71*3</f>
        <v>96.25</v>
      </c>
      <c r="CT75">
        <f t="shared" si="38"/>
        <v>110</v>
      </c>
      <c r="CU75">
        <f>(CU69-1)*2.5*2+CU71*3</f>
        <v>122.69230769230769</v>
      </c>
      <c r="CV75">
        <f t="shared" ref="CV75:CZ75" si="39">(CV69-1)*2.5*2+CV71*3</f>
        <v>135</v>
      </c>
      <c r="CW75">
        <f t="shared" si="39"/>
        <v>148.33333333333331</v>
      </c>
      <c r="CX75">
        <f t="shared" si="39"/>
        <v>160</v>
      </c>
      <c r="CY75">
        <f t="shared" si="39"/>
        <v>173.69565217391306</v>
      </c>
      <c r="CZ75">
        <f t="shared" si="39"/>
        <v>185</v>
      </c>
      <c r="DC75" t="s">
        <v>109</v>
      </c>
      <c r="DD75">
        <f>(DD69-1)*2.5*2+DD71*3</f>
        <v>92.5</v>
      </c>
      <c r="DE75">
        <f>(DE69-1)*2.5*2+DE71*3</f>
        <v>96.25</v>
      </c>
      <c r="DF75">
        <f t="shared" ref="DF75:DG75" si="40">(DF69-1)*2.5*2+DF71*3</f>
        <v>116.25</v>
      </c>
      <c r="DG75">
        <f t="shared" si="40"/>
        <v>135</v>
      </c>
      <c r="DH75">
        <f>(DH69-1)*2.5*2+DH71*3</f>
        <v>154.21052631578948</v>
      </c>
      <c r="DI75">
        <f t="shared" ref="DI75:DM75" si="41">(DI69-1)*2.5*2+DI71*3</f>
        <v>173.69565217391306</v>
      </c>
      <c r="DJ75">
        <f t="shared" si="41"/>
        <v>193.33333333333331</v>
      </c>
      <c r="DK75">
        <f t="shared" si="41"/>
        <v>210</v>
      </c>
      <c r="DL75">
        <f t="shared" si="41"/>
        <v>229.55882352941177</v>
      </c>
      <c r="DM75">
        <f t="shared" si="41"/>
        <v>249.21052631578948</v>
      </c>
      <c r="DP75" t="s">
        <v>109</v>
      </c>
      <c r="DQ75">
        <f>(DQ69-1)*2.5*2+DQ71*3</f>
        <v>105</v>
      </c>
      <c r="DR75">
        <f>(DR69-1)*2.5*2+DR71*3</f>
        <v>110</v>
      </c>
      <c r="DS75">
        <f t="shared" ref="DS75:DT75" si="42">(DS69-1)*2.5*2+DS71*3</f>
        <v>135</v>
      </c>
      <c r="DT75">
        <f t="shared" si="42"/>
        <v>160</v>
      </c>
      <c r="DU75">
        <f>(DU69-1)*2.5*2+DU71*3</f>
        <v>185</v>
      </c>
      <c r="DV75">
        <f t="shared" ref="DV75:DZ75" si="43">(DV69-1)*2.5*2+DV71*3</f>
        <v>210</v>
      </c>
      <c r="DW75">
        <f t="shared" si="43"/>
        <v>235</v>
      </c>
      <c r="DX75">
        <f t="shared" si="43"/>
        <v>260</v>
      </c>
      <c r="DY75">
        <f t="shared" si="43"/>
        <v>285</v>
      </c>
      <c r="DZ75">
        <f t="shared" si="43"/>
        <v>310</v>
      </c>
      <c r="ED75" t="s">
        <v>109</v>
      </c>
      <c r="EE75">
        <f>(EE69-1)*2.5*2+EE71*3</f>
        <v>180</v>
      </c>
      <c r="EF75">
        <f>(EF69-1)*2.5*2+EF71*3</f>
        <v>170</v>
      </c>
      <c r="EG75">
        <f t="shared" ref="EG75:EH75" si="44">(EG69-1)*2.5*2+EG71*3</f>
        <v>195</v>
      </c>
      <c r="EH75">
        <f t="shared" si="44"/>
        <v>220</v>
      </c>
      <c r="EI75">
        <f>(EI69-1)*2.5*2+EI71*3</f>
        <v>245</v>
      </c>
      <c r="EJ75">
        <f t="shared" ref="EJ75:EN75" si="45">(EJ69-1)*2.5*2+EJ71*3</f>
        <v>270</v>
      </c>
      <c r="EK75">
        <f t="shared" si="45"/>
        <v>295</v>
      </c>
      <c r="EL75">
        <f t="shared" si="45"/>
        <v>320</v>
      </c>
      <c r="EM75">
        <f t="shared" si="45"/>
        <v>345</v>
      </c>
      <c r="EN75">
        <f t="shared" si="45"/>
        <v>370</v>
      </c>
      <c r="ER75" t="s">
        <v>109</v>
      </c>
      <c r="ES75">
        <f>(ES69-1)*2.5*2+ES71*3</f>
        <v>255</v>
      </c>
      <c r="ET75">
        <f>(ET69-1)*2.5*2+ET71*3</f>
        <v>230</v>
      </c>
      <c r="EU75">
        <f t="shared" ref="EU75:EV75" si="46">(EU69-1)*2.5*2+EU71*3</f>
        <v>255</v>
      </c>
      <c r="EV75">
        <f t="shared" si="46"/>
        <v>280</v>
      </c>
      <c r="EW75">
        <f>(EW69-1)*2.5*2+EW71*3</f>
        <v>305</v>
      </c>
      <c r="EX75">
        <f t="shared" ref="EX75:FB75" si="47">(EX69-1)*2.5*2+EX71*3</f>
        <v>330</v>
      </c>
      <c r="EY75">
        <f t="shared" si="47"/>
        <v>355</v>
      </c>
      <c r="EZ75">
        <f t="shared" si="47"/>
        <v>380</v>
      </c>
      <c r="FA75">
        <f t="shared" si="47"/>
        <v>405</v>
      </c>
      <c r="FB75">
        <f t="shared" si="47"/>
        <v>430</v>
      </c>
      <c r="FF75" t="s">
        <v>109</v>
      </c>
      <c r="FG75">
        <f>(FG69-1)*2.5*2+FG71*3</f>
        <v>330</v>
      </c>
      <c r="FH75">
        <f>(FH69-1)*2.5*2+FH71*3</f>
        <v>290</v>
      </c>
      <c r="FI75">
        <f t="shared" ref="FI75:FJ75" si="48">(FI69-1)*2.5*2+FI71*3</f>
        <v>315</v>
      </c>
      <c r="FJ75">
        <f t="shared" si="48"/>
        <v>340</v>
      </c>
      <c r="FK75">
        <f>(FK69-1)*2.5*2+FK71*3</f>
        <v>365</v>
      </c>
      <c r="FL75">
        <f t="shared" ref="FL75:FP75" si="49">(FL69-1)*2.5*2+FL71*3</f>
        <v>390</v>
      </c>
      <c r="FM75">
        <f t="shared" si="49"/>
        <v>415</v>
      </c>
      <c r="FN75">
        <f t="shared" si="49"/>
        <v>440</v>
      </c>
      <c r="FO75">
        <f t="shared" si="49"/>
        <v>465</v>
      </c>
      <c r="FP75">
        <f t="shared" si="49"/>
        <v>490</v>
      </c>
      <c r="FT75" t="s">
        <v>109</v>
      </c>
      <c r="FU75">
        <f>(FU69-1)*2.5*2+FU71*3</f>
        <v>405</v>
      </c>
      <c r="FV75">
        <f>(FV69-1)*2.5*2+FV71*3</f>
        <v>350</v>
      </c>
      <c r="FW75">
        <f t="shared" ref="FW75:FX75" si="50">(FW69-1)*2.5*2+FW71*3</f>
        <v>375</v>
      </c>
      <c r="FX75">
        <f t="shared" si="50"/>
        <v>400</v>
      </c>
      <c r="FY75">
        <f>(FY69-1)*2.5*2+FY71*3</f>
        <v>425</v>
      </c>
      <c r="FZ75">
        <f t="shared" ref="FZ75:GD75" si="51">(FZ69-1)*2.5*2+FZ71*3</f>
        <v>450</v>
      </c>
      <c r="GA75">
        <f t="shared" si="51"/>
        <v>475</v>
      </c>
      <c r="GB75">
        <f t="shared" si="51"/>
        <v>500</v>
      </c>
      <c r="GC75">
        <f t="shared" si="51"/>
        <v>525</v>
      </c>
      <c r="GD75">
        <f t="shared" si="51"/>
        <v>550</v>
      </c>
      <c r="GH75" t="s">
        <v>109</v>
      </c>
      <c r="GI75">
        <f>(GI69-1)*2.5*2+GI71*3</f>
        <v>480</v>
      </c>
      <c r="GJ75">
        <f>(GJ69-1)*2.5*2+GJ71*3</f>
        <v>410</v>
      </c>
      <c r="GK75">
        <f t="shared" ref="GK75:GL75" si="52">(GK69-1)*2.5*2+GK71*3</f>
        <v>435</v>
      </c>
      <c r="GL75">
        <f t="shared" si="52"/>
        <v>460</v>
      </c>
      <c r="GM75">
        <f>(GM69-1)*2.5*2+GM71*3</f>
        <v>485</v>
      </c>
      <c r="GN75">
        <f t="shared" ref="GN75:GR75" si="53">(GN69-1)*2.5*2+GN71*3</f>
        <v>510</v>
      </c>
      <c r="GO75">
        <f t="shared" si="53"/>
        <v>535</v>
      </c>
      <c r="GP75">
        <f t="shared" si="53"/>
        <v>560</v>
      </c>
      <c r="GQ75">
        <f t="shared" si="53"/>
        <v>585</v>
      </c>
      <c r="GR75">
        <f t="shared" si="53"/>
        <v>610</v>
      </c>
      <c r="GV75" t="s">
        <v>109</v>
      </c>
      <c r="GW75">
        <f>(GW69-1)*2.5*2+GW71*3</f>
        <v>630</v>
      </c>
      <c r="GX75">
        <f>(GX69-1)*2.5*2+GX71*3</f>
        <v>530</v>
      </c>
      <c r="GY75">
        <f t="shared" ref="GY75:GZ75" si="54">(GY69-1)*2.5*2+GY71*3</f>
        <v>555</v>
      </c>
      <c r="GZ75">
        <f t="shared" si="54"/>
        <v>580</v>
      </c>
      <c r="HA75">
        <f>(HA69-1)*2.5*2+HA71*3</f>
        <v>605</v>
      </c>
      <c r="HB75">
        <f t="shared" ref="HB75:HF75" si="55">(HB69-1)*2.5*2+HB71*3</f>
        <v>630</v>
      </c>
      <c r="HC75">
        <f t="shared" si="55"/>
        <v>655</v>
      </c>
      <c r="HD75">
        <f t="shared" si="55"/>
        <v>680</v>
      </c>
      <c r="HE75">
        <f t="shared" si="55"/>
        <v>705</v>
      </c>
      <c r="HF75">
        <f t="shared" si="55"/>
        <v>730</v>
      </c>
      <c r="HJ75" t="s">
        <v>109</v>
      </c>
      <c r="HK75">
        <f>(HK69-1)*2.5*2+HK71*3</f>
        <v>780</v>
      </c>
      <c r="HL75">
        <f>(HL69-1)*2.5*2+HL71*3</f>
        <v>650</v>
      </c>
      <c r="HM75">
        <f t="shared" ref="HM75:HN75" si="56">(HM69-1)*2.5*2+HM71*3</f>
        <v>675</v>
      </c>
      <c r="HN75">
        <f t="shared" si="56"/>
        <v>700</v>
      </c>
      <c r="HO75">
        <f>(HO69-1)*2.5*2+HO71*3</f>
        <v>725</v>
      </c>
      <c r="HP75">
        <f t="shared" ref="HP75:HT75" si="57">(HP69-1)*2.5*2+HP71*3</f>
        <v>750</v>
      </c>
      <c r="HQ75">
        <f t="shared" si="57"/>
        <v>775</v>
      </c>
      <c r="HR75">
        <f t="shared" si="57"/>
        <v>800</v>
      </c>
      <c r="HS75">
        <f t="shared" si="57"/>
        <v>825</v>
      </c>
      <c r="HT75">
        <f t="shared" si="57"/>
        <v>850</v>
      </c>
      <c r="HV75" s="18"/>
    </row>
    <row r="76" spans="7:230" x14ac:dyDescent="0.25">
      <c r="G76" t="s">
        <v>113</v>
      </c>
      <c r="AK76" t="s">
        <v>246</v>
      </c>
      <c r="AW76" t="s">
        <v>246</v>
      </c>
      <c r="BM76" t="s">
        <v>246</v>
      </c>
      <c r="CC76" t="s">
        <v>246</v>
      </c>
      <c r="CQ76" t="s">
        <v>246</v>
      </c>
      <c r="DD76" t="s">
        <v>246</v>
      </c>
      <c r="DQ76" t="s">
        <v>246</v>
      </c>
      <c r="EE76" t="s">
        <v>246</v>
      </c>
      <c r="ES76" t="s">
        <v>246</v>
      </c>
      <c r="FG76" t="s">
        <v>246</v>
      </c>
      <c r="FU76" t="s">
        <v>246</v>
      </c>
      <c r="GI76" t="s">
        <v>246</v>
      </c>
      <c r="GW76" t="s">
        <v>246</v>
      </c>
      <c r="HK76" t="s">
        <v>246</v>
      </c>
      <c r="HV76" s="18"/>
    </row>
    <row r="77" spans="7:230" x14ac:dyDescent="0.25">
      <c r="HV77" s="18"/>
    </row>
    <row r="78" spans="7:230" x14ac:dyDescent="0.25">
      <c r="G78" t="s">
        <v>114</v>
      </c>
      <c r="H78">
        <v>300</v>
      </c>
      <c r="AJ78" t="s">
        <v>113</v>
      </c>
      <c r="AV78" t="s">
        <v>113</v>
      </c>
      <c r="BL78" t="s">
        <v>113</v>
      </c>
      <c r="CB78" t="s">
        <v>113</v>
      </c>
      <c r="CP78" t="s">
        <v>113</v>
      </c>
      <c r="DC78" t="s">
        <v>113</v>
      </c>
      <c r="DP78" t="s">
        <v>113</v>
      </c>
      <c r="ED78" t="s">
        <v>113</v>
      </c>
      <c r="ER78" t="s">
        <v>113</v>
      </c>
      <c r="FF78" t="s">
        <v>113</v>
      </c>
      <c r="FT78" t="s">
        <v>113</v>
      </c>
      <c r="GH78" t="s">
        <v>113</v>
      </c>
      <c r="GV78" t="s">
        <v>113</v>
      </c>
      <c r="HJ78" t="s">
        <v>113</v>
      </c>
      <c r="HV78" s="18"/>
    </row>
    <row r="79" spans="7:230" x14ac:dyDescent="0.25">
      <c r="G79" t="s">
        <v>115</v>
      </c>
      <c r="H79">
        <v>50</v>
      </c>
      <c r="HV79" s="18"/>
    </row>
    <row r="80" spans="7:230" x14ac:dyDescent="0.25">
      <c r="G80" t="s">
        <v>116</v>
      </c>
      <c r="H80">
        <v>5</v>
      </c>
      <c r="AJ80" t="s">
        <v>114</v>
      </c>
      <c r="AK80">
        <v>300</v>
      </c>
      <c r="AV80" t="s">
        <v>114</v>
      </c>
      <c r="AW80">
        <v>300</v>
      </c>
      <c r="BL80" t="s">
        <v>114</v>
      </c>
      <c r="BM80">
        <v>300</v>
      </c>
      <c r="CB80" t="s">
        <v>114</v>
      </c>
      <c r="CC80">
        <v>300</v>
      </c>
      <c r="CP80" t="s">
        <v>114</v>
      </c>
      <c r="CQ80">
        <v>300</v>
      </c>
      <c r="DC80" t="s">
        <v>114</v>
      </c>
      <c r="DD80">
        <v>300</v>
      </c>
      <c r="DP80" t="s">
        <v>114</v>
      </c>
      <c r="DQ80">
        <v>300</v>
      </c>
      <c r="ED80" t="s">
        <v>114</v>
      </c>
      <c r="EE80">
        <v>300</v>
      </c>
      <c r="ER80" t="s">
        <v>114</v>
      </c>
      <c r="ES80">
        <v>300</v>
      </c>
      <c r="FF80" t="s">
        <v>114</v>
      </c>
      <c r="FG80">
        <v>300</v>
      </c>
      <c r="FT80" t="s">
        <v>114</v>
      </c>
      <c r="FU80">
        <v>300</v>
      </c>
      <c r="GH80" t="s">
        <v>114</v>
      </c>
      <c r="GI80">
        <v>300</v>
      </c>
      <c r="GV80" t="s">
        <v>114</v>
      </c>
      <c r="GW80">
        <v>300</v>
      </c>
      <c r="HJ80" t="s">
        <v>114</v>
      </c>
      <c r="HK80">
        <v>300</v>
      </c>
      <c r="HV80" s="18"/>
    </row>
    <row r="81" spans="7:230" x14ac:dyDescent="0.25">
      <c r="AJ81" t="s">
        <v>115</v>
      </c>
      <c r="AK81">
        <v>50</v>
      </c>
      <c r="AV81" t="s">
        <v>115</v>
      </c>
      <c r="AW81">
        <v>50</v>
      </c>
      <c r="BL81" t="s">
        <v>115</v>
      </c>
      <c r="BM81">
        <v>50</v>
      </c>
      <c r="CB81" t="s">
        <v>115</v>
      </c>
      <c r="CC81">
        <v>50</v>
      </c>
      <c r="CP81" t="s">
        <v>115</v>
      </c>
      <c r="CQ81">
        <v>50</v>
      </c>
      <c r="DC81" t="s">
        <v>115</v>
      </c>
      <c r="DD81">
        <v>50</v>
      </c>
      <c r="DP81" t="s">
        <v>115</v>
      </c>
      <c r="DQ81">
        <v>50</v>
      </c>
      <c r="ED81" t="s">
        <v>115</v>
      </c>
      <c r="EE81">
        <v>50</v>
      </c>
      <c r="ER81" t="s">
        <v>115</v>
      </c>
      <c r="ES81">
        <v>50</v>
      </c>
      <c r="FF81" t="s">
        <v>115</v>
      </c>
      <c r="FG81">
        <v>50</v>
      </c>
      <c r="FT81" t="s">
        <v>115</v>
      </c>
      <c r="FU81">
        <v>50</v>
      </c>
      <c r="GH81" t="s">
        <v>115</v>
      </c>
      <c r="GI81">
        <v>50</v>
      </c>
      <c r="GV81" t="s">
        <v>115</v>
      </c>
      <c r="GW81">
        <v>50</v>
      </c>
      <c r="HJ81" t="s">
        <v>115</v>
      </c>
      <c r="HK81">
        <v>50</v>
      </c>
      <c r="HV81" s="18"/>
    </row>
    <row r="82" spans="7:230" x14ac:dyDescent="0.25">
      <c r="G82" t="s">
        <v>117</v>
      </c>
      <c r="H82">
        <v>800</v>
      </c>
      <c r="I82">
        <v>800</v>
      </c>
      <c r="J82">
        <v>800</v>
      </c>
      <c r="K82">
        <v>800</v>
      </c>
      <c r="L82">
        <v>800</v>
      </c>
      <c r="M82">
        <v>800</v>
      </c>
      <c r="N82">
        <v>800</v>
      </c>
      <c r="O82">
        <v>800</v>
      </c>
      <c r="P82">
        <v>800</v>
      </c>
      <c r="Q82">
        <v>800</v>
      </c>
      <c r="AJ82" t="s">
        <v>116</v>
      </c>
      <c r="AK82">
        <v>5</v>
      </c>
      <c r="AV82" t="s">
        <v>116</v>
      </c>
      <c r="AW82">
        <v>5</v>
      </c>
      <c r="BL82" t="s">
        <v>116</v>
      </c>
      <c r="BM82">
        <v>5</v>
      </c>
      <c r="CB82" t="s">
        <v>116</v>
      </c>
      <c r="CC82">
        <v>5</v>
      </c>
      <c r="CP82" t="s">
        <v>116</v>
      </c>
      <c r="CQ82">
        <v>5</v>
      </c>
      <c r="DC82" t="s">
        <v>116</v>
      </c>
      <c r="DD82">
        <v>5</v>
      </c>
      <c r="DP82" t="s">
        <v>116</v>
      </c>
      <c r="DQ82">
        <v>5</v>
      </c>
      <c r="ED82" t="s">
        <v>116</v>
      </c>
      <c r="EE82">
        <v>5</v>
      </c>
      <c r="ER82" t="s">
        <v>116</v>
      </c>
      <c r="ES82">
        <v>5</v>
      </c>
      <c r="FF82" t="s">
        <v>116</v>
      </c>
      <c r="FG82">
        <v>5</v>
      </c>
      <c r="FT82" t="s">
        <v>116</v>
      </c>
      <c r="FU82">
        <v>5</v>
      </c>
      <c r="GH82" t="s">
        <v>116</v>
      </c>
      <c r="GI82">
        <v>5</v>
      </c>
      <c r="GV82" t="s">
        <v>116</v>
      </c>
      <c r="GW82">
        <v>5</v>
      </c>
      <c r="HJ82" t="s">
        <v>116</v>
      </c>
      <c r="HK82">
        <v>5</v>
      </c>
      <c r="HV82" s="18"/>
    </row>
    <row r="83" spans="7:230" x14ac:dyDescent="0.25">
      <c r="HV83" s="18"/>
    </row>
    <row r="84" spans="7:230" x14ac:dyDescent="0.25">
      <c r="G84" t="s">
        <v>122</v>
      </c>
      <c r="AJ84" t="s">
        <v>117</v>
      </c>
      <c r="AK84">
        <v>800</v>
      </c>
      <c r="AL84">
        <v>800</v>
      </c>
      <c r="AM84">
        <v>800</v>
      </c>
      <c r="AN84">
        <v>800</v>
      </c>
      <c r="AO84">
        <v>800</v>
      </c>
      <c r="AP84">
        <v>800</v>
      </c>
      <c r="AQ84">
        <v>800</v>
      </c>
      <c r="AR84">
        <v>800</v>
      </c>
      <c r="AS84">
        <v>800</v>
      </c>
      <c r="AT84">
        <v>800</v>
      </c>
      <c r="AV84" t="s">
        <v>117</v>
      </c>
      <c r="AW84">
        <v>800</v>
      </c>
      <c r="AX84">
        <v>800</v>
      </c>
      <c r="AY84">
        <v>800</v>
      </c>
      <c r="AZ84">
        <v>800</v>
      </c>
      <c r="BA84">
        <v>800</v>
      </c>
      <c r="BB84">
        <v>800</v>
      </c>
      <c r="BC84">
        <v>800</v>
      </c>
      <c r="BD84">
        <v>800</v>
      </c>
      <c r="BE84">
        <v>800</v>
      </c>
      <c r="BF84">
        <v>800</v>
      </c>
      <c r="BL84" t="s">
        <v>117</v>
      </c>
      <c r="BM84">
        <v>800</v>
      </c>
      <c r="BN84">
        <v>800</v>
      </c>
      <c r="BO84">
        <v>800</v>
      </c>
      <c r="BP84">
        <v>800</v>
      </c>
      <c r="BQ84">
        <v>800</v>
      </c>
      <c r="BR84">
        <v>800</v>
      </c>
      <c r="BS84">
        <v>800</v>
      </c>
      <c r="BT84">
        <v>800</v>
      </c>
      <c r="BU84">
        <v>800</v>
      </c>
      <c r="BV84">
        <v>800</v>
      </c>
      <c r="CB84" t="s">
        <v>117</v>
      </c>
      <c r="CC84">
        <v>800</v>
      </c>
      <c r="CD84">
        <v>800</v>
      </c>
      <c r="CE84">
        <v>800</v>
      </c>
      <c r="CF84">
        <v>800</v>
      </c>
      <c r="CG84">
        <v>800</v>
      </c>
      <c r="CH84">
        <v>800</v>
      </c>
      <c r="CI84">
        <v>800</v>
      </c>
      <c r="CJ84">
        <v>800</v>
      </c>
      <c r="CK84">
        <v>800</v>
      </c>
      <c r="CL84">
        <v>800</v>
      </c>
      <c r="CP84" t="s">
        <v>117</v>
      </c>
      <c r="CQ84">
        <v>800</v>
      </c>
      <c r="CR84">
        <v>800</v>
      </c>
      <c r="CS84">
        <v>800</v>
      </c>
      <c r="CT84">
        <v>800</v>
      </c>
      <c r="CU84">
        <v>800</v>
      </c>
      <c r="CV84">
        <v>800</v>
      </c>
      <c r="CW84">
        <v>800</v>
      </c>
      <c r="CX84">
        <v>800</v>
      </c>
      <c r="CY84">
        <v>800</v>
      </c>
      <c r="CZ84">
        <v>800</v>
      </c>
      <c r="DC84" t="s">
        <v>117</v>
      </c>
      <c r="DD84">
        <v>800</v>
      </c>
      <c r="DE84">
        <v>800</v>
      </c>
      <c r="DF84">
        <v>800</v>
      </c>
      <c r="DG84">
        <v>800</v>
      </c>
      <c r="DH84">
        <v>800</v>
      </c>
      <c r="DI84">
        <v>800</v>
      </c>
      <c r="DJ84">
        <v>800</v>
      </c>
      <c r="DK84">
        <v>800</v>
      </c>
      <c r="DL84">
        <v>800</v>
      </c>
      <c r="DM84">
        <v>800</v>
      </c>
      <c r="DP84" t="s">
        <v>117</v>
      </c>
      <c r="DQ84">
        <v>800</v>
      </c>
      <c r="DR84">
        <v>800</v>
      </c>
      <c r="DS84">
        <v>800</v>
      </c>
      <c r="DT84">
        <v>800</v>
      </c>
      <c r="DU84">
        <v>800</v>
      </c>
      <c r="DV84">
        <v>800</v>
      </c>
      <c r="DW84">
        <v>800</v>
      </c>
      <c r="DX84">
        <v>800</v>
      </c>
      <c r="DY84">
        <v>800</v>
      </c>
      <c r="DZ84">
        <v>800</v>
      </c>
      <c r="ED84" t="s">
        <v>117</v>
      </c>
      <c r="EE84">
        <v>800</v>
      </c>
      <c r="EF84">
        <v>800</v>
      </c>
      <c r="EG84">
        <v>800</v>
      </c>
      <c r="EH84">
        <v>800</v>
      </c>
      <c r="EI84">
        <v>800</v>
      </c>
      <c r="EJ84">
        <v>800</v>
      </c>
      <c r="EK84">
        <v>800</v>
      </c>
      <c r="EL84">
        <v>800</v>
      </c>
      <c r="EM84">
        <v>800</v>
      </c>
      <c r="EN84">
        <v>800</v>
      </c>
      <c r="ER84" t="s">
        <v>117</v>
      </c>
      <c r="ES84">
        <v>800</v>
      </c>
      <c r="ET84">
        <v>800</v>
      </c>
      <c r="EU84">
        <v>800</v>
      </c>
      <c r="EV84">
        <v>800</v>
      </c>
      <c r="EW84">
        <v>800</v>
      </c>
      <c r="EX84">
        <v>800</v>
      </c>
      <c r="EY84">
        <v>800</v>
      </c>
      <c r="EZ84">
        <v>800</v>
      </c>
      <c r="FA84">
        <v>800</v>
      </c>
      <c r="FB84">
        <v>800</v>
      </c>
      <c r="FF84" t="s">
        <v>117</v>
      </c>
      <c r="FG84">
        <v>800</v>
      </c>
      <c r="FH84">
        <v>800</v>
      </c>
      <c r="FI84">
        <v>800</v>
      </c>
      <c r="FJ84">
        <v>800</v>
      </c>
      <c r="FK84">
        <v>800</v>
      </c>
      <c r="FL84">
        <v>800</v>
      </c>
      <c r="FM84">
        <v>800</v>
      </c>
      <c r="FN84">
        <v>800</v>
      </c>
      <c r="FO84">
        <v>800</v>
      </c>
      <c r="FP84">
        <v>800</v>
      </c>
      <c r="FT84" t="s">
        <v>117</v>
      </c>
      <c r="FU84">
        <v>800</v>
      </c>
      <c r="FV84">
        <v>800</v>
      </c>
      <c r="FW84">
        <v>800</v>
      </c>
      <c r="FX84">
        <v>800</v>
      </c>
      <c r="FY84">
        <v>800</v>
      </c>
      <c r="FZ84">
        <v>800</v>
      </c>
      <c r="GA84">
        <v>800</v>
      </c>
      <c r="GB84">
        <v>800</v>
      </c>
      <c r="GC84">
        <v>800</v>
      </c>
      <c r="GD84">
        <v>800</v>
      </c>
      <c r="GH84" t="s">
        <v>117</v>
      </c>
      <c r="GI84">
        <v>800</v>
      </c>
      <c r="GJ84">
        <v>800</v>
      </c>
      <c r="GK84">
        <v>800</v>
      </c>
      <c r="GL84">
        <v>800</v>
      </c>
      <c r="GM84">
        <v>800</v>
      </c>
      <c r="GN84">
        <v>800</v>
      </c>
      <c r="GO84">
        <v>800</v>
      </c>
      <c r="GP84">
        <v>800</v>
      </c>
      <c r="GQ84">
        <v>800</v>
      </c>
      <c r="GR84">
        <v>800</v>
      </c>
      <c r="GV84" t="s">
        <v>117</v>
      </c>
      <c r="GW84">
        <v>800</v>
      </c>
      <c r="GX84">
        <v>800</v>
      </c>
      <c r="GY84">
        <v>800</v>
      </c>
      <c r="GZ84">
        <v>800</v>
      </c>
      <c r="HA84">
        <v>800</v>
      </c>
      <c r="HB84">
        <v>800</v>
      </c>
      <c r="HC84">
        <v>800</v>
      </c>
      <c r="HD84">
        <v>800</v>
      </c>
      <c r="HE84">
        <v>800</v>
      </c>
      <c r="HF84">
        <v>800</v>
      </c>
      <c r="HJ84" t="s">
        <v>117</v>
      </c>
      <c r="HK84">
        <v>800</v>
      </c>
      <c r="HL84">
        <v>800</v>
      </c>
      <c r="HM84">
        <v>800</v>
      </c>
      <c r="HN84">
        <v>800</v>
      </c>
      <c r="HO84">
        <v>800</v>
      </c>
      <c r="HP84">
        <v>800</v>
      </c>
      <c r="HQ84">
        <v>800</v>
      </c>
      <c r="HR84">
        <v>800</v>
      </c>
      <c r="HS84">
        <v>800</v>
      </c>
      <c r="HT84">
        <v>800</v>
      </c>
      <c r="HV84" s="18"/>
    </row>
    <row r="85" spans="7:230" x14ac:dyDescent="0.25">
      <c r="H85">
        <f>((H82/1000)*H71*0.5*3)+2*0.5*0.8*4</f>
        <v>7.7</v>
      </c>
      <c r="I85">
        <f>((I82/1000)*I71*0.5*3)+2*0.5*0.8*4</f>
        <v>9.1999999999999993</v>
      </c>
      <c r="J85">
        <f t="shared" ref="J85:P85" si="58">((J82/1000)*J71*0.5*3)+2*0.5*0.8*4</f>
        <v>12.2</v>
      </c>
      <c r="K85">
        <f t="shared" si="58"/>
        <v>15.2</v>
      </c>
      <c r="L85">
        <f t="shared" si="58"/>
        <v>18.2</v>
      </c>
      <c r="M85">
        <f t="shared" si="58"/>
        <v>21.2</v>
      </c>
      <c r="N85">
        <f t="shared" si="58"/>
        <v>24.2</v>
      </c>
      <c r="O85">
        <f t="shared" si="58"/>
        <v>27.2</v>
      </c>
      <c r="P85">
        <f t="shared" si="58"/>
        <v>30.2</v>
      </c>
      <c r="Q85">
        <f>((Q82/1000)*Q71*0.5*3)+2*0.5*0.8*4</f>
        <v>33.200000000000003</v>
      </c>
      <c r="HV85" s="18"/>
    </row>
    <row r="86" spans="7:230" x14ac:dyDescent="0.25">
      <c r="AJ86" t="s">
        <v>122</v>
      </c>
      <c r="AV86" t="s">
        <v>122</v>
      </c>
      <c r="BL86" t="s">
        <v>122</v>
      </c>
      <c r="CB86" t="s">
        <v>122</v>
      </c>
      <c r="CP86" t="s">
        <v>122</v>
      </c>
      <c r="DC86" t="s">
        <v>122</v>
      </c>
      <c r="DP86" t="s">
        <v>122</v>
      </c>
      <c r="ED86" t="s">
        <v>122</v>
      </c>
      <c r="ER86" t="s">
        <v>122</v>
      </c>
      <c r="FF86" t="s">
        <v>122</v>
      </c>
      <c r="FT86" t="s">
        <v>122</v>
      </c>
      <c r="GH86" t="s">
        <v>122</v>
      </c>
      <c r="GV86" t="s">
        <v>122</v>
      </c>
      <c r="HJ86" t="s">
        <v>122</v>
      </c>
      <c r="HV86" s="18"/>
    </row>
    <row r="87" spans="7:230" x14ac:dyDescent="0.25">
      <c r="AK87">
        <f>((AK84/1000)*AK71*0.5*AK69)+2*0.5*0.8*(AK69-1)*2</f>
        <v>12.2</v>
      </c>
      <c r="AL87">
        <f t="shared" ref="AL87:AT87" si="59">((AL84/1000)*AL71*0.5*AL69)+2*0.5*0.8*(AL69-1)*2</f>
        <v>15.2</v>
      </c>
      <c r="AM87">
        <f t="shared" si="59"/>
        <v>21.2</v>
      </c>
      <c r="AN87">
        <f t="shared" si="59"/>
        <v>27.2</v>
      </c>
      <c r="AO87">
        <f t="shared" si="59"/>
        <v>31.466666666666672</v>
      </c>
      <c r="AP87">
        <f t="shared" si="59"/>
        <v>36.799999999999997</v>
      </c>
      <c r="AQ87">
        <f t="shared" si="59"/>
        <v>41.4</v>
      </c>
      <c r="AR87">
        <f t="shared" si="59"/>
        <v>46.4</v>
      </c>
      <c r="AS87">
        <f t="shared" si="59"/>
        <v>51.2</v>
      </c>
      <c r="AT87">
        <f t="shared" si="59"/>
        <v>56</v>
      </c>
      <c r="AW87">
        <f>((AW84/1000)*AW71*0.5*AW69)+2*0.5*0.8*(AW69-1)*2</f>
        <v>12.2</v>
      </c>
      <c r="AX87">
        <f t="shared" ref="AX87:BF87" si="60">((AX84/1000)*AX71*0.5*AX69)+2*0.5*0.8*(AX69-1)*2</f>
        <v>15.2</v>
      </c>
      <c r="AY87">
        <f t="shared" si="60"/>
        <v>21.2</v>
      </c>
      <c r="AZ87">
        <f t="shared" si="60"/>
        <v>27.2</v>
      </c>
      <c r="BA87">
        <f t="shared" si="60"/>
        <v>31.466666666666672</v>
      </c>
      <c r="BB87">
        <f t="shared" si="60"/>
        <v>36.799999999999997</v>
      </c>
      <c r="BC87">
        <f t="shared" si="60"/>
        <v>41.4</v>
      </c>
      <c r="BD87">
        <f t="shared" si="60"/>
        <v>46.4</v>
      </c>
      <c r="BE87">
        <f t="shared" si="60"/>
        <v>51.2</v>
      </c>
      <c r="BF87">
        <f t="shared" si="60"/>
        <v>56</v>
      </c>
      <c r="BM87">
        <f>((BM84/1000)*BM71*0.5*BM69)+2*0.5*0.8*(BM69-1)*2</f>
        <v>21.2</v>
      </c>
      <c r="BN87">
        <f t="shared" ref="BN87:BV87" si="61">((BN84/1000)*BN71*0.5*BN69)+2*0.5*0.8*(BN69-1)*2</f>
        <v>27.2</v>
      </c>
      <c r="BO87">
        <f t="shared" si="61"/>
        <v>36.799999999999997</v>
      </c>
      <c r="BP87">
        <f t="shared" si="61"/>
        <v>46.4</v>
      </c>
      <c r="BQ87">
        <f t="shared" si="61"/>
        <v>56</v>
      </c>
      <c r="BR87">
        <f t="shared" si="61"/>
        <v>65.599999999999994</v>
      </c>
      <c r="BS87">
        <f t="shared" si="61"/>
        <v>75.2</v>
      </c>
      <c r="BT87">
        <f t="shared" si="61"/>
        <v>84.8</v>
      </c>
      <c r="BU87">
        <f t="shared" si="61"/>
        <v>94.4</v>
      </c>
      <c r="BV87">
        <f t="shared" si="61"/>
        <v>104</v>
      </c>
      <c r="CC87">
        <f>((CC84/1000)*CC71*0.5*CC69)+2*0.5*0.8*(CC69-1)*2</f>
        <v>30.2</v>
      </c>
      <c r="CD87">
        <f t="shared" ref="CD87:CL87" si="62">((CD84/1000)*CD71*0.5*CD69)+2*0.5*0.8*(CD69-1)*2</f>
        <v>36.799999999999997</v>
      </c>
      <c r="CE87">
        <f t="shared" si="62"/>
        <v>51.2</v>
      </c>
      <c r="CF87">
        <f t="shared" si="62"/>
        <v>65.599999999999994</v>
      </c>
      <c r="CG87">
        <f t="shared" si="62"/>
        <v>80.3</v>
      </c>
      <c r="CH87">
        <f t="shared" si="62"/>
        <v>94.4</v>
      </c>
      <c r="CI87">
        <f t="shared" si="62"/>
        <v>109.23636363636365</v>
      </c>
      <c r="CJ87">
        <f t="shared" si="62"/>
        <v>123.2</v>
      </c>
      <c r="CK87">
        <f t="shared" si="62"/>
        <v>138.11428571428573</v>
      </c>
      <c r="CL87">
        <f t="shared" si="62"/>
        <v>152</v>
      </c>
      <c r="CQ87">
        <f>((CQ84/1000)*CQ71*0.5*CQ69)+2*0.5*0.8*(CQ69-1)*2</f>
        <v>44.8</v>
      </c>
      <c r="CR87">
        <f t="shared" ref="CR87:CZ87" si="63">((CR84/1000)*CR71*0.5*CR69)+2*0.5*0.8*(CR69-1)*2</f>
        <v>56</v>
      </c>
      <c r="CS87">
        <f t="shared" si="63"/>
        <v>80.3</v>
      </c>
      <c r="CT87">
        <f t="shared" si="63"/>
        <v>104</v>
      </c>
      <c r="CU87">
        <f t="shared" si="63"/>
        <v>128.49230769230769</v>
      </c>
      <c r="CV87">
        <f t="shared" si="63"/>
        <v>152</v>
      </c>
      <c r="CW87">
        <f t="shared" si="63"/>
        <v>176.57777777777778</v>
      </c>
      <c r="CX87">
        <f t="shared" si="63"/>
        <v>200</v>
      </c>
      <c r="CY87">
        <f t="shared" si="63"/>
        <v>224.62608695652176</v>
      </c>
      <c r="CZ87">
        <f t="shared" si="63"/>
        <v>248</v>
      </c>
      <c r="DD87">
        <f>((DD84/1000)*DD71*0.5*DD69)+2*0.5*0.8*(DD69-1)*2</f>
        <v>62</v>
      </c>
      <c r="DE87">
        <f t="shared" ref="DE87:DM87" si="64">((DE84/1000)*DE71*0.5*DE69)+2*0.5*0.8*(DE69-1)*2</f>
        <v>80.3</v>
      </c>
      <c r="DF87">
        <f t="shared" si="64"/>
        <v>116.7</v>
      </c>
      <c r="DG87">
        <f t="shared" si="64"/>
        <v>152</v>
      </c>
      <c r="DH87">
        <f t="shared" si="64"/>
        <v>188.29473684210527</v>
      </c>
      <c r="DI87">
        <f t="shared" si="64"/>
        <v>224.62608695652176</v>
      </c>
      <c r="DJ87">
        <f t="shared" si="64"/>
        <v>260.97777777777776</v>
      </c>
      <c r="DK87">
        <f t="shared" si="64"/>
        <v>296</v>
      </c>
      <c r="DL87">
        <f t="shared" si="64"/>
        <v>332.34117647058827</v>
      </c>
      <c r="DM87">
        <f t="shared" si="64"/>
        <v>368.69473684210527</v>
      </c>
      <c r="DQ87">
        <f>((DQ84/1000)*DQ71*0.5*DQ69)+2*0.5*0.8*(DQ69-1)*2</f>
        <v>79.599999999999994</v>
      </c>
      <c r="DR87">
        <f t="shared" ref="DR87:DZ87" si="65">((DR84/1000)*DR71*0.5*DR69)+2*0.5*0.8*(DR69-1)*2</f>
        <v>104</v>
      </c>
      <c r="DS87">
        <f t="shared" si="65"/>
        <v>152</v>
      </c>
      <c r="DT87">
        <f t="shared" si="65"/>
        <v>200</v>
      </c>
      <c r="DU87">
        <f t="shared" si="65"/>
        <v>248</v>
      </c>
      <c r="DV87">
        <f t="shared" si="65"/>
        <v>296</v>
      </c>
      <c r="DW87">
        <f t="shared" si="65"/>
        <v>344</v>
      </c>
      <c r="DX87">
        <f t="shared" si="65"/>
        <v>392</v>
      </c>
      <c r="DY87">
        <f t="shared" si="65"/>
        <v>440</v>
      </c>
      <c r="DZ87">
        <f t="shared" si="65"/>
        <v>488</v>
      </c>
      <c r="EE87">
        <f>((EE84/1000)*EE71*0.5*EE69)+2*0.5*0.8*(EE69-1)*2</f>
        <v>149.6</v>
      </c>
      <c r="EF87">
        <f t="shared" ref="EF87:EN87" si="66">((EF84/1000)*EF71*0.5*EF69)+2*0.5*0.8*(EF69-1)*2</f>
        <v>192</v>
      </c>
      <c r="EG87">
        <f t="shared" si="66"/>
        <v>280</v>
      </c>
      <c r="EH87">
        <f t="shared" si="66"/>
        <v>368</v>
      </c>
      <c r="EI87">
        <f t="shared" si="66"/>
        <v>456</v>
      </c>
      <c r="EJ87">
        <f t="shared" si="66"/>
        <v>544</v>
      </c>
      <c r="EK87">
        <f t="shared" si="66"/>
        <v>632</v>
      </c>
      <c r="EL87">
        <f t="shared" si="66"/>
        <v>720</v>
      </c>
      <c r="EM87">
        <f t="shared" si="66"/>
        <v>808</v>
      </c>
      <c r="EN87">
        <f t="shared" si="66"/>
        <v>896</v>
      </c>
      <c r="ES87">
        <f>((ES84/1000)*ES71*0.5*ES69)+2*0.5*0.8*(ES69-1)*2</f>
        <v>219.6</v>
      </c>
      <c r="ET87">
        <f t="shared" ref="ET87:FB87" si="67">((ET84/1000)*ET71*0.5*ET69)+2*0.5*0.8*(ET69-1)*2</f>
        <v>280</v>
      </c>
      <c r="EU87">
        <f t="shared" si="67"/>
        <v>408</v>
      </c>
      <c r="EV87">
        <f t="shared" si="67"/>
        <v>536</v>
      </c>
      <c r="EW87">
        <f t="shared" si="67"/>
        <v>664</v>
      </c>
      <c r="EX87">
        <f t="shared" si="67"/>
        <v>792</v>
      </c>
      <c r="EY87">
        <f t="shared" si="67"/>
        <v>920</v>
      </c>
      <c r="EZ87">
        <f t="shared" si="67"/>
        <v>1048</v>
      </c>
      <c r="FA87">
        <f t="shared" si="67"/>
        <v>1176</v>
      </c>
      <c r="FB87">
        <f t="shared" si="67"/>
        <v>1304</v>
      </c>
      <c r="FG87">
        <f>((FG84/1000)*FG71*0.5*FG69)+2*0.5*0.8*(FG69-1)*2</f>
        <v>289.60000000000002</v>
      </c>
      <c r="FH87">
        <f t="shared" ref="FH87:FP87" si="68">((FH84/1000)*FH71*0.5*FH69)+2*0.5*0.8*(FH69-1)*2</f>
        <v>368</v>
      </c>
      <c r="FI87">
        <f t="shared" si="68"/>
        <v>536</v>
      </c>
      <c r="FJ87">
        <f t="shared" si="68"/>
        <v>704</v>
      </c>
      <c r="FK87">
        <f t="shared" si="68"/>
        <v>872</v>
      </c>
      <c r="FL87">
        <f t="shared" si="68"/>
        <v>1040</v>
      </c>
      <c r="FM87">
        <f t="shared" si="68"/>
        <v>1208</v>
      </c>
      <c r="FN87">
        <f t="shared" si="68"/>
        <v>1376</v>
      </c>
      <c r="FO87">
        <f t="shared" si="68"/>
        <v>1544</v>
      </c>
      <c r="FP87">
        <f t="shared" si="68"/>
        <v>1712</v>
      </c>
      <c r="FU87">
        <f>((FU84/1000)*FU71*0.5*FU69)+2*0.5*0.8*(FU69-1)*2</f>
        <v>359.6</v>
      </c>
      <c r="FV87">
        <f t="shared" ref="FV87:GD87" si="69">((FV84/1000)*FV71*0.5*FV69)+2*0.5*0.8*(FV69-1)*2</f>
        <v>456</v>
      </c>
      <c r="FW87">
        <f t="shared" si="69"/>
        <v>664</v>
      </c>
      <c r="FX87">
        <f t="shared" si="69"/>
        <v>872</v>
      </c>
      <c r="FY87">
        <f t="shared" si="69"/>
        <v>1080</v>
      </c>
      <c r="FZ87">
        <f t="shared" si="69"/>
        <v>1288</v>
      </c>
      <c r="GA87">
        <f t="shared" si="69"/>
        <v>1496</v>
      </c>
      <c r="GB87">
        <f t="shared" si="69"/>
        <v>1704</v>
      </c>
      <c r="GC87">
        <f t="shared" si="69"/>
        <v>1912</v>
      </c>
      <c r="GD87">
        <f t="shared" si="69"/>
        <v>2120</v>
      </c>
      <c r="GI87">
        <f>((GI84/1000)*GI71*0.5*GI69)+2*0.5*0.8*(GI69-1)*2</f>
        <v>429.6</v>
      </c>
      <c r="GJ87">
        <f t="shared" ref="GJ87:GR87" si="70">((GJ84/1000)*GJ71*0.5*GJ69)+2*0.5*0.8*(GJ69-1)*2</f>
        <v>544</v>
      </c>
      <c r="GK87">
        <f t="shared" si="70"/>
        <v>792</v>
      </c>
      <c r="GL87">
        <f t="shared" si="70"/>
        <v>1040</v>
      </c>
      <c r="GM87">
        <f t="shared" si="70"/>
        <v>1288</v>
      </c>
      <c r="GN87">
        <f t="shared" si="70"/>
        <v>1536</v>
      </c>
      <c r="GO87">
        <f t="shared" si="70"/>
        <v>1784</v>
      </c>
      <c r="GP87">
        <f t="shared" si="70"/>
        <v>2032</v>
      </c>
      <c r="GQ87">
        <f t="shared" si="70"/>
        <v>2280</v>
      </c>
      <c r="GR87">
        <f t="shared" si="70"/>
        <v>2528</v>
      </c>
      <c r="GW87">
        <f>((GW84/1000)*GW71*0.5*GW69)+2*0.5*0.8*(GW69-1)*2</f>
        <v>569.6</v>
      </c>
      <c r="GX87">
        <f t="shared" ref="GX87:HF87" si="71">((GX84/1000)*GX71*0.5*GX69)+2*0.5*0.8*(GX69-1)*2</f>
        <v>720</v>
      </c>
      <c r="GY87">
        <f t="shared" si="71"/>
        <v>1048</v>
      </c>
      <c r="GZ87">
        <f t="shared" si="71"/>
        <v>1376</v>
      </c>
      <c r="HA87">
        <f t="shared" si="71"/>
        <v>1704</v>
      </c>
      <c r="HB87">
        <f t="shared" si="71"/>
        <v>2032</v>
      </c>
      <c r="HC87">
        <f t="shared" si="71"/>
        <v>2360</v>
      </c>
      <c r="HD87">
        <f t="shared" si="71"/>
        <v>2688</v>
      </c>
      <c r="HE87">
        <f t="shared" si="71"/>
        <v>3016</v>
      </c>
      <c r="HF87">
        <f t="shared" si="71"/>
        <v>3344</v>
      </c>
      <c r="HK87">
        <f>((HK84/1000)*HK71*0.5*HK69)+2*0.5*0.8*(HK69-1)*2</f>
        <v>709.6</v>
      </c>
      <c r="HL87">
        <f t="shared" ref="HL87:HT87" si="72">((HL84/1000)*HL71*0.5*HL69)+2*0.5*0.8*(HL69-1)*2</f>
        <v>896</v>
      </c>
      <c r="HM87">
        <f t="shared" si="72"/>
        <v>1304</v>
      </c>
      <c r="HN87">
        <f t="shared" si="72"/>
        <v>1712</v>
      </c>
      <c r="HO87">
        <f t="shared" si="72"/>
        <v>2120</v>
      </c>
      <c r="HP87">
        <f t="shared" si="72"/>
        <v>2528</v>
      </c>
      <c r="HQ87">
        <f t="shared" si="72"/>
        <v>2936</v>
      </c>
      <c r="HR87">
        <f t="shared" si="72"/>
        <v>3344</v>
      </c>
      <c r="HS87">
        <f t="shared" si="72"/>
        <v>3752</v>
      </c>
      <c r="HT87">
        <f t="shared" si="72"/>
        <v>4160</v>
      </c>
      <c r="HV87" s="18"/>
    </row>
    <row r="88" spans="7:230" x14ac:dyDescent="0.25">
      <c r="G88" t="s">
        <v>110</v>
      </c>
      <c r="H88">
        <f>H73</f>
        <v>21.25</v>
      </c>
      <c r="I88">
        <f>I73</f>
        <v>25</v>
      </c>
      <c r="J88">
        <f t="shared" ref="J88:Q88" si="73">J73</f>
        <v>32.5</v>
      </c>
      <c r="K88">
        <f t="shared" si="73"/>
        <v>40</v>
      </c>
      <c r="L88">
        <f t="shared" si="73"/>
        <v>47.5</v>
      </c>
      <c r="M88">
        <f t="shared" si="73"/>
        <v>55</v>
      </c>
      <c r="N88">
        <f t="shared" si="73"/>
        <v>62.5</v>
      </c>
      <c r="O88">
        <f t="shared" si="73"/>
        <v>70</v>
      </c>
      <c r="P88">
        <f t="shared" si="73"/>
        <v>77.5</v>
      </c>
      <c r="Q88">
        <f t="shared" si="73"/>
        <v>85</v>
      </c>
      <c r="HV88" s="18"/>
    </row>
    <row r="89" spans="7:230" x14ac:dyDescent="0.25">
      <c r="G89" t="s">
        <v>14</v>
      </c>
      <c r="H89">
        <f>H85</f>
        <v>7.7</v>
      </c>
      <c r="I89">
        <f t="shared" ref="I89:Q89" si="74">I85</f>
        <v>9.1999999999999993</v>
      </c>
      <c r="J89">
        <f t="shared" si="74"/>
        <v>12.2</v>
      </c>
      <c r="K89">
        <f t="shared" si="74"/>
        <v>15.2</v>
      </c>
      <c r="L89">
        <f t="shared" si="74"/>
        <v>18.2</v>
      </c>
      <c r="M89">
        <f t="shared" si="74"/>
        <v>21.2</v>
      </c>
      <c r="N89">
        <f t="shared" si="74"/>
        <v>24.2</v>
      </c>
      <c r="O89">
        <f t="shared" si="74"/>
        <v>27.2</v>
      </c>
      <c r="P89">
        <f t="shared" si="74"/>
        <v>30.2</v>
      </c>
      <c r="Q89">
        <f t="shared" si="74"/>
        <v>33.200000000000003</v>
      </c>
      <c r="HV89" s="18"/>
    </row>
    <row r="90" spans="7:230" x14ac:dyDescent="0.25">
      <c r="G90" t="s">
        <v>111</v>
      </c>
      <c r="H90">
        <f>(H89/8)*5</f>
        <v>4.8125</v>
      </c>
      <c r="I90">
        <f t="shared" ref="I90:Q90" si="75">(I89/8)*5</f>
        <v>5.75</v>
      </c>
      <c r="J90">
        <f t="shared" si="75"/>
        <v>7.625</v>
      </c>
      <c r="K90">
        <f t="shared" si="75"/>
        <v>9.5</v>
      </c>
      <c r="L90">
        <f t="shared" si="75"/>
        <v>11.375</v>
      </c>
      <c r="M90">
        <f t="shared" si="75"/>
        <v>13.25</v>
      </c>
      <c r="N90">
        <f t="shared" si="75"/>
        <v>15.125</v>
      </c>
      <c r="O90">
        <f t="shared" si="75"/>
        <v>17</v>
      </c>
      <c r="P90">
        <f t="shared" si="75"/>
        <v>18.875</v>
      </c>
      <c r="Q90">
        <f t="shared" si="75"/>
        <v>20.75</v>
      </c>
      <c r="AJ90" t="s">
        <v>110</v>
      </c>
      <c r="AK90">
        <f>AK75</f>
        <v>32.5</v>
      </c>
      <c r="AL90">
        <f t="shared" ref="AL90:AT90" si="76">AL75</f>
        <v>40</v>
      </c>
      <c r="AM90">
        <f t="shared" si="76"/>
        <v>55</v>
      </c>
      <c r="AN90">
        <f t="shared" si="76"/>
        <v>70</v>
      </c>
      <c r="AO90">
        <f t="shared" si="76"/>
        <v>65</v>
      </c>
      <c r="AP90">
        <f t="shared" si="76"/>
        <v>75</v>
      </c>
      <c r="AQ90">
        <f t="shared" si="76"/>
        <v>72.5</v>
      </c>
      <c r="AR90">
        <f t="shared" si="76"/>
        <v>80</v>
      </c>
      <c r="AS90">
        <f t="shared" si="76"/>
        <v>79</v>
      </c>
      <c r="AT90">
        <f t="shared" si="76"/>
        <v>85</v>
      </c>
      <c r="AV90" t="s">
        <v>110</v>
      </c>
      <c r="AW90">
        <f>AW75</f>
        <v>32.5</v>
      </c>
      <c r="AX90">
        <f t="shared" ref="AX90:BF90" si="77">AX75</f>
        <v>40</v>
      </c>
      <c r="AY90">
        <f t="shared" si="77"/>
        <v>55</v>
      </c>
      <c r="AZ90">
        <f t="shared" si="77"/>
        <v>70</v>
      </c>
      <c r="BA90">
        <f t="shared" si="77"/>
        <v>65</v>
      </c>
      <c r="BB90">
        <f t="shared" si="77"/>
        <v>75</v>
      </c>
      <c r="BC90">
        <f t="shared" si="77"/>
        <v>72.5</v>
      </c>
      <c r="BD90">
        <f t="shared" si="77"/>
        <v>80</v>
      </c>
      <c r="BE90">
        <f t="shared" si="77"/>
        <v>79</v>
      </c>
      <c r="BF90">
        <f t="shared" si="77"/>
        <v>85</v>
      </c>
      <c r="BL90" t="s">
        <v>110</v>
      </c>
      <c r="BM90">
        <f>BM75</f>
        <v>55</v>
      </c>
      <c r="BN90">
        <f t="shared" ref="BN90:BV90" si="78">BN75</f>
        <v>70</v>
      </c>
      <c r="BO90">
        <f t="shared" si="78"/>
        <v>75</v>
      </c>
      <c r="BP90">
        <f t="shared" si="78"/>
        <v>80</v>
      </c>
      <c r="BQ90">
        <f t="shared" si="78"/>
        <v>85</v>
      </c>
      <c r="BR90">
        <f t="shared" si="78"/>
        <v>90</v>
      </c>
      <c r="BS90">
        <f t="shared" si="78"/>
        <v>95</v>
      </c>
      <c r="BT90">
        <f t="shared" si="78"/>
        <v>100</v>
      </c>
      <c r="BU90">
        <f t="shared" si="78"/>
        <v>105</v>
      </c>
      <c r="BV90">
        <f t="shared" si="78"/>
        <v>110</v>
      </c>
      <c r="CB90" t="s">
        <v>110</v>
      </c>
      <c r="CC90">
        <f>CC75</f>
        <v>77.5</v>
      </c>
      <c r="CD90">
        <f t="shared" ref="CD90:CL90" si="79">CD75</f>
        <v>75</v>
      </c>
      <c r="CE90">
        <f t="shared" si="79"/>
        <v>79</v>
      </c>
      <c r="CF90">
        <f t="shared" si="79"/>
        <v>90</v>
      </c>
      <c r="CG90">
        <f t="shared" si="79"/>
        <v>96.25</v>
      </c>
      <c r="CH90">
        <f t="shared" si="79"/>
        <v>105</v>
      </c>
      <c r="CI90">
        <f t="shared" si="79"/>
        <v>112.27272727272727</v>
      </c>
      <c r="CJ90">
        <f t="shared" si="79"/>
        <v>120</v>
      </c>
      <c r="CK90">
        <f t="shared" si="79"/>
        <v>127.85714285714286</v>
      </c>
      <c r="CL90">
        <f t="shared" si="79"/>
        <v>135</v>
      </c>
      <c r="CP90" t="s">
        <v>110</v>
      </c>
      <c r="CQ90">
        <f>CQ75</f>
        <v>90</v>
      </c>
      <c r="CR90">
        <f t="shared" ref="CR90:CZ90" si="80">CR75</f>
        <v>85</v>
      </c>
      <c r="CS90">
        <f t="shared" si="80"/>
        <v>96.25</v>
      </c>
      <c r="CT90">
        <f t="shared" si="80"/>
        <v>110</v>
      </c>
      <c r="CU90">
        <f t="shared" si="80"/>
        <v>122.69230769230769</v>
      </c>
      <c r="CV90">
        <f t="shared" si="80"/>
        <v>135</v>
      </c>
      <c r="CW90">
        <f t="shared" si="80"/>
        <v>148.33333333333331</v>
      </c>
      <c r="CX90">
        <f t="shared" si="80"/>
        <v>160</v>
      </c>
      <c r="CY90">
        <f t="shared" si="80"/>
        <v>173.69565217391306</v>
      </c>
      <c r="CZ90">
        <f t="shared" si="80"/>
        <v>185</v>
      </c>
      <c r="DC90" t="s">
        <v>110</v>
      </c>
      <c r="DD90">
        <f>DD75</f>
        <v>92.5</v>
      </c>
      <c r="DE90">
        <f t="shared" ref="DE90:DM90" si="81">DE75</f>
        <v>96.25</v>
      </c>
      <c r="DF90">
        <f t="shared" si="81"/>
        <v>116.25</v>
      </c>
      <c r="DG90">
        <f t="shared" si="81"/>
        <v>135</v>
      </c>
      <c r="DH90">
        <f t="shared" si="81"/>
        <v>154.21052631578948</v>
      </c>
      <c r="DI90">
        <f t="shared" si="81"/>
        <v>173.69565217391306</v>
      </c>
      <c r="DJ90">
        <f t="shared" si="81"/>
        <v>193.33333333333331</v>
      </c>
      <c r="DK90">
        <f t="shared" si="81"/>
        <v>210</v>
      </c>
      <c r="DL90">
        <f t="shared" si="81"/>
        <v>229.55882352941177</v>
      </c>
      <c r="DM90">
        <f t="shared" si="81"/>
        <v>249.21052631578948</v>
      </c>
      <c r="DP90" t="s">
        <v>110</v>
      </c>
      <c r="DQ90">
        <f>DQ75</f>
        <v>105</v>
      </c>
      <c r="DR90">
        <f t="shared" ref="DR90:DZ90" si="82">DR75</f>
        <v>110</v>
      </c>
      <c r="DS90">
        <f t="shared" si="82"/>
        <v>135</v>
      </c>
      <c r="DT90">
        <f t="shared" si="82"/>
        <v>160</v>
      </c>
      <c r="DU90">
        <f t="shared" si="82"/>
        <v>185</v>
      </c>
      <c r="DV90">
        <f t="shared" si="82"/>
        <v>210</v>
      </c>
      <c r="DW90">
        <f t="shared" si="82"/>
        <v>235</v>
      </c>
      <c r="DX90">
        <f t="shared" si="82"/>
        <v>260</v>
      </c>
      <c r="DY90">
        <f t="shared" si="82"/>
        <v>285</v>
      </c>
      <c r="DZ90">
        <f t="shared" si="82"/>
        <v>310</v>
      </c>
      <c r="ED90" t="s">
        <v>110</v>
      </c>
      <c r="EE90">
        <f>EE75</f>
        <v>180</v>
      </c>
      <c r="EF90">
        <f t="shared" ref="EF90:EN90" si="83">EF75</f>
        <v>170</v>
      </c>
      <c r="EG90">
        <f t="shared" si="83"/>
        <v>195</v>
      </c>
      <c r="EH90">
        <f t="shared" si="83"/>
        <v>220</v>
      </c>
      <c r="EI90">
        <f t="shared" si="83"/>
        <v>245</v>
      </c>
      <c r="EJ90">
        <f t="shared" si="83"/>
        <v>270</v>
      </c>
      <c r="EK90">
        <f t="shared" si="83"/>
        <v>295</v>
      </c>
      <c r="EL90">
        <f t="shared" si="83"/>
        <v>320</v>
      </c>
      <c r="EM90">
        <f t="shared" si="83"/>
        <v>345</v>
      </c>
      <c r="EN90">
        <f t="shared" si="83"/>
        <v>370</v>
      </c>
      <c r="ER90" t="s">
        <v>110</v>
      </c>
      <c r="ES90">
        <f>ES75</f>
        <v>255</v>
      </c>
      <c r="ET90">
        <f t="shared" ref="ET90:FB90" si="84">ET75</f>
        <v>230</v>
      </c>
      <c r="EU90">
        <f t="shared" si="84"/>
        <v>255</v>
      </c>
      <c r="EV90">
        <f t="shared" si="84"/>
        <v>280</v>
      </c>
      <c r="EW90">
        <f t="shared" si="84"/>
        <v>305</v>
      </c>
      <c r="EX90">
        <f t="shared" si="84"/>
        <v>330</v>
      </c>
      <c r="EY90">
        <f t="shared" si="84"/>
        <v>355</v>
      </c>
      <c r="EZ90">
        <f t="shared" si="84"/>
        <v>380</v>
      </c>
      <c r="FA90">
        <f t="shared" si="84"/>
        <v>405</v>
      </c>
      <c r="FB90">
        <f t="shared" si="84"/>
        <v>430</v>
      </c>
      <c r="FF90" t="s">
        <v>110</v>
      </c>
      <c r="FG90">
        <f>FG75</f>
        <v>330</v>
      </c>
      <c r="FH90">
        <f t="shared" ref="FH90:FP90" si="85">FH75</f>
        <v>290</v>
      </c>
      <c r="FI90">
        <f t="shared" si="85"/>
        <v>315</v>
      </c>
      <c r="FJ90">
        <f t="shared" si="85"/>
        <v>340</v>
      </c>
      <c r="FK90">
        <f t="shared" si="85"/>
        <v>365</v>
      </c>
      <c r="FL90">
        <f t="shared" si="85"/>
        <v>390</v>
      </c>
      <c r="FM90">
        <f t="shared" si="85"/>
        <v>415</v>
      </c>
      <c r="FN90">
        <f t="shared" si="85"/>
        <v>440</v>
      </c>
      <c r="FO90">
        <f t="shared" si="85"/>
        <v>465</v>
      </c>
      <c r="FP90">
        <f t="shared" si="85"/>
        <v>490</v>
      </c>
      <c r="FT90" t="s">
        <v>110</v>
      </c>
      <c r="FU90">
        <f>FU75</f>
        <v>405</v>
      </c>
      <c r="FV90">
        <f t="shared" ref="FV90:GD90" si="86">FV75</f>
        <v>350</v>
      </c>
      <c r="FW90">
        <f t="shared" si="86"/>
        <v>375</v>
      </c>
      <c r="FX90">
        <f t="shared" si="86"/>
        <v>400</v>
      </c>
      <c r="FY90">
        <f t="shared" si="86"/>
        <v>425</v>
      </c>
      <c r="FZ90">
        <f t="shared" si="86"/>
        <v>450</v>
      </c>
      <c r="GA90">
        <f t="shared" si="86"/>
        <v>475</v>
      </c>
      <c r="GB90">
        <f t="shared" si="86"/>
        <v>500</v>
      </c>
      <c r="GC90">
        <f t="shared" si="86"/>
        <v>525</v>
      </c>
      <c r="GD90">
        <f t="shared" si="86"/>
        <v>550</v>
      </c>
      <c r="GH90" t="s">
        <v>110</v>
      </c>
      <c r="GI90">
        <f>GI75</f>
        <v>480</v>
      </c>
      <c r="GJ90">
        <f t="shared" ref="GJ90:GR90" si="87">GJ75</f>
        <v>410</v>
      </c>
      <c r="GK90">
        <f t="shared" si="87"/>
        <v>435</v>
      </c>
      <c r="GL90">
        <f t="shared" si="87"/>
        <v>460</v>
      </c>
      <c r="GM90">
        <f t="shared" si="87"/>
        <v>485</v>
      </c>
      <c r="GN90">
        <f t="shared" si="87"/>
        <v>510</v>
      </c>
      <c r="GO90">
        <f t="shared" si="87"/>
        <v>535</v>
      </c>
      <c r="GP90">
        <f t="shared" si="87"/>
        <v>560</v>
      </c>
      <c r="GQ90">
        <f t="shared" si="87"/>
        <v>585</v>
      </c>
      <c r="GR90">
        <f t="shared" si="87"/>
        <v>610</v>
      </c>
      <c r="GV90" t="s">
        <v>110</v>
      </c>
      <c r="GW90">
        <f>GW75</f>
        <v>630</v>
      </c>
      <c r="GX90">
        <f t="shared" ref="GX90:HF90" si="88">GX75</f>
        <v>530</v>
      </c>
      <c r="GY90">
        <f t="shared" si="88"/>
        <v>555</v>
      </c>
      <c r="GZ90">
        <f t="shared" si="88"/>
        <v>580</v>
      </c>
      <c r="HA90">
        <f t="shared" si="88"/>
        <v>605</v>
      </c>
      <c r="HB90">
        <f t="shared" si="88"/>
        <v>630</v>
      </c>
      <c r="HC90">
        <f t="shared" si="88"/>
        <v>655</v>
      </c>
      <c r="HD90">
        <f t="shared" si="88"/>
        <v>680</v>
      </c>
      <c r="HE90">
        <f t="shared" si="88"/>
        <v>705</v>
      </c>
      <c r="HF90">
        <f t="shared" si="88"/>
        <v>730</v>
      </c>
      <c r="HJ90" t="s">
        <v>110</v>
      </c>
      <c r="HK90">
        <f>HK75</f>
        <v>780</v>
      </c>
      <c r="HL90">
        <f t="shared" ref="HL90:HT90" si="89">HL75</f>
        <v>650</v>
      </c>
      <c r="HM90">
        <f t="shared" si="89"/>
        <v>675</v>
      </c>
      <c r="HN90">
        <f t="shared" si="89"/>
        <v>700</v>
      </c>
      <c r="HO90">
        <f t="shared" si="89"/>
        <v>725</v>
      </c>
      <c r="HP90">
        <f t="shared" si="89"/>
        <v>750</v>
      </c>
      <c r="HQ90">
        <f t="shared" si="89"/>
        <v>775</v>
      </c>
      <c r="HR90">
        <f t="shared" si="89"/>
        <v>800</v>
      </c>
      <c r="HS90">
        <f t="shared" si="89"/>
        <v>825</v>
      </c>
      <c r="HT90">
        <f t="shared" si="89"/>
        <v>850</v>
      </c>
      <c r="HV90" s="18"/>
    </row>
    <row r="91" spans="7:230" x14ac:dyDescent="0.25">
      <c r="G91" t="s">
        <v>112</v>
      </c>
      <c r="H91">
        <f>H89/0.8</f>
        <v>9.625</v>
      </c>
      <c r="I91">
        <f t="shared" ref="I91:Q91" si="90">I89/0.8</f>
        <v>11.499999999999998</v>
      </c>
      <c r="J91">
        <f t="shared" si="90"/>
        <v>15.249999999999998</v>
      </c>
      <c r="K91">
        <f t="shared" si="90"/>
        <v>18.999999999999996</v>
      </c>
      <c r="L91">
        <f t="shared" si="90"/>
        <v>22.749999999999996</v>
      </c>
      <c r="M91">
        <f t="shared" si="90"/>
        <v>26.499999999999996</v>
      </c>
      <c r="N91">
        <f t="shared" si="90"/>
        <v>30.249999999999996</v>
      </c>
      <c r="O91">
        <f t="shared" si="90"/>
        <v>34</v>
      </c>
      <c r="P91">
        <f t="shared" si="90"/>
        <v>37.75</v>
      </c>
      <c r="Q91">
        <f t="shared" si="90"/>
        <v>41.5</v>
      </c>
      <c r="AJ91" t="s">
        <v>14</v>
      </c>
      <c r="AK91">
        <f>AK87</f>
        <v>12.2</v>
      </c>
      <c r="AL91">
        <f t="shared" ref="AL91:AT91" si="91">AL87</f>
        <v>15.2</v>
      </c>
      <c r="AM91">
        <f t="shared" si="91"/>
        <v>21.2</v>
      </c>
      <c r="AN91">
        <f t="shared" si="91"/>
        <v>27.2</v>
      </c>
      <c r="AO91">
        <f t="shared" si="91"/>
        <v>31.466666666666672</v>
      </c>
      <c r="AP91">
        <f t="shared" si="91"/>
        <v>36.799999999999997</v>
      </c>
      <c r="AQ91">
        <f t="shared" si="91"/>
        <v>41.4</v>
      </c>
      <c r="AR91">
        <f t="shared" si="91"/>
        <v>46.4</v>
      </c>
      <c r="AS91">
        <f t="shared" si="91"/>
        <v>51.2</v>
      </c>
      <c r="AT91">
        <f t="shared" si="91"/>
        <v>56</v>
      </c>
      <c r="AV91" t="s">
        <v>14</v>
      </c>
      <c r="AW91">
        <f>AW87</f>
        <v>12.2</v>
      </c>
      <c r="AX91">
        <f t="shared" ref="AX91:BF91" si="92">AX87</f>
        <v>15.2</v>
      </c>
      <c r="AY91">
        <f t="shared" si="92"/>
        <v>21.2</v>
      </c>
      <c r="AZ91">
        <f t="shared" si="92"/>
        <v>27.2</v>
      </c>
      <c r="BA91">
        <f t="shared" si="92"/>
        <v>31.466666666666672</v>
      </c>
      <c r="BB91">
        <f t="shared" si="92"/>
        <v>36.799999999999997</v>
      </c>
      <c r="BC91">
        <f t="shared" si="92"/>
        <v>41.4</v>
      </c>
      <c r="BD91">
        <f t="shared" si="92"/>
        <v>46.4</v>
      </c>
      <c r="BE91">
        <f t="shared" si="92"/>
        <v>51.2</v>
      </c>
      <c r="BF91">
        <f t="shared" si="92"/>
        <v>56</v>
      </c>
      <c r="BL91" t="s">
        <v>14</v>
      </c>
      <c r="BM91">
        <f>BM87</f>
        <v>21.2</v>
      </c>
      <c r="BN91">
        <f t="shared" ref="BN91:BV91" si="93">BN87</f>
        <v>27.2</v>
      </c>
      <c r="BO91">
        <f t="shared" si="93"/>
        <v>36.799999999999997</v>
      </c>
      <c r="BP91">
        <f t="shared" si="93"/>
        <v>46.4</v>
      </c>
      <c r="BQ91">
        <f t="shared" si="93"/>
        <v>56</v>
      </c>
      <c r="BR91">
        <f t="shared" si="93"/>
        <v>65.599999999999994</v>
      </c>
      <c r="BS91">
        <f t="shared" si="93"/>
        <v>75.2</v>
      </c>
      <c r="BT91">
        <f t="shared" si="93"/>
        <v>84.8</v>
      </c>
      <c r="BU91">
        <f t="shared" si="93"/>
        <v>94.4</v>
      </c>
      <c r="BV91">
        <f t="shared" si="93"/>
        <v>104</v>
      </c>
      <c r="CB91" t="s">
        <v>14</v>
      </c>
      <c r="CC91">
        <f>CC87</f>
        <v>30.2</v>
      </c>
      <c r="CD91">
        <f t="shared" ref="CD91:CL91" si="94">CD87</f>
        <v>36.799999999999997</v>
      </c>
      <c r="CE91">
        <f t="shared" si="94"/>
        <v>51.2</v>
      </c>
      <c r="CF91">
        <f t="shared" si="94"/>
        <v>65.599999999999994</v>
      </c>
      <c r="CG91">
        <f t="shared" si="94"/>
        <v>80.3</v>
      </c>
      <c r="CH91">
        <f t="shared" si="94"/>
        <v>94.4</v>
      </c>
      <c r="CI91">
        <f t="shared" si="94"/>
        <v>109.23636363636365</v>
      </c>
      <c r="CJ91">
        <f t="shared" si="94"/>
        <v>123.2</v>
      </c>
      <c r="CK91">
        <f t="shared" si="94"/>
        <v>138.11428571428573</v>
      </c>
      <c r="CL91">
        <f t="shared" si="94"/>
        <v>152</v>
      </c>
      <c r="CP91" t="s">
        <v>14</v>
      </c>
      <c r="CQ91">
        <f>CQ87</f>
        <v>44.8</v>
      </c>
      <c r="CR91">
        <f t="shared" ref="CR91:CZ91" si="95">CR87</f>
        <v>56</v>
      </c>
      <c r="CS91">
        <f t="shared" si="95"/>
        <v>80.3</v>
      </c>
      <c r="CT91">
        <f t="shared" si="95"/>
        <v>104</v>
      </c>
      <c r="CU91">
        <f t="shared" si="95"/>
        <v>128.49230769230769</v>
      </c>
      <c r="CV91">
        <f t="shared" si="95"/>
        <v>152</v>
      </c>
      <c r="CW91">
        <f t="shared" si="95"/>
        <v>176.57777777777778</v>
      </c>
      <c r="CX91">
        <f t="shared" si="95"/>
        <v>200</v>
      </c>
      <c r="CY91">
        <f t="shared" si="95"/>
        <v>224.62608695652176</v>
      </c>
      <c r="CZ91">
        <f t="shared" si="95"/>
        <v>248</v>
      </c>
      <c r="DC91" t="s">
        <v>14</v>
      </c>
      <c r="DD91">
        <f>DD87</f>
        <v>62</v>
      </c>
      <c r="DE91">
        <f t="shared" ref="DE91:DM91" si="96">DE87</f>
        <v>80.3</v>
      </c>
      <c r="DF91">
        <f t="shared" si="96"/>
        <v>116.7</v>
      </c>
      <c r="DG91">
        <f t="shared" si="96"/>
        <v>152</v>
      </c>
      <c r="DH91">
        <f t="shared" si="96"/>
        <v>188.29473684210527</v>
      </c>
      <c r="DI91">
        <f t="shared" si="96"/>
        <v>224.62608695652176</v>
      </c>
      <c r="DJ91">
        <f t="shared" si="96"/>
        <v>260.97777777777776</v>
      </c>
      <c r="DK91">
        <f t="shared" si="96"/>
        <v>296</v>
      </c>
      <c r="DL91">
        <f t="shared" si="96"/>
        <v>332.34117647058827</v>
      </c>
      <c r="DM91">
        <f t="shared" si="96"/>
        <v>368.69473684210527</v>
      </c>
      <c r="DP91" t="s">
        <v>14</v>
      </c>
      <c r="DQ91">
        <f>DQ87</f>
        <v>79.599999999999994</v>
      </c>
      <c r="DR91">
        <f t="shared" ref="DR91:DZ91" si="97">DR87</f>
        <v>104</v>
      </c>
      <c r="DS91">
        <f t="shared" si="97"/>
        <v>152</v>
      </c>
      <c r="DT91">
        <f t="shared" si="97"/>
        <v>200</v>
      </c>
      <c r="DU91">
        <f t="shared" si="97"/>
        <v>248</v>
      </c>
      <c r="DV91">
        <f t="shared" si="97"/>
        <v>296</v>
      </c>
      <c r="DW91">
        <f t="shared" si="97"/>
        <v>344</v>
      </c>
      <c r="DX91">
        <f t="shared" si="97"/>
        <v>392</v>
      </c>
      <c r="DY91">
        <f t="shared" si="97"/>
        <v>440</v>
      </c>
      <c r="DZ91">
        <f t="shared" si="97"/>
        <v>488</v>
      </c>
      <c r="ED91" t="s">
        <v>14</v>
      </c>
      <c r="EE91">
        <f>EE87</f>
        <v>149.6</v>
      </c>
      <c r="EF91">
        <f t="shared" ref="EF91:EN91" si="98">EF87</f>
        <v>192</v>
      </c>
      <c r="EG91">
        <f t="shared" si="98"/>
        <v>280</v>
      </c>
      <c r="EH91">
        <f t="shared" si="98"/>
        <v>368</v>
      </c>
      <c r="EI91">
        <f t="shared" si="98"/>
        <v>456</v>
      </c>
      <c r="EJ91">
        <f t="shared" si="98"/>
        <v>544</v>
      </c>
      <c r="EK91">
        <f t="shared" si="98"/>
        <v>632</v>
      </c>
      <c r="EL91">
        <f t="shared" si="98"/>
        <v>720</v>
      </c>
      <c r="EM91">
        <f t="shared" si="98"/>
        <v>808</v>
      </c>
      <c r="EN91">
        <f t="shared" si="98"/>
        <v>896</v>
      </c>
      <c r="ER91" t="s">
        <v>14</v>
      </c>
      <c r="ES91">
        <f>ES87</f>
        <v>219.6</v>
      </c>
      <c r="ET91">
        <f t="shared" ref="ET91:FB91" si="99">ET87</f>
        <v>280</v>
      </c>
      <c r="EU91">
        <f t="shared" si="99"/>
        <v>408</v>
      </c>
      <c r="EV91">
        <f t="shared" si="99"/>
        <v>536</v>
      </c>
      <c r="EW91">
        <f t="shared" si="99"/>
        <v>664</v>
      </c>
      <c r="EX91">
        <f t="shared" si="99"/>
        <v>792</v>
      </c>
      <c r="EY91">
        <f t="shared" si="99"/>
        <v>920</v>
      </c>
      <c r="EZ91">
        <f t="shared" si="99"/>
        <v>1048</v>
      </c>
      <c r="FA91">
        <f t="shared" si="99"/>
        <v>1176</v>
      </c>
      <c r="FB91">
        <f t="shared" si="99"/>
        <v>1304</v>
      </c>
      <c r="FF91" t="s">
        <v>14</v>
      </c>
      <c r="FG91">
        <f>FG87</f>
        <v>289.60000000000002</v>
      </c>
      <c r="FH91">
        <f t="shared" ref="FH91:FP91" si="100">FH87</f>
        <v>368</v>
      </c>
      <c r="FI91">
        <f t="shared" si="100"/>
        <v>536</v>
      </c>
      <c r="FJ91">
        <f t="shared" si="100"/>
        <v>704</v>
      </c>
      <c r="FK91">
        <f t="shared" si="100"/>
        <v>872</v>
      </c>
      <c r="FL91">
        <f t="shared" si="100"/>
        <v>1040</v>
      </c>
      <c r="FM91">
        <f t="shared" si="100"/>
        <v>1208</v>
      </c>
      <c r="FN91">
        <f t="shared" si="100"/>
        <v>1376</v>
      </c>
      <c r="FO91">
        <f t="shared" si="100"/>
        <v>1544</v>
      </c>
      <c r="FP91">
        <f t="shared" si="100"/>
        <v>1712</v>
      </c>
      <c r="FT91" t="s">
        <v>14</v>
      </c>
      <c r="FU91">
        <f>FU87</f>
        <v>359.6</v>
      </c>
      <c r="FV91">
        <f t="shared" ref="FV91:GD91" si="101">FV87</f>
        <v>456</v>
      </c>
      <c r="FW91">
        <f t="shared" si="101"/>
        <v>664</v>
      </c>
      <c r="FX91">
        <f t="shared" si="101"/>
        <v>872</v>
      </c>
      <c r="FY91">
        <f t="shared" si="101"/>
        <v>1080</v>
      </c>
      <c r="FZ91">
        <f t="shared" si="101"/>
        <v>1288</v>
      </c>
      <c r="GA91">
        <f t="shared" si="101"/>
        <v>1496</v>
      </c>
      <c r="GB91">
        <f t="shared" si="101"/>
        <v>1704</v>
      </c>
      <c r="GC91">
        <f t="shared" si="101"/>
        <v>1912</v>
      </c>
      <c r="GD91">
        <f t="shared" si="101"/>
        <v>2120</v>
      </c>
      <c r="GH91" t="s">
        <v>14</v>
      </c>
      <c r="GI91">
        <f>GI87</f>
        <v>429.6</v>
      </c>
      <c r="GJ91">
        <f t="shared" ref="GJ91:GR91" si="102">GJ87</f>
        <v>544</v>
      </c>
      <c r="GK91">
        <f t="shared" si="102"/>
        <v>792</v>
      </c>
      <c r="GL91">
        <f t="shared" si="102"/>
        <v>1040</v>
      </c>
      <c r="GM91">
        <f t="shared" si="102"/>
        <v>1288</v>
      </c>
      <c r="GN91">
        <f t="shared" si="102"/>
        <v>1536</v>
      </c>
      <c r="GO91">
        <f t="shared" si="102"/>
        <v>1784</v>
      </c>
      <c r="GP91">
        <f t="shared" si="102"/>
        <v>2032</v>
      </c>
      <c r="GQ91">
        <f t="shared" si="102"/>
        <v>2280</v>
      </c>
      <c r="GR91">
        <f t="shared" si="102"/>
        <v>2528</v>
      </c>
      <c r="GV91" t="s">
        <v>14</v>
      </c>
      <c r="GW91">
        <f>GW87</f>
        <v>569.6</v>
      </c>
      <c r="GX91">
        <f t="shared" ref="GX91:HF91" si="103">GX87</f>
        <v>720</v>
      </c>
      <c r="GY91">
        <f t="shared" si="103"/>
        <v>1048</v>
      </c>
      <c r="GZ91">
        <f t="shared" si="103"/>
        <v>1376</v>
      </c>
      <c r="HA91">
        <f t="shared" si="103"/>
        <v>1704</v>
      </c>
      <c r="HB91">
        <f t="shared" si="103"/>
        <v>2032</v>
      </c>
      <c r="HC91">
        <f t="shared" si="103"/>
        <v>2360</v>
      </c>
      <c r="HD91">
        <f t="shared" si="103"/>
        <v>2688</v>
      </c>
      <c r="HE91">
        <f t="shared" si="103"/>
        <v>3016</v>
      </c>
      <c r="HF91">
        <f t="shared" si="103"/>
        <v>3344</v>
      </c>
      <c r="HJ91" t="s">
        <v>14</v>
      </c>
      <c r="HK91">
        <f>HK87</f>
        <v>709.6</v>
      </c>
      <c r="HL91">
        <f t="shared" ref="HL91:HT91" si="104">HL87</f>
        <v>896</v>
      </c>
      <c r="HM91">
        <f t="shared" si="104"/>
        <v>1304</v>
      </c>
      <c r="HN91">
        <f t="shared" si="104"/>
        <v>1712</v>
      </c>
      <c r="HO91">
        <f t="shared" si="104"/>
        <v>2120</v>
      </c>
      <c r="HP91">
        <f t="shared" si="104"/>
        <v>2528</v>
      </c>
      <c r="HQ91">
        <f t="shared" si="104"/>
        <v>2936</v>
      </c>
      <c r="HR91">
        <f t="shared" si="104"/>
        <v>3344</v>
      </c>
      <c r="HS91">
        <f t="shared" si="104"/>
        <v>3752</v>
      </c>
      <c r="HT91">
        <f t="shared" si="104"/>
        <v>4160</v>
      </c>
      <c r="HV91" s="18"/>
    </row>
    <row r="92" spans="7:230" x14ac:dyDescent="0.25">
      <c r="G92" s="10" t="s">
        <v>206</v>
      </c>
      <c r="AJ92" t="s">
        <v>111</v>
      </c>
      <c r="AK92">
        <f>(AK91/8)*5</f>
        <v>7.625</v>
      </c>
      <c r="AL92">
        <f t="shared" ref="AL92:AT92" si="105">(AL91/8)*5</f>
        <v>9.5</v>
      </c>
      <c r="AM92">
        <f t="shared" si="105"/>
        <v>13.25</v>
      </c>
      <c r="AN92">
        <f t="shared" si="105"/>
        <v>17</v>
      </c>
      <c r="AO92">
        <f t="shared" si="105"/>
        <v>19.666666666666671</v>
      </c>
      <c r="AP92">
        <f t="shared" si="105"/>
        <v>23</v>
      </c>
      <c r="AQ92">
        <f t="shared" si="105"/>
        <v>25.875</v>
      </c>
      <c r="AR92">
        <f t="shared" si="105"/>
        <v>29</v>
      </c>
      <c r="AS92">
        <f t="shared" si="105"/>
        <v>32</v>
      </c>
      <c r="AT92">
        <f t="shared" si="105"/>
        <v>35</v>
      </c>
      <c r="AV92" t="s">
        <v>111</v>
      </c>
      <c r="AW92">
        <f>(AW91/8)*5</f>
        <v>7.625</v>
      </c>
      <c r="AX92">
        <f t="shared" ref="AX92:BF92" si="106">(AX91/8)*5</f>
        <v>9.5</v>
      </c>
      <c r="AY92">
        <f t="shared" si="106"/>
        <v>13.25</v>
      </c>
      <c r="AZ92">
        <f t="shared" si="106"/>
        <v>17</v>
      </c>
      <c r="BA92">
        <f t="shared" si="106"/>
        <v>19.666666666666671</v>
      </c>
      <c r="BB92">
        <f t="shared" si="106"/>
        <v>23</v>
      </c>
      <c r="BC92">
        <f t="shared" si="106"/>
        <v>25.875</v>
      </c>
      <c r="BD92">
        <f t="shared" si="106"/>
        <v>29</v>
      </c>
      <c r="BE92">
        <f t="shared" si="106"/>
        <v>32</v>
      </c>
      <c r="BF92">
        <f t="shared" si="106"/>
        <v>35</v>
      </c>
      <c r="BL92" t="s">
        <v>111</v>
      </c>
      <c r="BM92">
        <f>(BM91/8)*5</f>
        <v>13.25</v>
      </c>
      <c r="BN92">
        <f t="shared" ref="BN92:BV92" si="107">(BN91/8)*5</f>
        <v>17</v>
      </c>
      <c r="BO92">
        <f t="shared" si="107"/>
        <v>23</v>
      </c>
      <c r="BP92">
        <f t="shared" si="107"/>
        <v>29</v>
      </c>
      <c r="BQ92">
        <f t="shared" si="107"/>
        <v>35</v>
      </c>
      <c r="BR92">
        <f t="shared" si="107"/>
        <v>41</v>
      </c>
      <c r="BS92">
        <f t="shared" si="107"/>
        <v>47</v>
      </c>
      <c r="BT92">
        <f t="shared" si="107"/>
        <v>53</v>
      </c>
      <c r="BU92">
        <f t="shared" si="107"/>
        <v>59</v>
      </c>
      <c r="BV92">
        <f t="shared" si="107"/>
        <v>65</v>
      </c>
      <c r="CB92" t="s">
        <v>111</v>
      </c>
      <c r="CC92">
        <f>(CC91/8)*5</f>
        <v>18.875</v>
      </c>
      <c r="CD92">
        <f t="shared" ref="CD92:CL92" si="108">(CD91/8)*5</f>
        <v>23</v>
      </c>
      <c r="CE92">
        <f t="shared" si="108"/>
        <v>32</v>
      </c>
      <c r="CF92">
        <f t="shared" si="108"/>
        <v>41</v>
      </c>
      <c r="CG92">
        <f t="shared" si="108"/>
        <v>50.1875</v>
      </c>
      <c r="CH92">
        <f t="shared" si="108"/>
        <v>59</v>
      </c>
      <c r="CI92">
        <f t="shared" si="108"/>
        <v>68.27272727272728</v>
      </c>
      <c r="CJ92">
        <f t="shared" si="108"/>
        <v>77</v>
      </c>
      <c r="CK92">
        <f t="shared" si="108"/>
        <v>86.321428571428584</v>
      </c>
      <c r="CL92">
        <f t="shared" si="108"/>
        <v>95</v>
      </c>
      <c r="CP92" t="s">
        <v>111</v>
      </c>
      <c r="CQ92">
        <f>(CQ91/8)*5</f>
        <v>28</v>
      </c>
      <c r="CR92">
        <f t="shared" ref="CR92:CZ92" si="109">(CR91/8)*5</f>
        <v>35</v>
      </c>
      <c r="CS92">
        <f t="shared" si="109"/>
        <v>50.1875</v>
      </c>
      <c r="CT92">
        <f t="shared" si="109"/>
        <v>65</v>
      </c>
      <c r="CU92">
        <f t="shared" si="109"/>
        <v>80.307692307692307</v>
      </c>
      <c r="CV92">
        <f t="shared" si="109"/>
        <v>95</v>
      </c>
      <c r="CW92">
        <f t="shared" si="109"/>
        <v>110.36111111111111</v>
      </c>
      <c r="CX92">
        <f t="shared" si="109"/>
        <v>125</v>
      </c>
      <c r="CY92">
        <f t="shared" si="109"/>
        <v>140.39130434782609</v>
      </c>
      <c r="CZ92">
        <f t="shared" si="109"/>
        <v>155</v>
      </c>
      <c r="DC92" t="s">
        <v>111</v>
      </c>
      <c r="DD92">
        <f>(DD91/8)*5</f>
        <v>38.75</v>
      </c>
      <c r="DE92">
        <f t="shared" ref="DE92:DM92" si="110">(DE91/8)*5</f>
        <v>50.1875</v>
      </c>
      <c r="DF92">
        <f t="shared" si="110"/>
        <v>72.9375</v>
      </c>
      <c r="DG92">
        <f t="shared" si="110"/>
        <v>95</v>
      </c>
      <c r="DH92">
        <f t="shared" si="110"/>
        <v>117.68421052631579</v>
      </c>
      <c r="DI92">
        <f t="shared" si="110"/>
        <v>140.39130434782609</v>
      </c>
      <c r="DJ92">
        <f t="shared" si="110"/>
        <v>163.11111111111109</v>
      </c>
      <c r="DK92">
        <f t="shared" si="110"/>
        <v>185</v>
      </c>
      <c r="DL92">
        <f t="shared" si="110"/>
        <v>207.71323529411768</v>
      </c>
      <c r="DM92">
        <f t="shared" si="110"/>
        <v>230.43421052631578</v>
      </c>
      <c r="DP92" t="s">
        <v>111</v>
      </c>
      <c r="DQ92">
        <f>(DQ91/8)*5</f>
        <v>49.75</v>
      </c>
      <c r="DR92">
        <f t="shared" ref="DR92:DZ92" si="111">(DR91/8)*5</f>
        <v>65</v>
      </c>
      <c r="DS92">
        <f t="shared" si="111"/>
        <v>95</v>
      </c>
      <c r="DT92">
        <f t="shared" si="111"/>
        <v>125</v>
      </c>
      <c r="DU92">
        <f t="shared" si="111"/>
        <v>155</v>
      </c>
      <c r="DV92">
        <f t="shared" si="111"/>
        <v>185</v>
      </c>
      <c r="DW92">
        <f t="shared" si="111"/>
        <v>215</v>
      </c>
      <c r="DX92">
        <f t="shared" si="111"/>
        <v>245</v>
      </c>
      <c r="DY92">
        <f t="shared" si="111"/>
        <v>275</v>
      </c>
      <c r="DZ92">
        <f t="shared" si="111"/>
        <v>305</v>
      </c>
      <c r="ED92" t="s">
        <v>111</v>
      </c>
      <c r="EE92">
        <f>(EE91/8)*5</f>
        <v>93.5</v>
      </c>
      <c r="EF92">
        <f t="shared" ref="EF92:EN92" si="112">(EF91/8)*5</f>
        <v>120</v>
      </c>
      <c r="EG92">
        <f t="shared" si="112"/>
        <v>175</v>
      </c>
      <c r="EH92">
        <f t="shared" si="112"/>
        <v>230</v>
      </c>
      <c r="EI92">
        <f t="shared" si="112"/>
        <v>285</v>
      </c>
      <c r="EJ92">
        <f t="shared" si="112"/>
        <v>340</v>
      </c>
      <c r="EK92">
        <f t="shared" si="112"/>
        <v>395</v>
      </c>
      <c r="EL92">
        <f t="shared" si="112"/>
        <v>450</v>
      </c>
      <c r="EM92">
        <f t="shared" si="112"/>
        <v>505</v>
      </c>
      <c r="EN92">
        <f t="shared" si="112"/>
        <v>560</v>
      </c>
      <c r="ER92" t="s">
        <v>111</v>
      </c>
      <c r="ES92">
        <f>(ES91/8)*5</f>
        <v>137.25</v>
      </c>
      <c r="ET92">
        <f t="shared" ref="ET92:FB92" si="113">(ET91/8)*5</f>
        <v>175</v>
      </c>
      <c r="EU92">
        <f t="shared" si="113"/>
        <v>255</v>
      </c>
      <c r="EV92">
        <f t="shared" si="113"/>
        <v>335</v>
      </c>
      <c r="EW92">
        <f t="shared" si="113"/>
        <v>415</v>
      </c>
      <c r="EX92">
        <f t="shared" si="113"/>
        <v>495</v>
      </c>
      <c r="EY92">
        <f t="shared" si="113"/>
        <v>575</v>
      </c>
      <c r="EZ92">
        <f t="shared" si="113"/>
        <v>655</v>
      </c>
      <c r="FA92">
        <f t="shared" si="113"/>
        <v>735</v>
      </c>
      <c r="FB92">
        <f t="shared" si="113"/>
        <v>815</v>
      </c>
      <c r="FF92" t="s">
        <v>111</v>
      </c>
      <c r="FG92">
        <f>(FG91/8)*5</f>
        <v>181</v>
      </c>
      <c r="FH92">
        <f t="shared" ref="FH92:FP92" si="114">(FH91/8)*5</f>
        <v>230</v>
      </c>
      <c r="FI92">
        <f t="shared" si="114"/>
        <v>335</v>
      </c>
      <c r="FJ92">
        <f t="shared" si="114"/>
        <v>440</v>
      </c>
      <c r="FK92">
        <f t="shared" si="114"/>
        <v>545</v>
      </c>
      <c r="FL92">
        <f t="shared" si="114"/>
        <v>650</v>
      </c>
      <c r="FM92">
        <f t="shared" si="114"/>
        <v>755</v>
      </c>
      <c r="FN92">
        <f t="shared" si="114"/>
        <v>860</v>
      </c>
      <c r="FO92">
        <f t="shared" si="114"/>
        <v>965</v>
      </c>
      <c r="FP92">
        <f t="shared" si="114"/>
        <v>1070</v>
      </c>
      <c r="FT92" t="s">
        <v>111</v>
      </c>
      <c r="FU92">
        <f>(FU91/8)*5</f>
        <v>224.75</v>
      </c>
      <c r="FV92">
        <f t="shared" ref="FV92:GD92" si="115">(FV91/8)*5</f>
        <v>285</v>
      </c>
      <c r="FW92">
        <f t="shared" si="115"/>
        <v>415</v>
      </c>
      <c r="FX92">
        <f t="shared" si="115"/>
        <v>545</v>
      </c>
      <c r="FY92">
        <f t="shared" si="115"/>
        <v>675</v>
      </c>
      <c r="FZ92">
        <f t="shared" si="115"/>
        <v>805</v>
      </c>
      <c r="GA92">
        <f t="shared" si="115"/>
        <v>935</v>
      </c>
      <c r="GB92">
        <f t="shared" si="115"/>
        <v>1065</v>
      </c>
      <c r="GC92">
        <f t="shared" si="115"/>
        <v>1195</v>
      </c>
      <c r="GD92">
        <f t="shared" si="115"/>
        <v>1325</v>
      </c>
      <c r="GH92" t="s">
        <v>111</v>
      </c>
      <c r="GI92">
        <f>(GI91/8)*5</f>
        <v>268.5</v>
      </c>
      <c r="GJ92">
        <f t="shared" ref="GJ92:GR92" si="116">(GJ91/8)*5</f>
        <v>340</v>
      </c>
      <c r="GK92">
        <f t="shared" si="116"/>
        <v>495</v>
      </c>
      <c r="GL92">
        <f t="shared" si="116"/>
        <v>650</v>
      </c>
      <c r="GM92">
        <f t="shared" si="116"/>
        <v>805</v>
      </c>
      <c r="GN92">
        <f t="shared" si="116"/>
        <v>960</v>
      </c>
      <c r="GO92">
        <f t="shared" si="116"/>
        <v>1115</v>
      </c>
      <c r="GP92">
        <f t="shared" si="116"/>
        <v>1270</v>
      </c>
      <c r="GQ92">
        <f t="shared" si="116"/>
        <v>1425</v>
      </c>
      <c r="GR92">
        <f t="shared" si="116"/>
        <v>1580</v>
      </c>
      <c r="GV92" t="s">
        <v>111</v>
      </c>
      <c r="GW92">
        <f>(GW91/8)*5</f>
        <v>356</v>
      </c>
      <c r="GX92">
        <f t="shared" ref="GX92:HF92" si="117">(GX91/8)*5</f>
        <v>450</v>
      </c>
      <c r="GY92">
        <f t="shared" si="117"/>
        <v>655</v>
      </c>
      <c r="GZ92">
        <f t="shared" si="117"/>
        <v>860</v>
      </c>
      <c r="HA92">
        <f t="shared" si="117"/>
        <v>1065</v>
      </c>
      <c r="HB92">
        <f t="shared" si="117"/>
        <v>1270</v>
      </c>
      <c r="HC92">
        <f t="shared" si="117"/>
        <v>1475</v>
      </c>
      <c r="HD92">
        <f t="shared" si="117"/>
        <v>1680</v>
      </c>
      <c r="HE92">
        <f t="shared" si="117"/>
        <v>1885</v>
      </c>
      <c r="HF92">
        <f t="shared" si="117"/>
        <v>2090</v>
      </c>
      <c r="HJ92" t="s">
        <v>111</v>
      </c>
      <c r="HK92">
        <f>(HK91/8)*5</f>
        <v>443.5</v>
      </c>
      <c r="HL92">
        <f t="shared" ref="HL92:HT92" si="118">(HL91/8)*5</f>
        <v>560</v>
      </c>
      <c r="HM92">
        <f t="shared" si="118"/>
        <v>815</v>
      </c>
      <c r="HN92">
        <f t="shared" si="118"/>
        <v>1070</v>
      </c>
      <c r="HO92">
        <f t="shared" si="118"/>
        <v>1325</v>
      </c>
      <c r="HP92">
        <f t="shared" si="118"/>
        <v>1580</v>
      </c>
      <c r="HQ92">
        <f t="shared" si="118"/>
        <v>1835</v>
      </c>
      <c r="HR92">
        <f t="shared" si="118"/>
        <v>2090</v>
      </c>
      <c r="HS92">
        <f t="shared" si="118"/>
        <v>2345</v>
      </c>
      <c r="HT92">
        <f t="shared" si="118"/>
        <v>2600</v>
      </c>
      <c r="HV92" s="18"/>
    </row>
    <row r="93" spans="7:230" x14ac:dyDescent="0.25">
      <c r="G93" t="s">
        <v>110</v>
      </c>
      <c r="H93">
        <f>163.5/50</f>
        <v>3.27</v>
      </c>
      <c r="I93">
        <f>163.5/50</f>
        <v>3.27</v>
      </c>
      <c r="J93">
        <f t="shared" ref="J93:Q93" si="119">163.5/50</f>
        <v>3.27</v>
      </c>
      <c r="K93">
        <f t="shared" si="119"/>
        <v>3.27</v>
      </c>
      <c r="L93">
        <f t="shared" si="119"/>
        <v>3.27</v>
      </c>
      <c r="M93">
        <f t="shared" si="119"/>
        <v>3.27</v>
      </c>
      <c r="N93">
        <f t="shared" si="119"/>
        <v>3.27</v>
      </c>
      <c r="O93">
        <f t="shared" si="119"/>
        <v>3.27</v>
      </c>
      <c r="P93">
        <f t="shared" si="119"/>
        <v>3.27</v>
      </c>
      <c r="Q93">
        <f t="shared" si="119"/>
        <v>3.27</v>
      </c>
      <c r="AJ93" t="s">
        <v>112</v>
      </c>
      <c r="AK93">
        <f>AK91/0.8</f>
        <v>15.249999999999998</v>
      </c>
      <c r="AL93">
        <f t="shared" ref="AL93:AT93" si="120">AL91/0.8</f>
        <v>18.999999999999996</v>
      </c>
      <c r="AM93">
        <f t="shared" si="120"/>
        <v>26.499999999999996</v>
      </c>
      <c r="AN93">
        <f t="shared" si="120"/>
        <v>34</v>
      </c>
      <c r="AO93">
        <f t="shared" si="120"/>
        <v>39.333333333333336</v>
      </c>
      <c r="AP93">
        <f t="shared" si="120"/>
        <v>45.999999999999993</v>
      </c>
      <c r="AQ93">
        <f t="shared" si="120"/>
        <v>51.749999999999993</v>
      </c>
      <c r="AR93">
        <f t="shared" si="120"/>
        <v>57.999999999999993</v>
      </c>
      <c r="AS93">
        <f t="shared" si="120"/>
        <v>64</v>
      </c>
      <c r="AT93">
        <f t="shared" si="120"/>
        <v>70</v>
      </c>
      <c r="AV93" t="s">
        <v>112</v>
      </c>
      <c r="AW93">
        <f>AW91/0.8</f>
        <v>15.249999999999998</v>
      </c>
      <c r="AX93">
        <f t="shared" ref="AX93:BF93" si="121">AX91/0.8</f>
        <v>18.999999999999996</v>
      </c>
      <c r="AY93">
        <f t="shared" si="121"/>
        <v>26.499999999999996</v>
      </c>
      <c r="AZ93">
        <f t="shared" si="121"/>
        <v>34</v>
      </c>
      <c r="BA93">
        <f t="shared" si="121"/>
        <v>39.333333333333336</v>
      </c>
      <c r="BB93">
        <f t="shared" si="121"/>
        <v>45.999999999999993</v>
      </c>
      <c r="BC93">
        <f t="shared" si="121"/>
        <v>51.749999999999993</v>
      </c>
      <c r="BD93">
        <f t="shared" si="121"/>
        <v>57.999999999999993</v>
      </c>
      <c r="BE93">
        <f t="shared" si="121"/>
        <v>64</v>
      </c>
      <c r="BF93">
        <f t="shared" si="121"/>
        <v>70</v>
      </c>
      <c r="BL93" t="s">
        <v>112</v>
      </c>
      <c r="BM93">
        <f>BM91/0.8</f>
        <v>26.499999999999996</v>
      </c>
      <c r="BN93">
        <f t="shared" ref="BN93:BV93" si="122">BN91/0.8</f>
        <v>34</v>
      </c>
      <c r="BO93">
        <f t="shared" si="122"/>
        <v>45.999999999999993</v>
      </c>
      <c r="BP93">
        <f t="shared" si="122"/>
        <v>57.999999999999993</v>
      </c>
      <c r="BQ93">
        <f t="shared" si="122"/>
        <v>70</v>
      </c>
      <c r="BR93">
        <f t="shared" si="122"/>
        <v>81.999999999999986</v>
      </c>
      <c r="BS93">
        <f t="shared" si="122"/>
        <v>94</v>
      </c>
      <c r="BT93">
        <f t="shared" si="122"/>
        <v>105.99999999999999</v>
      </c>
      <c r="BU93">
        <f t="shared" si="122"/>
        <v>118</v>
      </c>
      <c r="BV93">
        <f t="shared" si="122"/>
        <v>130</v>
      </c>
      <c r="CB93" t="s">
        <v>112</v>
      </c>
      <c r="CC93">
        <f>CC91/0.8</f>
        <v>37.75</v>
      </c>
      <c r="CD93">
        <f t="shared" ref="CD93:CL93" si="123">CD91/0.8</f>
        <v>45.999999999999993</v>
      </c>
      <c r="CE93">
        <f t="shared" si="123"/>
        <v>64</v>
      </c>
      <c r="CF93">
        <f t="shared" si="123"/>
        <v>81.999999999999986</v>
      </c>
      <c r="CG93">
        <f t="shared" si="123"/>
        <v>100.37499999999999</v>
      </c>
      <c r="CH93">
        <f t="shared" si="123"/>
        <v>118</v>
      </c>
      <c r="CI93">
        <f t="shared" si="123"/>
        <v>136.54545454545456</v>
      </c>
      <c r="CJ93">
        <f t="shared" si="123"/>
        <v>154</v>
      </c>
      <c r="CK93">
        <f t="shared" si="123"/>
        <v>172.64285714285714</v>
      </c>
      <c r="CL93">
        <f t="shared" si="123"/>
        <v>190</v>
      </c>
      <c r="CP93" t="s">
        <v>112</v>
      </c>
      <c r="CQ93">
        <f>CQ91/0.8</f>
        <v>55.999999999999993</v>
      </c>
      <c r="CR93">
        <f t="shared" ref="CR93:CZ93" si="124">CR91/0.8</f>
        <v>70</v>
      </c>
      <c r="CS93">
        <f t="shared" si="124"/>
        <v>100.37499999999999</v>
      </c>
      <c r="CT93">
        <f t="shared" si="124"/>
        <v>130</v>
      </c>
      <c r="CU93">
        <f t="shared" si="124"/>
        <v>160.61538461538461</v>
      </c>
      <c r="CV93">
        <f t="shared" si="124"/>
        <v>190</v>
      </c>
      <c r="CW93">
        <f t="shared" si="124"/>
        <v>220.72222222222223</v>
      </c>
      <c r="CX93">
        <f t="shared" si="124"/>
        <v>250</v>
      </c>
      <c r="CY93">
        <f t="shared" si="124"/>
        <v>280.78260869565219</v>
      </c>
      <c r="CZ93">
        <f t="shared" si="124"/>
        <v>310</v>
      </c>
      <c r="DC93" t="s">
        <v>112</v>
      </c>
      <c r="DD93">
        <f>DD91/0.8</f>
        <v>77.5</v>
      </c>
      <c r="DE93">
        <f t="shared" ref="DE93:DM93" si="125">DE91/0.8</f>
        <v>100.37499999999999</v>
      </c>
      <c r="DF93">
        <f t="shared" si="125"/>
        <v>145.875</v>
      </c>
      <c r="DG93">
        <f t="shared" si="125"/>
        <v>190</v>
      </c>
      <c r="DH93">
        <f t="shared" si="125"/>
        <v>235.36842105263156</v>
      </c>
      <c r="DI93">
        <f t="shared" si="125"/>
        <v>280.78260869565219</v>
      </c>
      <c r="DJ93">
        <f t="shared" si="125"/>
        <v>326.22222222222217</v>
      </c>
      <c r="DK93">
        <f t="shared" si="125"/>
        <v>370</v>
      </c>
      <c r="DL93">
        <f t="shared" si="125"/>
        <v>415.4264705882353</v>
      </c>
      <c r="DM93">
        <f t="shared" si="125"/>
        <v>460.86842105263156</v>
      </c>
      <c r="DP93" t="s">
        <v>112</v>
      </c>
      <c r="DQ93">
        <f>DQ91/0.8</f>
        <v>99.499999999999986</v>
      </c>
      <c r="DR93">
        <f t="shared" ref="DR93:DZ93" si="126">DR91/0.8</f>
        <v>130</v>
      </c>
      <c r="DS93">
        <f t="shared" si="126"/>
        <v>190</v>
      </c>
      <c r="DT93">
        <f t="shared" si="126"/>
        <v>250</v>
      </c>
      <c r="DU93">
        <f t="shared" si="126"/>
        <v>310</v>
      </c>
      <c r="DV93">
        <f t="shared" si="126"/>
        <v>370</v>
      </c>
      <c r="DW93">
        <f t="shared" si="126"/>
        <v>430</v>
      </c>
      <c r="DX93">
        <f t="shared" si="126"/>
        <v>490</v>
      </c>
      <c r="DY93">
        <f t="shared" si="126"/>
        <v>550</v>
      </c>
      <c r="DZ93">
        <f t="shared" si="126"/>
        <v>610</v>
      </c>
      <c r="ED93" t="s">
        <v>112</v>
      </c>
      <c r="EE93">
        <f>EE91/0.8</f>
        <v>186.99999999999997</v>
      </c>
      <c r="EF93">
        <f t="shared" ref="EF93:EN93" si="127">EF91/0.8</f>
        <v>240</v>
      </c>
      <c r="EG93">
        <f t="shared" si="127"/>
        <v>350</v>
      </c>
      <c r="EH93">
        <f t="shared" si="127"/>
        <v>460</v>
      </c>
      <c r="EI93">
        <f t="shared" si="127"/>
        <v>570</v>
      </c>
      <c r="EJ93">
        <f t="shared" si="127"/>
        <v>680</v>
      </c>
      <c r="EK93">
        <f t="shared" si="127"/>
        <v>790</v>
      </c>
      <c r="EL93">
        <f t="shared" si="127"/>
        <v>900</v>
      </c>
      <c r="EM93">
        <f t="shared" si="127"/>
        <v>1010</v>
      </c>
      <c r="EN93">
        <f t="shared" si="127"/>
        <v>1120</v>
      </c>
      <c r="ER93" t="s">
        <v>112</v>
      </c>
      <c r="ES93">
        <f>ES91/0.8</f>
        <v>274.5</v>
      </c>
      <c r="ET93">
        <f t="shared" ref="ET93:FB93" si="128">ET91/0.8</f>
        <v>350</v>
      </c>
      <c r="EU93">
        <f t="shared" si="128"/>
        <v>510</v>
      </c>
      <c r="EV93">
        <f t="shared" si="128"/>
        <v>670</v>
      </c>
      <c r="EW93">
        <f t="shared" si="128"/>
        <v>830</v>
      </c>
      <c r="EX93">
        <f t="shared" si="128"/>
        <v>990</v>
      </c>
      <c r="EY93">
        <f t="shared" si="128"/>
        <v>1150</v>
      </c>
      <c r="EZ93">
        <f t="shared" si="128"/>
        <v>1310</v>
      </c>
      <c r="FA93">
        <f t="shared" si="128"/>
        <v>1470</v>
      </c>
      <c r="FB93">
        <f t="shared" si="128"/>
        <v>1630</v>
      </c>
      <c r="FF93" t="s">
        <v>112</v>
      </c>
      <c r="FG93">
        <f>FG91/0.8</f>
        <v>362</v>
      </c>
      <c r="FH93">
        <f t="shared" ref="FH93:FP93" si="129">FH91/0.8</f>
        <v>460</v>
      </c>
      <c r="FI93">
        <f t="shared" si="129"/>
        <v>670</v>
      </c>
      <c r="FJ93">
        <f t="shared" si="129"/>
        <v>880</v>
      </c>
      <c r="FK93">
        <f t="shared" si="129"/>
        <v>1090</v>
      </c>
      <c r="FL93">
        <f t="shared" si="129"/>
        <v>1300</v>
      </c>
      <c r="FM93">
        <f t="shared" si="129"/>
        <v>1510</v>
      </c>
      <c r="FN93">
        <f t="shared" si="129"/>
        <v>1720</v>
      </c>
      <c r="FO93">
        <f t="shared" si="129"/>
        <v>1930</v>
      </c>
      <c r="FP93">
        <f t="shared" si="129"/>
        <v>2140</v>
      </c>
      <c r="FT93" t="s">
        <v>112</v>
      </c>
      <c r="FU93">
        <f>FU91/0.8</f>
        <v>449.5</v>
      </c>
      <c r="FV93">
        <f t="shared" ref="FV93:GD93" si="130">FV91/0.8</f>
        <v>570</v>
      </c>
      <c r="FW93">
        <f t="shared" si="130"/>
        <v>830</v>
      </c>
      <c r="FX93">
        <f t="shared" si="130"/>
        <v>1090</v>
      </c>
      <c r="FY93">
        <f t="shared" si="130"/>
        <v>1350</v>
      </c>
      <c r="FZ93">
        <f t="shared" si="130"/>
        <v>1610</v>
      </c>
      <c r="GA93">
        <f t="shared" si="130"/>
        <v>1870</v>
      </c>
      <c r="GB93">
        <f t="shared" si="130"/>
        <v>2130</v>
      </c>
      <c r="GC93">
        <f t="shared" si="130"/>
        <v>2390</v>
      </c>
      <c r="GD93">
        <f t="shared" si="130"/>
        <v>2650</v>
      </c>
      <c r="GH93" t="s">
        <v>112</v>
      </c>
      <c r="GI93">
        <f>GI91/0.8</f>
        <v>537</v>
      </c>
      <c r="GJ93">
        <f t="shared" ref="GJ93:GR93" si="131">GJ91/0.8</f>
        <v>680</v>
      </c>
      <c r="GK93">
        <f t="shared" si="131"/>
        <v>990</v>
      </c>
      <c r="GL93">
        <f t="shared" si="131"/>
        <v>1300</v>
      </c>
      <c r="GM93">
        <f t="shared" si="131"/>
        <v>1610</v>
      </c>
      <c r="GN93">
        <f t="shared" si="131"/>
        <v>1920</v>
      </c>
      <c r="GO93">
        <f t="shared" si="131"/>
        <v>2230</v>
      </c>
      <c r="GP93">
        <f t="shared" si="131"/>
        <v>2540</v>
      </c>
      <c r="GQ93">
        <f t="shared" si="131"/>
        <v>2850</v>
      </c>
      <c r="GR93">
        <f t="shared" si="131"/>
        <v>3160</v>
      </c>
      <c r="GV93" t="s">
        <v>112</v>
      </c>
      <c r="GW93">
        <f>GW91/0.8</f>
        <v>712</v>
      </c>
      <c r="GX93">
        <f t="shared" ref="GX93:HF93" si="132">GX91/0.8</f>
        <v>900</v>
      </c>
      <c r="GY93">
        <f t="shared" si="132"/>
        <v>1310</v>
      </c>
      <c r="GZ93">
        <f t="shared" si="132"/>
        <v>1720</v>
      </c>
      <c r="HA93">
        <f t="shared" si="132"/>
        <v>2130</v>
      </c>
      <c r="HB93">
        <f t="shared" si="132"/>
        <v>2540</v>
      </c>
      <c r="HC93">
        <f t="shared" si="132"/>
        <v>2950</v>
      </c>
      <c r="HD93">
        <f t="shared" si="132"/>
        <v>3360</v>
      </c>
      <c r="HE93">
        <f t="shared" si="132"/>
        <v>3770</v>
      </c>
      <c r="HF93">
        <f t="shared" si="132"/>
        <v>4180</v>
      </c>
      <c r="HJ93" t="s">
        <v>112</v>
      </c>
      <c r="HK93">
        <f>HK91/0.8</f>
        <v>887</v>
      </c>
      <c r="HL93">
        <f t="shared" ref="HL93:HT93" si="133">HL91/0.8</f>
        <v>1120</v>
      </c>
      <c r="HM93">
        <f t="shared" si="133"/>
        <v>1630</v>
      </c>
      <c r="HN93">
        <f t="shared" si="133"/>
        <v>2140</v>
      </c>
      <c r="HO93">
        <f t="shared" si="133"/>
        <v>2650</v>
      </c>
      <c r="HP93">
        <f t="shared" si="133"/>
        <v>3160</v>
      </c>
      <c r="HQ93">
        <f t="shared" si="133"/>
        <v>3670</v>
      </c>
      <c r="HR93">
        <f t="shared" si="133"/>
        <v>4180</v>
      </c>
      <c r="HS93">
        <f t="shared" si="133"/>
        <v>4690</v>
      </c>
      <c r="HT93">
        <f t="shared" si="133"/>
        <v>5200</v>
      </c>
      <c r="HV93" s="18"/>
    </row>
    <row r="94" spans="7:230" x14ac:dyDescent="0.25">
      <c r="G94" t="s">
        <v>14</v>
      </c>
      <c r="H94">
        <f>Index!$C$69</f>
        <v>11.9580460758</v>
      </c>
      <c r="I94">
        <f>Index!$C$69</f>
        <v>11.9580460758</v>
      </c>
      <c r="J94">
        <f>Index!$C$69</f>
        <v>11.9580460758</v>
      </c>
      <c r="K94">
        <f>Index!$C$69</f>
        <v>11.9580460758</v>
      </c>
      <c r="L94">
        <f>Index!$C$69</f>
        <v>11.9580460758</v>
      </c>
      <c r="M94">
        <f>Index!$C$69</f>
        <v>11.9580460758</v>
      </c>
      <c r="N94">
        <f>Index!$C$69</f>
        <v>11.9580460758</v>
      </c>
      <c r="O94">
        <f>Index!$C$69</f>
        <v>11.9580460758</v>
      </c>
      <c r="P94">
        <f>Index!$C$69</f>
        <v>11.9580460758</v>
      </c>
      <c r="Q94">
        <f>Index!$C$69</f>
        <v>11.9580460758</v>
      </c>
      <c r="AJ94" s="10" t="s">
        <v>206</v>
      </c>
      <c r="AV94" s="10" t="s">
        <v>206</v>
      </c>
      <c r="BL94" s="10" t="s">
        <v>206</v>
      </c>
      <c r="CB94" s="10" t="s">
        <v>206</v>
      </c>
      <c r="CP94" s="10" t="s">
        <v>206</v>
      </c>
      <c r="DC94" s="10" t="s">
        <v>206</v>
      </c>
      <c r="DP94" s="10" t="s">
        <v>206</v>
      </c>
      <c r="ED94" s="10" t="s">
        <v>206</v>
      </c>
      <c r="ER94" s="10" t="s">
        <v>206</v>
      </c>
      <c r="FF94" s="10" t="s">
        <v>206</v>
      </c>
      <c r="FT94" s="10" t="s">
        <v>206</v>
      </c>
      <c r="GH94" s="10" t="s">
        <v>206</v>
      </c>
      <c r="GV94" s="10" t="s">
        <v>206</v>
      </c>
      <c r="HJ94" s="10" t="s">
        <v>206</v>
      </c>
      <c r="HV94" s="18"/>
    </row>
    <row r="95" spans="7:230" x14ac:dyDescent="0.25">
      <c r="G95" t="s">
        <v>111</v>
      </c>
      <c r="H95">
        <v>36.718627421191144</v>
      </c>
      <c r="I95">
        <v>36.718627421191144</v>
      </c>
      <c r="J95">
        <v>36.718627421191144</v>
      </c>
      <c r="K95">
        <v>36.718627421191144</v>
      </c>
      <c r="L95">
        <v>36.718627421191144</v>
      </c>
      <c r="M95">
        <v>36.718627421191144</v>
      </c>
      <c r="N95">
        <v>36.718627421191144</v>
      </c>
      <c r="O95">
        <v>36.718627421191144</v>
      </c>
      <c r="P95">
        <v>36.718627421191144</v>
      </c>
      <c r="Q95">
        <v>36.718627421191144</v>
      </c>
      <c r="AJ95" t="s">
        <v>110</v>
      </c>
      <c r="AK95">
        <f>163.5/50</f>
        <v>3.27</v>
      </c>
      <c r="AL95">
        <f t="shared" ref="AL95:AT95" si="134">163.5/50</f>
        <v>3.27</v>
      </c>
      <c r="AM95">
        <f t="shared" si="134"/>
        <v>3.27</v>
      </c>
      <c r="AN95">
        <f t="shared" si="134"/>
        <v>3.27</v>
      </c>
      <c r="AO95">
        <f t="shared" si="134"/>
        <v>3.27</v>
      </c>
      <c r="AP95">
        <f t="shared" si="134"/>
        <v>3.27</v>
      </c>
      <c r="AQ95">
        <f t="shared" si="134"/>
        <v>3.27</v>
      </c>
      <c r="AR95">
        <f t="shared" si="134"/>
        <v>3.27</v>
      </c>
      <c r="AS95">
        <f t="shared" si="134"/>
        <v>3.27</v>
      </c>
      <c r="AT95">
        <f t="shared" si="134"/>
        <v>3.27</v>
      </c>
      <c r="AV95" t="s">
        <v>110</v>
      </c>
      <c r="AW95">
        <f>163.5/50</f>
        <v>3.27</v>
      </c>
      <c r="AX95">
        <f t="shared" ref="AX95:BF95" si="135">163.5/50</f>
        <v>3.27</v>
      </c>
      <c r="AY95">
        <f t="shared" si="135"/>
        <v>3.27</v>
      </c>
      <c r="AZ95">
        <f t="shared" si="135"/>
        <v>3.27</v>
      </c>
      <c r="BA95">
        <f t="shared" si="135"/>
        <v>3.27</v>
      </c>
      <c r="BB95">
        <f t="shared" si="135"/>
        <v>3.27</v>
      </c>
      <c r="BC95">
        <f t="shared" si="135"/>
        <v>3.27</v>
      </c>
      <c r="BD95">
        <f t="shared" si="135"/>
        <v>3.27</v>
      </c>
      <c r="BE95">
        <f t="shared" si="135"/>
        <v>3.27</v>
      </c>
      <c r="BF95">
        <f t="shared" si="135"/>
        <v>3.27</v>
      </c>
      <c r="BL95" t="s">
        <v>110</v>
      </c>
      <c r="BM95">
        <f>163.5/50</f>
        <v>3.27</v>
      </c>
      <c r="BN95">
        <f t="shared" ref="BN95:BV95" si="136">163.5/50</f>
        <v>3.27</v>
      </c>
      <c r="BO95">
        <f t="shared" si="136"/>
        <v>3.27</v>
      </c>
      <c r="BP95">
        <f t="shared" si="136"/>
        <v>3.27</v>
      </c>
      <c r="BQ95">
        <f t="shared" si="136"/>
        <v>3.27</v>
      </c>
      <c r="BR95">
        <f t="shared" si="136"/>
        <v>3.27</v>
      </c>
      <c r="BS95">
        <f t="shared" si="136"/>
        <v>3.27</v>
      </c>
      <c r="BT95">
        <f t="shared" si="136"/>
        <v>3.27</v>
      </c>
      <c r="BU95">
        <f t="shared" si="136"/>
        <v>3.27</v>
      </c>
      <c r="BV95">
        <f t="shared" si="136"/>
        <v>3.27</v>
      </c>
      <c r="CB95" t="s">
        <v>110</v>
      </c>
      <c r="CC95">
        <f>163.5/50</f>
        <v>3.27</v>
      </c>
      <c r="CD95">
        <f t="shared" ref="CD95:CL95" si="137">163.5/50</f>
        <v>3.27</v>
      </c>
      <c r="CE95">
        <f t="shared" si="137"/>
        <v>3.27</v>
      </c>
      <c r="CF95">
        <f t="shared" si="137"/>
        <v>3.27</v>
      </c>
      <c r="CG95">
        <f t="shared" si="137"/>
        <v>3.27</v>
      </c>
      <c r="CH95">
        <f t="shared" si="137"/>
        <v>3.27</v>
      </c>
      <c r="CI95">
        <f t="shared" si="137"/>
        <v>3.27</v>
      </c>
      <c r="CJ95">
        <f t="shared" si="137"/>
        <v>3.27</v>
      </c>
      <c r="CK95">
        <f t="shared" si="137"/>
        <v>3.27</v>
      </c>
      <c r="CL95">
        <f t="shared" si="137"/>
        <v>3.27</v>
      </c>
      <c r="CP95" t="s">
        <v>110</v>
      </c>
      <c r="CQ95">
        <f>163.5/50</f>
        <v>3.27</v>
      </c>
      <c r="CR95">
        <f t="shared" ref="CR95:CZ95" si="138">163.5/50</f>
        <v>3.27</v>
      </c>
      <c r="CS95">
        <f t="shared" si="138"/>
        <v>3.27</v>
      </c>
      <c r="CT95">
        <f t="shared" si="138"/>
        <v>3.27</v>
      </c>
      <c r="CU95">
        <f t="shared" si="138"/>
        <v>3.27</v>
      </c>
      <c r="CV95">
        <f t="shared" si="138"/>
        <v>3.27</v>
      </c>
      <c r="CW95">
        <f t="shared" si="138"/>
        <v>3.27</v>
      </c>
      <c r="CX95">
        <f t="shared" si="138"/>
        <v>3.27</v>
      </c>
      <c r="CY95">
        <f t="shared" si="138"/>
        <v>3.27</v>
      </c>
      <c r="CZ95">
        <f t="shared" si="138"/>
        <v>3.27</v>
      </c>
      <c r="DC95" t="s">
        <v>110</v>
      </c>
      <c r="DD95">
        <f>163.5/50</f>
        <v>3.27</v>
      </c>
      <c r="DE95">
        <f t="shared" ref="DE95:DM95" si="139">163.5/50</f>
        <v>3.27</v>
      </c>
      <c r="DF95">
        <f t="shared" si="139"/>
        <v>3.27</v>
      </c>
      <c r="DG95">
        <f t="shared" si="139"/>
        <v>3.27</v>
      </c>
      <c r="DH95">
        <f t="shared" si="139"/>
        <v>3.27</v>
      </c>
      <c r="DI95">
        <f t="shared" si="139"/>
        <v>3.27</v>
      </c>
      <c r="DJ95">
        <f t="shared" si="139"/>
        <v>3.27</v>
      </c>
      <c r="DK95">
        <f t="shared" si="139"/>
        <v>3.27</v>
      </c>
      <c r="DL95">
        <f t="shared" si="139"/>
        <v>3.27</v>
      </c>
      <c r="DM95">
        <f t="shared" si="139"/>
        <v>3.27</v>
      </c>
      <c r="DP95" t="s">
        <v>110</v>
      </c>
      <c r="DQ95">
        <f>163.5/50</f>
        <v>3.27</v>
      </c>
      <c r="DR95">
        <f t="shared" ref="DR95:DZ95" si="140">163.5/50</f>
        <v>3.27</v>
      </c>
      <c r="DS95">
        <f t="shared" si="140"/>
        <v>3.27</v>
      </c>
      <c r="DT95">
        <f t="shared" si="140"/>
        <v>3.27</v>
      </c>
      <c r="DU95">
        <f t="shared" si="140"/>
        <v>3.27</v>
      </c>
      <c r="DV95">
        <f t="shared" si="140"/>
        <v>3.27</v>
      </c>
      <c r="DW95">
        <f t="shared" si="140"/>
        <v>3.27</v>
      </c>
      <c r="DX95">
        <f t="shared" si="140"/>
        <v>3.27</v>
      </c>
      <c r="DY95">
        <f t="shared" si="140"/>
        <v>3.27</v>
      </c>
      <c r="DZ95">
        <f t="shared" si="140"/>
        <v>3.27</v>
      </c>
      <c r="ED95" t="s">
        <v>110</v>
      </c>
      <c r="EE95">
        <f>163.5/50</f>
        <v>3.27</v>
      </c>
      <c r="EF95">
        <f t="shared" ref="EF95:EN95" si="141">163.5/50</f>
        <v>3.27</v>
      </c>
      <c r="EG95">
        <f t="shared" si="141"/>
        <v>3.27</v>
      </c>
      <c r="EH95">
        <f t="shared" si="141"/>
        <v>3.27</v>
      </c>
      <c r="EI95">
        <f t="shared" si="141"/>
        <v>3.27</v>
      </c>
      <c r="EJ95">
        <f t="shared" si="141"/>
        <v>3.27</v>
      </c>
      <c r="EK95">
        <f t="shared" si="141"/>
        <v>3.27</v>
      </c>
      <c r="EL95">
        <f t="shared" si="141"/>
        <v>3.27</v>
      </c>
      <c r="EM95">
        <f t="shared" si="141"/>
        <v>3.27</v>
      </c>
      <c r="EN95">
        <f t="shared" si="141"/>
        <v>3.27</v>
      </c>
      <c r="ER95" t="s">
        <v>110</v>
      </c>
      <c r="ES95">
        <f>163.5/50</f>
        <v>3.27</v>
      </c>
      <c r="ET95">
        <f t="shared" ref="ET95:FB95" si="142">163.5/50</f>
        <v>3.27</v>
      </c>
      <c r="EU95">
        <f t="shared" si="142"/>
        <v>3.27</v>
      </c>
      <c r="EV95">
        <f t="shared" si="142"/>
        <v>3.27</v>
      </c>
      <c r="EW95">
        <f t="shared" si="142"/>
        <v>3.27</v>
      </c>
      <c r="EX95">
        <f t="shared" si="142"/>
        <v>3.27</v>
      </c>
      <c r="EY95">
        <f t="shared" si="142"/>
        <v>3.27</v>
      </c>
      <c r="EZ95">
        <f t="shared" si="142"/>
        <v>3.27</v>
      </c>
      <c r="FA95">
        <f t="shared" si="142"/>
        <v>3.27</v>
      </c>
      <c r="FB95">
        <f t="shared" si="142"/>
        <v>3.27</v>
      </c>
      <c r="FF95" t="s">
        <v>110</v>
      </c>
      <c r="FG95">
        <f>163.5/50</f>
        <v>3.27</v>
      </c>
      <c r="FH95">
        <f t="shared" ref="FH95:FP95" si="143">163.5/50</f>
        <v>3.27</v>
      </c>
      <c r="FI95">
        <f t="shared" si="143"/>
        <v>3.27</v>
      </c>
      <c r="FJ95">
        <f t="shared" si="143"/>
        <v>3.27</v>
      </c>
      <c r="FK95">
        <f t="shared" si="143"/>
        <v>3.27</v>
      </c>
      <c r="FL95">
        <f t="shared" si="143"/>
        <v>3.27</v>
      </c>
      <c r="FM95">
        <f t="shared" si="143"/>
        <v>3.27</v>
      </c>
      <c r="FN95">
        <f t="shared" si="143"/>
        <v>3.27</v>
      </c>
      <c r="FO95">
        <f t="shared" si="143"/>
        <v>3.27</v>
      </c>
      <c r="FP95">
        <f t="shared" si="143"/>
        <v>3.27</v>
      </c>
      <c r="FT95" t="s">
        <v>110</v>
      </c>
      <c r="FU95">
        <f>163.5/50</f>
        <v>3.27</v>
      </c>
      <c r="FV95">
        <f t="shared" ref="FV95:GD95" si="144">163.5/50</f>
        <v>3.27</v>
      </c>
      <c r="FW95">
        <f t="shared" si="144"/>
        <v>3.27</v>
      </c>
      <c r="FX95">
        <f t="shared" si="144"/>
        <v>3.27</v>
      </c>
      <c r="FY95">
        <f t="shared" si="144"/>
        <v>3.27</v>
      </c>
      <c r="FZ95">
        <f t="shared" si="144"/>
        <v>3.27</v>
      </c>
      <c r="GA95">
        <f t="shared" si="144"/>
        <v>3.27</v>
      </c>
      <c r="GB95">
        <f t="shared" si="144"/>
        <v>3.27</v>
      </c>
      <c r="GC95">
        <f t="shared" si="144"/>
        <v>3.27</v>
      </c>
      <c r="GD95">
        <f t="shared" si="144"/>
        <v>3.27</v>
      </c>
      <c r="GH95" t="s">
        <v>110</v>
      </c>
      <c r="GI95">
        <f>163.5/50</f>
        <v>3.27</v>
      </c>
      <c r="GJ95">
        <f t="shared" ref="GJ95:GR95" si="145">163.5/50</f>
        <v>3.27</v>
      </c>
      <c r="GK95">
        <f t="shared" si="145"/>
        <v>3.27</v>
      </c>
      <c r="GL95">
        <f t="shared" si="145"/>
        <v>3.27</v>
      </c>
      <c r="GM95">
        <f t="shared" si="145"/>
        <v>3.27</v>
      </c>
      <c r="GN95">
        <f t="shared" si="145"/>
        <v>3.27</v>
      </c>
      <c r="GO95">
        <f t="shared" si="145"/>
        <v>3.27</v>
      </c>
      <c r="GP95">
        <f t="shared" si="145"/>
        <v>3.27</v>
      </c>
      <c r="GQ95">
        <f t="shared" si="145"/>
        <v>3.27</v>
      </c>
      <c r="GR95">
        <f t="shared" si="145"/>
        <v>3.27</v>
      </c>
      <c r="GV95" t="s">
        <v>110</v>
      </c>
      <c r="GW95">
        <f>163.5/50</f>
        <v>3.27</v>
      </c>
      <c r="GX95">
        <f t="shared" ref="GX95:HF95" si="146">163.5/50</f>
        <v>3.27</v>
      </c>
      <c r="GY95">
        <f t="shared" si="146"/>
        <v>3.27</v>
      </c>
      <c r="GZ95">
        <f t="shared" si="146"/>
        <v>3.27</v>
      </c>
      <c r="HA95">
        <f t="shared" si="146"/>
        <v>3.27</v>
      </c>
      <c r="HB95">
        <f t="shared" si="146"/>
        <v>3.27</v>
      </c>
      <c r="HC95">
        <f t="shared" si="146"/>
        <v>3.27</v>
      </c>
      <c r="HD95">
        <f t="shared" si="146"/>
        <v>3.27</v>
      </c>
      <c r="HE95">
        <f t="shared" si="146"/>
        <v>3.27</v>
      </c>
      <c r="HF95">
        <f t="shared" si="146"/>
        <v>3.27</v>
      </c>
      <c r="HJ95" t="s">
        <v>110</v>
      </c>
      <c r="HK95">
        <f>163.5/50</f>
        <v>3.27</v>
      </c>
      <c r="HL95">
        <f t="shared" ref="HL95:HT95" si="147">163.5/50</f>
        <v>3.27</v>
      </c>
      <c r="HM95">
        <f t="shared" si="147"/>
        <v>3.27</v>
      </c>
      <c r="HN95">
        <f t="shared" si="147"/>
        <v>3.27</v>
      </c>
      <c r="HO95">
        <f t="shared" si="147"/>
        <v>3.27</v>
      </c>
      <c r="HP95">
        <f t="shared" si="147"/>
        <v>3.27</v>
      </c>
      <c r="HQ95">
        <f t="shared" si="147"/>
        <v>3.27</v>
      </c>
      <c r="HR95">
        <f t="shared" si="147"/>
        <v>3.27</v>
      </c>
      <c r="HS95">
        <f t="shared" si="147"/>
        <v>3.27</v>
      </c>
      <c r="HT95">
        <f t="shared" si="147"/>
        <v>3.27</v>
      </c>
      <c r="HV95" s="18"/>
    </row>
    <row r="96" spans="7:230" x14ac:dyDescent="0.25">
      <c r="G96" t="s">
        <v>112</v>
      </c>
      <c r="H96">
        <v>1.95</v>
      </c>
      <c r="I96">
        <v>1.95</v>
      </c>
      <c r="J96">
        <v>1.95</v>
      </c>
      <c r="K96">
        <v>1.95</v>
      </c>
      <c r="L96">
        <v>1.95</v>
      </c>
      <c r="M96">
        <v>1.95</v>
      </c>
      <c r="N96">
        <v>1.95</v>
      </c>
      <c r="O96">
        <v>1.95</v>
      </c>
      <c r="P96">
        <v>1.95</v>
      </c>
      <c r="Q96">
        <v>1.95</v>
      </c>
      <c r="AJ96" t="s">
        <v>14</v>
      </c>
      <c r="AK96">
        <v>11.38</v>
      </c>
      <c r="AL96">
        <v>11.38</v>
      </c>
      <c r="AM96">
        <v>11.38</v>
      </c>
      <c r="AN96">
        <v>11.38</v>
      </c>
      <c r="AO96">
        <v>11.38</v>
      </c>
      <c r="AP96">
        <v>11.38</v>
      </c>
      <c r="AQ96">
        <v>11.38</v>
      </c>
      <c r="AR96">
        <v>11.38</v>
      </c>
      <c r="AS96">
        <v>11.38</v>
      </c>
      <c r="AT96">
        <v>11.38</v>
      </c>
      <c r="AV96" t="s">
        <v>14</v>
      </c>
      <c r="AW96">
        <v>11.38</v>
      </c>
      <c r="AX96">
        <v>11.38</v>
      </c>
      <c r="AY96">
        <v>11.38</v>
      </c>
      <c r="AZ96">
        <v>11.38</v>
      </c>
      <c r="BA96">
        <v>11.38</v>
      </c>
      <c r="BB96">
        <v>11.38</v>
      </c>
      <c r="BC96">
        <v>11.38</v>
      </c>
      <c r="BD96">
        <v>11.38</v>
      </c>
      <c r="BE96">
        <v>11.38</v>
      </c>
      <c r="BF96">
        <v>11.38</v>
      </c>
      <c r="BL96" t="s">
        <v>14</v>
      </c>
      <c r="BM96">
        <v>11.38</v>
      </c>
      <c r="BN96">
        <v>11.38</v>
      </c>
      <c r="BO96">
        <v>11.38</v>
      </c>
      <c r="BP96">
        <v>11.38</v>
      </c>
      <c r="BQ96">
        <v>11.38</v>
      </c>
      <c r="BR96">
        <v>11.38</v>
      </c>
      <c r="BS96">
        <v>11.38</v>
      </c>
      <c r="BT96">
        <v>11.38</v>
      </c>
      <c r="BU96">
        <v>11.38</v>
      </c>
      <c r="BV96">
        <v>11.38</v>
      </c>
      <c r="CB96" t="s">
        <v>14</v>
      </c>
      <c r="CC96">
        <v>11.38</v>
      </c>
      <c r="CD96">
        <v>11.38</v>
      </c>
      <c r="CE96">
        <v>11.38</v>
      </c>
      <c r="CF96">
        <v>11.38</v>
      </c>
      <c r="CG96">
        <v>11.38</v>
      </c>
      <c r="CH96">
        <v>11.38</v>
      </c>
      <c r="CI96">
        <v>11.38</v>
      </c>
      <c r="CJ96">
        <v>11.38</v>
      </c>
      <c r="CK96">
        <v>11.38</v>
      </c>
      <c r="CL96">
        <v>11.38</v>
      </c>
      <c r="CP96" t="s">
        <v>14</v>
      </c>
      <c r="CQ96">
        <v>11.38</v>
      </c>
      <c r="CR96">
        <v>11.38</v>
      </c>
      <c r="CS96">
        <v>11.38</v>
      </c>
      <c r="CT96">
        <v>11.38</v>
      </c>
      <c r="CU96">
        <v>11.38</v>
      </c>
      <c r="CV96">
        <v>11.38</v>
      </c>
      <c r="CW96">
        <v>11.38</v>
      </c>
      <c r="CX96">
        <v>11.38</v>
      </c>
      <c r="CY96">
        <v>11.38</v>
      </c>
      <c r="CZ96">
        <v>11.38</v>
      </c>
      <c r="DC96" t="s">
        <v>14</v>
      </c>
      <c r="DD96">
        <v>11.38</v>
      </c>
      <c r="DE96">
        <v>11.38</v>
      </c>
      <c r="DF96">
        <v>11.38</v>
      </c>
      <c r="DG96">
        <v>11.38</v>
      </c>
      <c r="DH96">
        <v>11.38</v>
      </c>
      <c r="DI96">
        <v>11.38</v>
      </c>
      <c r="DJ96">
        <v>11.38</v>
      </c>
      <c r="DK96">
        <v>11.38</v>
      </c>
      <c r="DL96">
        <v>11.38</v>
      </c>
      <c r="DM96">
        <v>11.38</v>
      </c>
      <c r="DP96" t="s">
        <v>14</v>
      </c>
      <c r="DQ96">
        <v>11.38</v>
      </c>
      <c r="DR96">
        <v>11.38</v>
      </c>
      <c r="DS96">
        <v>11.38</v>
      </c>
      <c r="DT96">
        <v>11.38</v>
      </c>
      <c r="DU96">
        <v>11.38</v>
      </c>
      <c r="DV96">
        <v>11.38</v>
      </c>
      <c r="DW96">
        <v>11.38</v>
      </c>
      <c r="DX96">
        <v>11.38</v>
      </c>
      <c r="DY96">
        <v>11.38</v>
      </c>
      <c r="DZ96">
        <v>11.38</v>
      </c>
      <c r="ED96" t="s">
        <v>14</v>
      </c>
      <c r="EE96">
        <v>11.38</v>
      </c>
      <c r="EF96">
        <v>11.38</v>
      </c>
      <c r="EG96">
        <v>11.38</v>
      </c>
      <c r="EH96">
        <v>11.38</v>
      </c>
      <c r="EI96">
        <v>11.38</v>
      </c>
      <c r="EJ96">
        <v>11.38</v>
      </c>
      <c r="EK96">
        <v>11.38</v>
      </c>
      <c r="EL96">
        <v>11.38</v>
      </c>
      <c r="EM96">
        <v>11.38</v>
      </c>
      <c r="EN96">
        <v>11.38</v>
      </c>
      <c r="ER96" t="s">
        <v>14</v>
      </c>
      <c r="ES96">
        <v>11.38</v>
      </c>
      <c r="ET96">
        <v>11.38</v>
      </c>
      <c r="EU96">
        <v>11.38</v>
      </c>
      <c r="EV96">
        <v>11.38</v>
      </c>
      <c r="EW96">
        <v>11.38</v>
      </c>
      <c r="EX96">
        <v>11.38</v>
      </c>
      <c r="EY96">
        <v>11.38</v>
      </c>
      <c r="EZ96">
        <v>11.38</v>
      </c>
      <c r="FA96">
        <v>11.38</v>
      </c>
      <c r="FB96">
        <v>11.38</v>
      </c>
      <c r="FF96" t="s">
        <v>14</v>
      </c>
      <c r="FG96">
        <v>11.38</v>
      </c>
      <c r="FH96">
        <v>11.38</v>
      </c>
      <c r="FI96">
        <v>11.38</v>
      </c>
      <c r="FJ96">
        <v>11.38</v>
      </c>
      <c r="FK96">
        <v>11.38</v>
      </c>
      <c r="FL96">
        <v>11.38</v>
      </c>
      <c r="FM96">
        <v>11.38</v>
      </c>
      <c r="FN96">
        <v>11.38</v>
      </c>
      <c r="FO96">
        <v>11.38</v>
      </c>
      <c r="FP96">
        <v>11.38</v>
      </c>
      <c r="FT96" t="s">
        <v>14</v>
      </c>
      <c r="FU96">
        <v>11.38</v>
      </c>
      <c r="FV96">
        <v>11.38</v>
      </c>
      <c r="FW96">
        <v>11.38</v>
      </c>
      <c r="FX96">
        <v>11.38</v>
      </c>
      <c r="FY96">
        <v>11.38</v>
      </c>
      <c r="FZ96">
        <v>11.38</v>
      </c>
      <c r="GA96">
        <v>11.38</v>
      </c>
      <c r="GB96">
        <v>11.38</v>
      </c>
      <c r="GC96">
        <v>11.38</v>
      </c>
      <c r="GD96">
        <v>11.38</v>
      </c>
      <c r="GH96" t="s">
        <v>14</v>
      </c>
      <c r="GI96">
        <v>11.38</v>
      </c>
      <c r="GJ96">
        <v>11.38</v>
      </c>
      <c r="GK96">
        <v>11.38</v>
      </c>
      <c r="GL96">
        <v>11.38</v>
      </c>
      <c r="GM96">
        <v>11.38</v>
      </c>
      <c r="GN96">
        <v>11.38</v>
      </c>
      <c r="GO96">
        <v>11.38</v>
      </c>
      <c r="GP96">
        <v>11.38</v>
      </c>
      <c r="GQ96">
        <v>11.38</v>
      </c>
      <c r="GR96">
        <v>11.38</v>
      </c>
      <c r="GV96" t="s">
        <v>14</v>
      </c>
      <c r="GW96">
        <v>11.38</v>
      </c>
      <c r="GX96">
        <v>11.38</v>
      </c>
      <c r="GY96">
        <v>11.38</v>
      </c>
      <c r="GZ96">
        <v>11.38</v>
      </c>
      <c r="HA96">
        <v>11.38</v>
      </c>
      <c r="HB96">
        <v>11.38</v>
      </c>
      <c r="HC96">
        <v>11.38</v>
      </c>
      <c r="HD96">
        <v>11.38</v>
      </c>
      <c r="HE96">
        <v>11.38</v>
      </c>
      <c r="HF96">
        <v>11.38</v>
      </c>
      <c r="HJ96" t="s">
        <v>14</v>
      </c>
      <c r="HK96">
        <v>11.38</v>
      </c>
      <c r="HL96">
        <v>11.38</v>
      </c>
      <c r="HM96">
        <v>11.38</v>
      </c>
      <c r="HN96">
        <v>11.38</v>
      </c>
      <c r="HO96">
        <v>11.38</v>
      </c>
      <c r="HP96">
        <v>11.38</v>
      </c>
      <c r="HQ96">
        <v>11.38</v>
      </c>
      <c r="HR96">
        <v>11.38</v>
      </c>
      <c r="HS96">
        <v>11.38</v>
      </c>
      <c r="HT96">
        <v>11.38</v>
      </c>
      <c r="HV96" s="18"/>
    </row>
    <row r="97" spans="7:230" x14ac:dyDescent="0.25">
      <c r="AJ97" t="s">
        <v>111</v>
      </c>
      <c r="AK97">
        <v>36.718627421191144</v>
      </c>
      <c r="AL97">
        <v>36.718627421191144</v>
      </c>
      <c r="AM97">
        <v>36.718627421191144</v>
      </c>
      <c r="AN97">
        <v>36.718627421191144</v>
      </c>
      <c r="AO97">
        <v>36.718627421191144</v>
      </c>
      <c r="AP97">
        <v>36.718627421191144</v>
      </c>
      <c r="AQ97">
        <v>36.718627421191144</v>
      </c>
      <c r="AR97">
        <v>36.718627421191144</v>
      </c>
      <c r="AS97">
        <v>36.718627421191144</v>
      </c>
      <c r="AT97">
        <v>36.718627421191144</v>
      </c>
      <c r="AV97" t="s">
        <v>111</v>
      </c>
      <c r="AW97">
        <v>36.718627421191144</v>
      </c>
      <c r="AX97">
        <v>36.718627421191144</v>
      </c>
      <c r="AY97">
        <v>36.718627421191144</v>
      </c>
      <c r="AZ97">
        <v>36.718627421191144</v>
      </c>
      <c r="BA97">
        <v>36.718627421191144</v>
      </c>
      <c r="BB97">
        <v>36.718627421191144</v>
      </c>
      <c r="BC97">
        <v>36.718627421191144</v>
      </c>
      <c r="BD97">
        <v>36.718627421191144</v>
      </c>
      <c r="BE97">
        <v>36.718627421191144</v>
      </c>
      <c r="BF97">
        <v>36.718627421191144</v>
      </c>
      <c r="BL97" t="s">
        <v>111</v>
      </c>
      <c r="BM97">
        <v>36.718627421191144</v>
      </c>
      <c r="BN97">
        <v>36.718627421191144</v>
      </c>
      <c r="BO97">
        <v>36.718627421191144</v>
      </c>
      <c r="BP97">
        <v>36.718627421191144</v>
      </c>
      <c r="BQ97">
        <v>36.718627421191144</v>
      </c>
      <c r="BR97">
        <v>36.718627421191144</v>
      </c>
      <c r="BS97">
        <v>36.718627421191144</v>
      </c>
      <c r="BT97">
        <v>36.718627421191144</v>
      </c>
      <c r="BU97">
        <v>36.718627421191144</v>
      </c>
      <c r="BV97">
        <v>36.718627421191144</v>
      </c>
      <c r="CB97" t="s">
        <v>111</v>
      </c>
      <c r="CC97">
        <v>36.718627421191144</v>
      </c>
      <c r="CD97">
        <v>36.718627421191144</v>
      </c>
      <c r="CE97">
        <v>36.718627421191144</v>
      </c>
      <c r="CF97">
        <v>36.718627421191144</v>
      </c>
      <c r="CG97">
        <v>36.718627421191144</v>
      </c>
      <c r="CH97">
        <v>36.718627421191144</v>
      </c>
      <c r="CI97">
        <v>36.718627421191144</v>
      </c>
      <c r="CJ97">
        <v>36.718627421191144</v>
      </c>
      <c r="CK97">
        <v>36.718627421191144</v>
      </c>
      <c r="CL97">
        <v>36.718627421191144</v>
      </c>
      <c r="CP97" t="s">
        <v>111</v>
      </c>
      <c r="CQ97">
        <v>36.718627421191144</v>
      </c>
      <c r="CR97">
        <v>36.718627421191144</v>
      </c>
      <c r="CS97">
        <v>36.718627421191144</v>
      </c>
      <c r="CT97">
        <v>36.718627421191144</v>
      </c>
      <c r="CU97">
        <v>36.718627421191144</v>
      </c>
      <c r="CV97">
        <v>36.718627421191144</v>
      </c>
      <c r="CW97">
        <v>36.718627421191144</v>
      </c>
      <c r="CX97">
        <v>36.718627421191144</v>
      </c>
      <c r="CY97">
        <v>36.718627421191144</v>
      </c>
      <c r="CZ97">
        <v>36.718627421191144</v>
      </c>
      <c r="DC97" t="s">
        <v>111</v>
      </c>
      <c r="DD97">
        <v>36.718627421191144</v>
      </c>
      <c r="DE97">
        <v>36.718627421191144</v>
      </c>
      <c r="DF97">
        <v>36.718627421191144</v>
      </c>
      <c r="DG97">
        <v>36.718627421191144</v>
      </c>
      <c r="DH97">
        <v>36.718627421191144</v>
      </c>
      <c r="DI97">
        <v>36.718627421191144</v>
      </c>
      <c r="DJ97">
        <v>36.718627421191144</v>
      </c>
      <c r="DK97">
        <v>36.718627421191144</v>
      </c>
      <c r="DL97">
        <v>36.718627421191144</v>
      </c>
      <c r="DM97">
        <v>36.718627421191144</v>
      </c>
      <c r="DP97" t="s">
        <v>111</v>
      </c>
      <c r="DQ97">
        <v>36.718627421191144</v>
      </c>
      <c r="DR97">
        <v>36.718627421191144</v>
      </c>
      <c r="DS97">
        <v>36.718627421191144</v>
      </c>
      <c r="DT97">
        <v>36.718627421191144</v>
      </c>
      <c r="DU97">
        <v>36.718627421191144</v>
      </c>
      <c r="DV97">
        <v>36.718627421191144</v>
      </c>
      <c r="DW97">
        <v>36.718627421191144</v>
      </c>
      <c r="DX97">
        <v>36.718627421191144</v>
      </c>
      <c r="DY97">
        <v>36.718627421191144</v>
      </c>
      <c r="DZ97">
        <v>36.718627421191144</v>
      </c>
      <c r="ED97" t="s">
        <v>111</v>
      </c>
      <c r="EE97">
        <v>36.718627421191144</v>
      </c>
      <c r="EF97">
        <v>36.718627421191144</v>
      </c>
      <c r="EG97">
        <v>36.718627421191144</v>
      </c>
      <c r="EH97">
        <v>36.718627421191144</v>
      </c>
      <c r="EI97">
        <v>36.718627421191144</v>
      </c>
      <c r="EJ97">
        <v>36.718627421191144</v>
      </c>
      <c r="EK97">
        <v>36.718627421191144</v>
      </c>
      <c r="EL97">
        <v>36.718627421191144</v>
      </c>
      <c r="EM97">
        <v>36.718627421191144</v>
      </c>
      <c r="EN97">
        <v>36.718627421191144</v>
      </c>
      <c r="ER97" t="s">
        <v>111</v>
      </c>
      <c r="ES97">
        <v>36.718627421191144</v>
      </c>
      <c r="ET97">
        <v>36.718627421191144</v>
      </c>
      <c r="EU97">
        <v>36.718627421191144</v>
      </c>
      <c r="EV97">
        <v>36.718627421191144</v>
      </c>
      <c r="EW97">
        <v>36.718627421191144</v>
      </c>
      <c r="EX97">
        <v>36.718627421191144</v>
      </c>
      <c r="EY97">
        <v>36.718627421191144</v>
      </c>
      <c r="EZ97">
        <v>36.718627421191144</v>
      </c>
      <c r="FA97">
        <v>36.718627421191144</v>
      </c>
      <c r="FB97">
        <v>36.718627421191144</v>
      </c>
      <c r="FF97" t="s">
        <v>111</v>
      </c>
      <c r="FG97">
        <v>36.718627421191144</v>
      </c>
      <c r="FH97">
        <v>36.718627421191144</v>
      </c>
      <c r="FI97">
        <v>36.718627421191144</v>
      </c>
      <c r="FJ97">
        <v>36.718627421191144</v>
      </c>
      <c r="FK97">
        <v>36.718627421191144</v>
      </c>
      <c r="FL97">
        <v>36.718627421191144</v>
      </c>
      <c r="FM97">
        <v>36.718627421191144</v>
      </c>
      <c r="FN97">
        <v>36.718627421191144</v>
      </c>
      <c r="FO97">
        <v>36.718627421191144</v>
      </c>
      <c r="FP97">
        <v>36.718627421191144</v>
      </c>
      <c r="FT97" t="s">
        <v>111</v>
      </c>
      <c r="FU97">
        <v>36.718627421191144</v>
      </c>
      <c r="FV97">
        <v>36.718627421191144</v>
      </c>
      <c r="FW97">
        <v>36.718627421191144</v>
      </c>
      <c r="FX97">
        <v>36.718627421191144</v>
      </c>
      <c r="FY97">
        <v>36.718627421191144</v>
      </c>
      <c r="FZ97">
        <v>36.718627421191144</v>
      </c>
      <c r="GA97">
        <v>36.718627421191144</v>
      </c>
      <c r="GB97">
        <v>36.718627421191144</v>
      </c>
      <c r="GC97">
        <v>36.718627421191144</v>
      </c>
      <c r="GD97">
        <v>36.718627421191144</v>
      </c>
      <c r="GH97" t="s">
        <v>111</v>
      </c>
      <c r="GI97">
        <v>36.718627421191144</v>
      </c>
      <c r="GJ97">
        <v>36.718627421191144</v>
      </c>
      <c r="GK97">
        <v>36.718627421191144</v>
      </c>
      <c r="GL97">
        <v>36.718627421191144</v>
      </c>
      <c r="GM97">
        <v>36.718627421191144</v>
      </c>
      <c r="GN97">
        <v>36.718627421191144</v>
      </c>
      <c r="GO97">
        <v>36.718627421191144</v>
      </c>
      <c r="GP97">
        <v>36.718627421191144</v>
      </c>
      <c r="GQ97">
        <v>36.718627421191144</v>
      </c>
      <c r="GR97">
        <v>36.718627421191144</v>
      </c>
      <c r="GV97" t="s">
        <v>111</v>
      </c>
      <c r="GW97">
        <v>36.718627421191144</v>
      </c>
      <c r="GX97">
        <v>36.718627421191144</v>
      </c>
      <c r="GY97">
        <v>36.718627421191144</v>
      </c>
      <c r="GZ97">
        <v>36.718627421191144</v>
      </c>
      <c r="HA97">
        <v>36.718627421191144</v>
      </c>
      <c r="HB97">
        <v>36.718627421191144</v>
      </c>
      <c r="HC97">
        <v>36.718627421191144</v>
      </c>
      <c r="HD97">
        <v>36.718627421191144</v>
      </c>
      <c r="HE97">
        <v>36.718627421191144</v>
      </c>
      <c r="HF97">
        <v>36.718627421191144</v>
      </c>
      <c r="HJ97" t="s">
        <v>111</v>
      </c>
      <c r="HK97">
        <v>36.718627421191144</v>
      </c>
      <c r="HL97">
        <v>36.718627421191144</v>
      </c>
      <c r="HM97">
        <v>36.718627421191144</v>
      </c>
      <c r="HN97">
        <v>36.718627421191144</v>
      </c>
      <c r="HO97">
        <v>36.718627421191144</v>
      </c>
      <c r="HP97">
        <v>36.718627421191144</v>
      </c>
      <c r="HQ97">
        <v>36.718627421191144</v>
      </c>
      <c r="HR97">
        <v>36.718627421191144</v>
      </c>
      <c r="HS97">
        <v>36.718627421191144</v>
      </c>
      <c r="HT97">
        <v>36.718627421191144</v>
      </c>
      <c r="HV97" s="18"/>
    </row>
    <row r="98" spans="7:230" x14ac:dyDescent="0.25">
      <c r="AJ98" t="s">
        <v>112</v>
      </c>
      <c r="AK98">
        <v>1.95</v>
      </c>
      <c r="AL98">
        <v>1.95</v>
      </c>
      <c r="AM98">
        <v>1.95</v>
      </c>
      <c r="AN98">
        <v>1.95</v>
      </c>
      <c r="AO98">
        <v>1.95</v>
      </c>
      <c r="AP98">
        <v>1.95</v>
      </c>
      <c r="AQ98">
        <v>1.95</v>
      </c>
      <c r="AR98">
        <v>1.95</v>
      </c>
      <c r="AS98">
        <v>1.95</v>
      </c>
      <c r="AT98">
        <v>1.95</v>
      </c>
      <c r="AV98" t="s">
        <v>112</v>
      </c>
      <c r="AW98">
        <v>1.95</v>
      </c>
      <c r="AX98">
        <v>1.95</v>
      </c>
      <c r="AY98">
        <v>1.95</v>
      </c>
      <c r="AZ98">
        <v>1.95</v>
      </c>
      <c r="BA98">
        <v>1.95</v>
      </c>
      <c r="BB98">
        <v>1.95</v>
      </c>
      <c r="BC98">
        <v>1.95</v>
      </c>
      <c r="BD98">
        <v>1.95</v>
      </c>
      <c r="BE98">
        <v>1.95</v>
      </c>
      <c r="BF98">
        <v>1.95</v>
      </c>
      <c r="BL98" t="s">
        <v>112</v>
      </c>
      <c r="BM98">
        <v>1.95</v>
      </c>
      <c r="BN98">
        <v>1.95</v>
      </c>
      <c r="BO98">
        <v>1.95</v>
      </c>
      <c r="BP98">
        <v>1.95</v>
      </c>
      <c r="BQ98">
        <v>1.95</v>
      </c>
      <c r="BR98">
        <v>1.95</v>
      </c>
      <c r="BS98">
        <v>1.95</v>
      </c>
      <c r="BT98">
        <v>1.95</v>
      </c>
      <c r="BU98">
        <v>1.95</v>
      </c>
      <c r="BV98">
        <v>1.95</v>
      </c>
      <c r="CB98" t="s">
        <v>112</v>
      </c>
      <c r="CC98">
        <v>1.95</v>
      </c>
      <c r="CD98">
        <v>1.95</v>
      </c>
      <c r="CE98">
        <v>1.95</v>
      </c>
      <c r="CF98">
        <v>1.95</v>
      </c>
      <c r="CG98">
        <v>1.95</v>
      </c>
      <c r="CH98">
        <v>1.95</v>
      </c>
      <c r="CI98">
        <v>1.95</v>
      </c>
      <c r="CJ98">
        <v>1.95</v>
      </c>
      <c r="CK98">
        <v>1.95</v>
      </c>
      <c r="CL98">
        <v>1.95</v>
      </c>
      <c r="CP98" t="s">
        <v>112</v>
      </c>
      <c r="CQ98">
        <v>1.95</v>
      </c>
      <c r="CR98">
        <v>1.95</v>
      </c>
      <c r="CS98">
        <v>1.95</v>
      </c>
      <c r="CT98">
        <v>1.95</v>
      </c>
      <c r="CU98">
        <v>1.95</v>
      </c>
      <c r="CV98">
        <v>1.95</v>
      </c>
      <c r="CW98">
        <v>1.95</v>
      </c>
      <c r="CX98">
        <v>1.95</v>
      </c>
      <c r="CY98">
        <v>1.95</v>
      </c>
      <c r="CZ98">
        <v>1.95</v>
      </c>
      <c r="DC98" t="s">
        <v>112</v>
      </c>
      <c r="DD98">
        <v>1.95</v>
      </c>
      <c r="DE98">
        <v>1.95</v>
      </c>
      <c r="DF98">
        <v>1.95</v>
      </c>
      <c r="DG98">
        <v>1.95</v>
      </c>
      <c r="DH98">
        <v>1.95</v>
      </c>
      <c r="DI98">
        <v>1.95</v>
      </c>
      <c r="DJ98">
        <v>1.95</v>
      </c>
      <c r="DK98">
        <v>1.95</v>
      </c>
      <c r="DL98">
        <v>1.95</v>
      </c>
      <c r="DM98">
        <v>1.95</v>
      </c>
      <c r="DP98" t="s">
        <v>112</v>
      </c>
      <c r="DQ98">
        <v>1.95</v>
      </c>
      <c r="DR98">
        <v>1.95</v>
      </c>
      <c r="DS98">
        <v>1.95</v>
      </c>
      <c r="DT98">
        <v>1.95</v>
      </c>
      <c r="DU98">
        <v>1.95</v>
      </c>
      <c r="DV98">
        <v>1.95</v>
      </c>
      <c r="DW98">
        <v>1.95</v>
      </c>
      <c r="DX98">
        <v>1.95</v>
      </c>
      <c r="DY98">
        <v>1.95</v>
      </c>
      <c r="DZ98">
        <v>1.95</v>
      </c>
      <c r="ED98" t="s">
        <v>112</v>
      </c>
      <c r="EE98">
        <v>1.95</v>
      </c>
      <c r="EF98">
        <v>1.95</v>
      </c>
      <c r="EG98">
        <v>1.95</v>
      </c>
      <c r="EH98">
        <v>1.95</v>
      </c>
      <c r="EI98">
        <v>1.95</v>
      </c>
      <c r="EJ98">
        <v>1.95</v>
      </c>
      <c r="EK98">
        <v>1.95</v>
      </c>
      <c r="EL98">
        <v>1.95</v>
      </c>
      <c r="EM98">
        <v>1.95</v>
      </c>
      <c r="EN98">
        <v>1.95</v>
      </c>
      <c r="ER98" t="s">
        <v>112</v>
      </c>
      <c r="ES98">
        <v>1.95</v>
      </c>
      <c r="ET98">
        <v>1.95</v>
      </c>
      <c r="EU98">
        <v>1.95</v>
      </c>
      <c r="EV98">
        <v>1.95</v>
      </c>
      <c r="EW98">
        <v>1.95</v>
      </c>
      <c r="EX98">
        <v>1.95</v>
      </c>
      <c r="EY98">
        <v>1.95</v>
      </c>
      <c r="EZ98">
        <v>1.95</v>
      </c>
      <c r="FA98">
        <v>1.95</v>
      </c>
      <c r="FB98">
        <v>1.95</v>
      </c>
      <c r="FF98" t="s">
        <v>112</v>
      </c>
      <c r="FG98">
        <v>1.95</v>
      </c>
      <c r="FH98">
        <v>1.95</v>
      </c>
      <c r="FI98">
        <v>1.95</v>
      </c>
      <c r="FJ98">
        <v>1.95</v>
      </c>
      <c r="FK98">
        <v>1.95</v>
      </c>
      <c r="FL98">
        <v>1.95</v>
      </c>
      <c r="FM98">
        <v>1.95</v>
      </c>
      <c r="FN98">
        <v>1.95</v>
      </c>
      <c r="FO98">
        <v>1.95</v>
      </c>
      <c r="FP98">
        <v>1.95</v>
      </c>
      <c r="FT98" t="s">
        <v>112</v>
      </c>
      <c r="FU98">
        <v>1.95</v>
      </c>
      <c r="FV98">
        <v>1.95</v>
      </c>
      <c r="FW98">
        <v>1.95</v>
      </c>
      <c r="FX98">
        <v>1.95</v>
      </c>
      <c r="FY98">
        <v>1.95</v>
      </c>
      <c r="FZ98">
        <v>1.95</v>
      </c>
      <c r="GA98">
        <v>1.95</v>
      </c>
      <c r="GB98">
        <v>1.95</v>
      </c>
      <c r="GC98">
        <v>1.95</v>
      </c>
      <c r="GD98">
        <v>1.95</v>
      </c>
      <c r="GH98" t="s">
        <v>112</v>
      </c>
      <c r="GI98">
        <v>1.95</v>
      </c>
      <c r="GJ98">
        <v>1.95</v>
      </c>
      <c r="GK98">
        <v>1.95</v>
      </c>
      <c r="GL98">
        <v>1.95</v>
      </c>
      <c r="GM98">
        <v>1.95</v>
      </c>
      <c r="GN98">
        <v>1.95</v>
      </c>
      <c r="GO98">
        <v>1.95</v>
      </c>
      <c r="GP98">
        <v>1.95</v>
      </c>
      <c r="GQ98">
        <v>1.95</v>
      </c>
      <c r="GR98">
        <v>1.95</v>
      </c>
      <c r="GV98" t="s">
        <v>112</v>
      </c>
      <c r="GW98">
        <v>1.95</v>
      </c>
      <c r="GX98">
        <v>1.95</v>
      </c>
      <c r="GY98">
        <v>1.95</v>
      </c>
      <c r="GZ98">
        <v>1.95</v>
      </c>
      <c r="HA98">
        <v>1.95</v>
      </c>
      <c r="HB98">
        <v>1.95</v>
      </c>
      <c r="HC98">
        <v>1.95</v>
      </c>
      <c r="HD98">
        <v>1.95</v>
      </c>
      <c r="HE98">
        <v>1.95</v>
      </c>
      <c r="HF98">
        <v>1.95</v>
      </c>
      <c r="HJ98" t="s">
        <v>112</v>
      </c>
      <c r="HK98">
        <v>1.95</v>
      </c>
      <c r="HL98">
        <v>1.95</v>
      </c>
      <c r="HM98">
        <v>1.95</v>
      </c>
      <c r="HN98">
        <v>1.95</v>
      </c>
      <c r="HO98">
        <v>1.95</v>
      </c>
      <c r="HP98">
        <v>1.95</v>
      </c>
      <c r="HQ98">
        <v>1.95</v>
      </c>
      <c r="HR98">
        <v>1.95</v>
      </c>
      <c r="HS98">
        <v>1.95</v>
      </c>
      <c r="HT98">
        <v>1.95</v>
      </c>
      <c r="HV98" s="18"/>
    </row>
    <row r="99" spans="7:230" x14ac:dyDescent="0.25">
      <c r="G99" s="10" t="s">
        <v>205</v>
      </c>
      <c r="HV99" s="18"/>
    </row>
    <row r="100" spans="7:230" x14ac:dyDescent="0.25">
      <c r="G100" t="s">
        <v>110</v>
      </c>
      <c r="H100">
        <f>H93*H88</f>
        <v>69.487499999999997</v>
      </c>
      <c r="I100">
        <f t="shared" ref="I100:Q100" si="148">I93*I88</f>
        <v>81.75</v>
      </c>
      <c r="J100">
        <f t="shared" si="148"/>
        <v>106.27500000000001</v>
      </c>
      <c r="K100">
        <f t="shared" si="148"/>
        <v>130.80000000000001</v>
      </c>
      <c r="L100">
        <f t="shared" si="148"/>
        <v>155.32499999999999</v>
      </c>
      <c r="M100">
        <f t="shared" si="148"/>
        <v>179.85</v>
      </c>
      <c r="N100">
        <f t="shared" si="148"/>
        <v>204.375</v>
      </c>
      <c r="O100">
        <f t="shared" si="148"/>
        <v>228.9</v>
      </c>
      <c r="P100">
        <f t="shared" si="148"/>
        <v>253.42500000000001</v>
      </c>
      <c r="Q100">
        <f t="shared" si="148"/>
        <v>277.95</v>
      </c>
      <c r="HV100" s="18"/>
    </row>
    <row r="101" spans="7:230" x14ac:dyDescent="0.25">
      <c r="G101" t="s">
        <v>14</v>
      </c>
      <c r="H101">
        <f>H94*H89</f>
        <v>92.07695478366</v>
      </c>
      <c r="I101">
        <f t="shared" ref="H101:Q103" si="149">I94*I89</f>
        <v>110.01402389735999</v>
      </c>
      <c r="J101">
        <f t="shared" si="149"/>
        <v>145.88816212475999</v>
      </c>
      <c r="K101">
        <f t="shared" si="149"/>
        <v>181.76230035216</v>
      </c>
      <c r="L101">
        <f t="shared" si="149"/>
        <v>217.63643857956001</v>
      </c>
      <c r="M101">
        <f t="shared" si="149"/>
        <v>253.51057680695999</v>
      </c>
      <c r="N101">
        <f t="shared" si="149"/>
        <v>289.38471503436</v>
      </c>
      <c r="O101">
        <f t="shared" si="149"/>
        <v>325.25885326176001</v>
      </c>
      <c r="P101">
        <f t="shared" si="149"/>
        <v>361.13299148916002</v>
      </c>
      <c r="Q101">
        <f t="shared" si="149"/>
        <v>397.00712971656003</v>
      </c>
      <c r="AJ101" s="10" t="s">
        <v>205</v>
      </c>
      <c r="AV101" s="10" t="s">
        <v>205</v>
      </c>
      <c r="BL101" s="10" t="s">
        <v>205</v>
      </c>
      <c r="CB101" s="10" t="s">
        <v>205</v>
      </c>
      <c r="CP101" s="10" t="s">
        <v>205</v>
      </c>
      <c r="DC101" s="10" t="s">
        <v>205</v>
      </c>
      <c r="DP101" s="10" t="s">
        <v>205</v>
      </c>
      <c r="ED101" s="10" t="s">
        <v>205</v>
      </c>
      <c r="ER101" s="10" t="s">
        <v>205</v>
      </c>
      <c r="FF101" s="10" t="s">
        <v>205</v>
      </c>
      <c r="FT101" s="10" t="s">
        <v>205</v>
      </c>
      <c r="GH101" s="10" t="s">
        <v>205</v>
      </c>
      <c r="GV101" s="10" t="s">
        <v>205</v>
      </c>
      <c r="HJ101" s="10" t="s">
        <v>205</v>
      </c>
      <c r="HV101" s="18"/>
    </row>
    <row r="102" spans="7:230" x14ac:dyDescent="0.25">
      <c r="G102" t="s">
        <v>111</v>
      </c>
      <c r="H102">
        <f t="shared" si="149"/>
        <v>176.70839446448238</v>
      </c>
      <c r="I102">
        <f t="shared" si="149"/>
        <v>211.13210767184907</v>
      </c>
      <c r="J102">
        <f t="shared" si="149"/>
        <v>279.97953408658248</v>
      </c>
      <c r="K102">
        <f t="shared" si="149"/>
        <v>348.82696050131585</v>
      </c>
      <c r="L102">
        <f t="shared" si="149"/>
        <v>417.67438691604929</v>
      </c>
      <c r="M102">
        <f t="shared" si="149"/>
        <v>486.52181333078266</v>
      </c>
      <c r="N102">
        <f t="shared" si="149"/>
        <v>555.3692397455161</v>
      </c>
      <c r="O102">
        <f t="shared" si="149"/>
        <v>624.21666616024947</v>
      </c>
      <c r="P102">
        <f t="shared" si="149"/>
        <v>693.06409257498285</v>
      </c>
      <c r="Q102">
        <f t="shared" si="149"/>
        <v>761.91151898971623</v>
      </c>
      <c r="AJ102" t="s">
        <v>110</v>
      </c>
      <c r="AK102">
        <f>AK95*AK90</f>
        <v>106.27500000000001</v>
      </c>
      <c r="AL102">
        <f t="shared" ref="AL102:AT102" si="150">AL95*AL90</f>
        <v>130.80000000000001</v>
      </c>
      <c r="AM102">
        <f t="shared" si="150"/>
        <v>179.85</v>
      </c>
      <c r="AN102">
        <f t="shared" si="150"/>
        <v>228.9</v>
      </c>
      <c r="AO102">
        <f t="shared" si="150"/>
        <v>212.55</v>
      </c>
      <c r="AP102">
        <f t="shared" si="150"/>
        <v>245.25</v>
      </c>
      <c r="AQ102">
        <f t="shared" si="150"/>
        <v>237.07499999999999</v>
      </c>
      <c r="AR102">
        <f t="shared" si="150"/>
        <v>261.60000000000002</v>
      </c>
      <c r="AS102">
        <f t="shared" si="150"/>
        <v>258.33</v>
      </c>
      <c r="AT102">
        <f t="shared" si="150"/>
        <v>277.95</v>
      </c>
      <c r="AV102" t="s">
        <v>110</v>
      </c>
      <c r="AW102">
        <f>AW95*AW90</f>
        <v>106.27500000000001</v>
      </c>
      <c r="AX102">
        <f t="shared" ref="AX102:BF102" si="151">AX95*AX90</f>
        <v>130.80000000000001</v>
      </c>
      <c r="AY102">
        <f t="shared" si="151"/>
        <v>179.85</v>
      </c>
      <c r="AZ102">
        <f t="shared" si="151"/>
        <v>228.9</v>
      </c>
      <c r="BA102">
        <f t="shared" si="151"/>
        <v>212.55</v>
      </c>
      <c r="BB102">
        <f t="shared" si="151"/>
        <v>245.25</v>
      </c>
      <c r="BC102">
        <f t="shared" si="151"/>
        <v>237.07499999999999</v>
      </c>
      <c r="BD102">
        <f t="shared" si="151"/>
        <v>261.60000000000002</v>
      </c>
      <c r="BE102">
        <f t="shared" si="151"/>
        <v>258.33</v>
      </c>
      <c r="BF102">
        <f t="shared" si="151"/>
        <v>277.95</v>
      </c>
      <c r="BL102" t="s">
        <v>110</v>
      </c>
      <c r="BM102">
        <f>BM95*BM90</f>
        <v>179.85</v>
      </c>
      <c r="BN102">
        <f t="shared" ref="BN102:BV102" si="152">BN95*BN90</f>
        <v>228.9</v>
      </c>
      <c r="BO102">
        <f t="shared" si="152"/>
        <v>245.25</v>
      </c>
      <c r="BP102">
        <f t="shared" si="152"/>
        <v>261.60000000000002</v>
      </c>
      <c r="BQ102">
        <f t="shared" si="152"/>
        <v>277.95</v>
      </c>
      <c r="BR102">
        <f t="shared" si="152"/>
        <v>294.3</v>
      </c>
      <c r="BS102">
        <f t="shared" si="152"/>
        <v>310.64999999999998</v>
      </c>
      <c r="BT102">
        <f t="shared" si="152"/>
        <v>327</v>
      </c>
      <c r="BU102">
        <f t="shared" si="152"/>
        <v>343.35</v>
      </c>
      <c r="BV102">
        <f t="shared" si="152"/>
        <v>359.7</v>
      </c>
      <c r="CB102" t="s">
        <v>110</v>
      </c>
      <c r="CC102">
        <f>CC95*CC90</f>
        <v>253.42500000000001</v>
      </c>
      <c r="CD102">
        <f t="shared" ref="CD102:CL102" si="153">CD95*CD90</f>
        <v>245.25</v>
      </c>
      <c r="CE102">
        <f t="shared" si="153"/>
        <v>258.33</v>
      </c>
      <c r="CF102">
        <f t="shared" si="153"/>
        <v>294.3</v>
      </c>
      <c r="CG102">
        <f t="shared" si="153"/>
        <v>314.73750000000001</v>
      </c>
      <c r="CH102">
        <f t="shared" si="153"/>
        <v>343.35</v>
      </c>
      <c r="CI102">
        <f t="shared" si="153"/>
        <v>367.13181818181818</v>
      </c>
      <c r="CJ102">
        <f t="shared" si="153"/>
        <v>392.4</v>
      </c>
      <c r="CK102">
        <f t="shared" si="153"/>
        <v>418.09285714285716</v>
      </c>
      <c r="CL102">
        <f t="shared" si="153"/>
        <v>441.45</v>
      </c>
      <c r="CP102" t="s">
        <v>110</v>
      </c>
      <c r="CQ102">
        <f>CQ95*CQ90</f>
        <v>294.3</v>
      </c>
      <c r="CR102">
        <f t="shared" ref="CR102:CZ102" si="154">CR95*CR90</f>
        <v>277.95</v>
      </c>
      <c r="CS102">
        <f t="shared" si="154"/>
        <v>314.73750000000001</v>
      </c>
      <c r="CT102">
        <f t="shared" si="154"/>
        <v>359.7</v>
      </c>
      <c r="CU102">
        <f t="shared" si="154"/>
        <v>401.20384615384614</v>
      </c>
      <c r="CV102">
        <f t="shared" si="154"/>
        <v>441.45</v>
      </c>
      <c r="CW102">
        <f t="shared" si="154"/>
        <v>485.04999999999995</v>
      </c>
      <c r="CX102">
        <f t="shared" si="154"/>
        <v>523.20000000000005</v>
      </c>
      <c r="CY102">
        <f t="shared" si="154"/>
        <v>567.9847826086957</v>
      </c>
      <c r="CZ102">
        <f t="shared" si="154"/>
        <v>604.95000000000005</v>
      </c>
      <c r="DC102" t="s">
        <v>110</v>
      </c>
      <c r="DD102">
        <f>DD95*DD90</f>
        <v>302.47500000000002</v>
      </c>
      <c r="DE102">
        <f t="shared" ref="DE102:DM102" si="155">DE95*DE90</f>
        <v>314.73750000000001</v>
      </c>
      <c r="DF102">
        <f t="shared" si="155"/>
        <v>380.13749999999999</v>
      </c>
      <c r="DG102">
        <f t="shared" si="155"/>
        <v>441.45</v>
      </c>
      <c r="DH102">
        <f t="shared" si="155"/>
        <v>504.2684210526316</v>
      </c>
      <c r="DI102">
        <f t="shared" si="155"/>
        <v>567.9847826086957</v>
      </c>
      <c r="DJ102">
        <f t="shared" si="155"/>
        <v>632.19999999999993</v>
      </c>
      <c r="DK102">
        <f t="shared" si="155"/>
        <v>686.7</v>
      </c>
      <c r="DL102">
        <f t="shared" si="155"/>
        <v>750.65735294117644</v>
      </c>
      <c r="DM102">
        <f t="shared" si="155"/>
        <v>814.91842105263163</v>
      </c>
      <c r="DP102" t="s">
        <v>110</v>
      </c>
      <c r="DQ102">
        <f>DQ95*DQ90</f>
        <v>343.35</v>
      </c>
      <c r="DR102">
        <f t="shared" ref="DR102:DZ102" si="156">DR95*DR90</f>
        <v>359.7</v>
      </c>
      <c r="DS102">
        <f t="shared" si="156"/>
        <v>441.45</v>
      </c>
      <c r="DT102">
        <f t="shared" si="156"/>
        <v>523.20000000000005</v>
      </c>
      <c r="DU102">
        <f t="shared" si="156"/>
        <v>604.95000000000005</v>
      </c>
      <c r="DV102">
        <f t="shared" si="156"/>
        <v>686.7</v>
      </c>
      <c r="DW102">
        <f t="shared" si="156"/>
        <v>768.45</v>
      </c>
      <c r="DX102">
        <f t="shared" si="156"/>
        <v>850.2</v>
      </c>
      <c r="DY102">
        <f t="shared" si="156"/>
        <v>931.95</v>
      </c>
      <c r="DZ102">
        <f t="shared" si="156"/>
        <v>1013.7</v>
      </c>
      <c r="ED102" t="s">
        <v>110</v>
      </c>
      <c r="EE102">
        <f>EE95*EE90</f>
        <v>588.6</v>
      </c>
      <c r="EF102">
        <f t="shared" ref="EF102:EN102" si="157">EF95*EF90</f>
        <v>555.9</v>
      </c>
      <c r="EG102">
        <f t="shared" si="157"/>
        <v>637.65</v>
      </c>
      <c r="EH102">
        <f t="shared" si="157"/>
        <v>719.4</v>
      </c>
      <c r="EI102">
        <f t="shared" si="157"/>
        <v>801.15</v>
      </c>
      <c r="EJ102">
        <f t="shared" si="157"/>
        <v>882.9</v>
      </c>
      <c r="EK102">
        <f t="shared" si="157"/>
        <v>964.65</v>
      </c>
      <c r="EL102">
        <f t="shared" si="157"/>
        <v>1046.4000000000001</v>
      </c>
      <c r="EM102">
        <f t="shared" si="157"/>
        <v>1128.1500000000001</v>
      </c>
      <c r="EN102">
        <f t="shared" si="157"/>
        <v>1209.9000000000001</v>
      </c>
      <c r="ER102" t="s">
        <v>110</v>
      </c>
      <c r="ES102">
        <f>ES95*ES90</f>
        <v>833.85</v>
      </c>
      <c r="ET102">
        <f t="shared" ref="ET102:FB102" si="158">ET95*ET90</f>
        <v>752.1</v>
      </c>
      <c r="EU102">
        <f t="shared" si="158"/>
        <v>833.85</v>
      </c>
      <c r="EV102">
        <f t="shared" si="158"/>
        <v>915.6</v>
      </c>
      <c r="EW102">
        <f t="shared" si="158"/>
        <v>997.35</v>
      </c>
      <c r="EX102">
        <f t="shared" si="158"/>
        <v>1079.0999999999999</v>
      </c>
      <c r="EY102">
        <f t="shared" si="158"/>
        <v>1160.8499999999999</v>
      </c>
      <c r="EZ102">
        <f t="shared" si="158"/>
        <v>1242.5999999999999</v>
      </c>
      <c r="FA102">
        <f t="shared" si="158"/>
        <v>1324.35</v>
      </c>
      <c r="FB102">
        <f t="shared" si="158"/>
        <v>1406.1</v>
      </c>
      <c r="FF102" t="s">
        <v>110</v>
      </c>
      <c r="FG102">
        <f>FG95*FG90</f>
        <v>1079.0999999999999</v>
      </c>
      <c r="FH102">
        <f t="shared" ref="FH102:FP102" si="159">FH95*FH90</f>
        <v>948.3</v>
      </c>
      <c r="FI102">
        <f t="shared" si="159"/>
        <v>1030.05</v>
      </c>
      <c r="FJ102">
        <f t="shared" si="159"/>
        <v>1111.8</v>
      </c>
      <c r="FK102">
        <f t="shared" si="159"/>
        <v>1193.55</v>
      </c>
      <c r="FL102">
        <f t="shared" si="159"/>
        <v>1275.3</v>
      </c>
      <c r="FM102">
        <f t="shared" si="159"/>
        <v>1357.05</v>
      </c>
      <c r="FN102">
        <f t="shared" si="159"/>
        <v>1438.8</v>
      </c>
      <c r="FO102">
        <f t="shared" si="159"/>
        <v>1520.55</v>
      </c>
      <c r="FP102">
        <f t="shared" si="159"/>
        <v>1602.3</v>
      </c>
      <c r="FT102" t="s">
        <v>110</v>
      </c>
      <c r="FU102">
        <f>FU95*FU90</f>
        <v>1324.35</v>
      </c>
      <c r="FV102">
        <f t="shared" ref="FV102:GD102" si="160">FV95*FV90</f>
        <v>1144.5</v>
      </c>
      <c r="FW102">
        <f t="shared" si="160"/>
        <v>1226.25</v>
      </c>
      <c r="FX102">
        <f t="shared" si="160"/>
        <v>1308</v>
      </c>
      <c r="FY102">
        <f t="shared" si="160"/>
        <v>1389.75</v>
      </c>
      <c r="FZ102">
        <f t="shared" si="160"/>
        <v>1471.5</v>
      </c>
      <c r="GA102">
        <f t="shared" si="160"/>
        <v>1553.25</v>
      </c>
      <c r="GB102">
        <f t="shared" si="160"/>
        <v>1635</v>
      </c>
      <c r="GC102">
        <f t="shared" si="160"/>
        <v>1716.75</v>
      </c>
      <c r="GD102">
        <f t="shared" si="160"/>
        <v>1798.5</v>
      </c>
      <c r="GH102" t="s">
        <v>110</v>
      </c>
      <c r="GI102">
        <f>GI95*GI90</f>
        <v>1569.6</v>
      </c>
      <c r="GJ102">
        <f t="shared" ref="GJ102:GR102" si="161">GJ95*GJ90</f>
        <v>1340.7</v>
      </c>
      <c r="GK102">
        <f t="shared" si="161"/>
        <v>1422.45</v>
      </c>
      <c r="GL102">
        <f t="shared" si="161"/>
        <v>1504.2</v>
      </c>
      <c r="GM102">
        <f t="shared" si="161"/>
        <v>1585.95</v>
      </c>
      <c r="GN102">
        <f t="shared" si="161"/>
        <v>1667.7</v>
      </c>
      <c r="GO102">
        <f t="shared" si="161"/>
        <v>1749.45</v>
      </c>
      <c r="GP102">
        <f t="shared" si="161"/>
        <v>1831.2</v>
      </c>
      <c r="GQ102">
        <f t="shared" si="161"/>
        <v>1912.95</v>
      </c>
      <c r="GR102">
        <f t="shared" si="161"/>
        <v>1994.7</v>
      </c>
      <c r="GV102" t="s">
        <v>110</v>
      </c>
      <c r="GW102">
        <f>GW95*GW90</f>
        <v>2060.1</v>
      </c>
      <c r="GX102">
        <f t="shared" ref="GX102:HF102" si="162">GX95*GX90</f>
        <v>1733.1</v>
      </c>
      <c r="GY102">
        <f t="shared" si="162"/>
        <v>1814.85</v>
      </c>
      <c r="GZ102">
        <f t="shared" si="162"/>
        <v>1896.6</v>
      </c>
      <c r="HA102">
        <f t="shared" si="162"/>
        <v>1978.35</v>
      </c>
      <c r="HB102">
        <f t="shared" si="162"/>
        <v>2060.1</v>
      </c>
      <c r="HC102">
        <f t="shared" si="162"/>
        <v>2141.85</v>
      </c>
      <c r="HD102">
        <f t="shared" si="162"/>
        <v>2223.6</v>
      </c>
      <c r="HE102">
        <f t="shared" si="162"/>
        <v>2305.35</v>
      </c>
      <c r="HF102">
        <f t="shared" si="162"/>
        <v>2387.1</v>
      </c>
      <c r="HJ102" t="s">
        <v>110</v>
      </c>
      <c r="HK102">
        <f>HK95*HK90</f>
        <v>2550.6</v>
      </c>
      <c r="HL102">
        <f t="shared" ref="HL102:HT102" si="163">HL95*HL90</f>
        <v>2125.5</v>
      </c>
      <c r="HM102">
        <f t="shared" si="163"/>
        <v>2207.25</v>
      </c>
      <c r="HN102">
        <f t="shared" si="163"/>
        <v>2289</v>
      </c>
      <c r="HO102">
        <f t="shared" si="163"/>
        <v>2370.75</v>
      </c>
      <c r="HP102">
        <f t="shared" si="163"/>
        <v>2452.5</v>
      </c>
      <c r="HQ102">
        <f t="shared" si="163"/>
        <v>2534.25</v>
      </c>
      <c r="HR102">
        <f t="shared" si="163"/>
        <v>2616</v>
      </c>
      <c r="HS102">
        <f t="shared" si="163"/>
        <v>2697.75</v>
      </c>
      <c r="HT102">
        <f t="shared" si="163"/>
        <v>2779.5</v>
      </c>
      <c r="HV102" s="18"/>
    </row>
    <row r="103" spans="7:230" x14ac:dyDescent="0.25">
      <c r="G103" t="s">
        <v>112</v>
      </c>
      <c r="H103">
        <f t="shared" si="149"/>
        <v>18.768750000000001</v>
      </c>
      <c r="I103">
        <f t="shared" si="149"/>
        <v>22.424999999999997</v>
      </c>
      <c r="J103">
        <f t="shared" si="149"/>
        <v>29.737499999999997</v>
      </c>
      <c r="K103">
        <f t="shared" si="149"/>
        <v>37.04999999999999</v>
      </c>
      <c r="L103">
        <f t="shared" si="149"/>
        <v>44.36249999999999</v>
      </c>
      <c r="M103">
        <f t="shared" si="149"/>
        <v>51.67499999999999</v>
      </c>
      <c r="N103">
        <f t="shared" si="149"/>
        <v>58.98749999999999</v>
      </c>
      <c r="O103">
        <f t="shared" si="149"/>
        <v>66.3</v>
      </c>
      <c r="P103">
        <f t="shared" si="149"/>
        <v>73.612499999999997</v>
      </c>
      <c r="Q103">
        <f t="shared" si="149"/>
        <v>80.924999999999997</v>
      </c>
      <c r="AJ103" t="s">
        <v>14</v>
      </c>
      <c r="AK103">
        <f t="shared" ref="AK103:AT103" si="164">AK96*AK91</f>
        <v>138.83600000000001</v>
      </c>
      <c r="AL103">
        <f t="shared" si="164"/>
        <v>172.976</v>
      </c>
      <c r="AM103">
        <f t="shared" si="164"/>
        <v>241.256</v>
      </c>
      <c r="AN103">
        <f t="shared" si="164"/>
        <v>309.536</v>
      </c>
      <c r="AO103">
        <f t="shared" si="164"/>
        <v>358.09066666666678</v>
      </c>
      <c r="AP103">
        <f t="shared" si="164"/>
        <v>418.78399999999999</v>
      </c>
      <c r="AQ103">
        <f t="shared" si="164"/>
        <v>471.13200000000001</v>
      </c>
      <c r="AR103">
        <f t="shared" si="164"/>
        <v>528.03200000000004</v>
      </c>
      <c r="AS103">
        <f t="shared" si="164"/>
        <v>582.65600000000006</v>
      </c>
      <c r="AT103">
        <f t="shared" si="164"/>
        <v>637.28000000000009</v>
      </c>
      <c r="AV103" t="s">
        <v>14</v>
      </c>
      <c r="AW103">
        <f t="shared" ref="AW103:BF103" si="165">AW96*AW91</f>
        <v>138.83600000000001</v>
      </c>
      <c r="AX103">
        <f t="shared" si="165"/>
        <v>172.976</v>
      </c>
      <c r="AY103">
        <f t="shared" si="165"/>
        <v>241.256</v>
      </c>
      <c r="AZ103">
        <f t="shared" si="165"/>
        <v>309.536</v>
      </c>
      <c r="BA103">
        <f t="shared" si="165"/>
        <v>358.09066666666678</v>
      </c>
      <c r="BB103">
        <f t="shared" si="165"/>
        <v>418.78399999999999</v>
      </c>
      <c r="BC103">
        <f t="shared" si="165"/>
        <v>471.13200000000001</v>
      </c>
      <c r="BD103">
        <f t="shared" si="165"/>
        <v>528.03200000000004</v>
      </c>
      <c r="BE103">
        <f t="shared" si="165"/>
        <v>582.65600000000006</v>
      </c>
      <c r="BF103">
        <f t="shared" si="165"/>
        <v>637.28000000000009</v>
      </c>
      <c r="BL103" t="s">
        <v>14</v>
      </c>
      <c r="BM103">
        <f t="shared" ref="BM103:BV103" si="166">BM96*BM91</f>
        <v>241.256</v>
      </c>
      <c r="BN103">
        <f t="shared" si="166"/>
        <v>309.536</v>
      </c>
      <c r="BO103">
        <f t="shared" si="166"/>
        <v>418.78399999999999</v>
      </c>
      <c r="BP103">
        <f t="shared" si="166"/>
        <v>528.03200000000004</v>
      </c>
      <c r="BQ103">
        <f t="shared" si="166"/>
        <v>637.28000000000009</v>
      </c>
      <c r="BR103">
        <f t="shared" si="166"/>
        <v>746.52800000000002</v>
      </c>
      <c r="BS103">
        <f t="shared" si="166"/>
        <v>855.77600000000007</v>
      </c>
      <c r="BT103">
        <f t="shared" si="166"/>
        <v>965.024</v>
      </c>
      <c r="BU103">
        <f t="shared" si="166"/>
        <v>1074.2720000000002</v>
      </c>
      <c r="BV103">
        <f t="shared" si="166"/>
        <v>1183.52</v>
      </c>
      <c r="CB103" t="s">
        <v>14</v>
      </c>
      <c r="CC103">
        <f t="shared" ref="CC103:CL103" si="167">CC96*CC91</f>
        <v>343.67599999999999</v>
      </c>
      <c r="CD103">
        <f t="shared" si="167"/>
        <v>418.78399999999999</v>
      </c>
      <c r="CE103">
        <f t="shared" si="167"/>
        <v>582.65600000000006</v>
      </c>
      <c r="CF103">
        <f t="shared" si="167"/>
        <v>746.52800000000002</v>
      </c>
      <c r="CG103">
        <f t="shared" si="167"/>
        <v>913.81400000000008</v>
      </c>
      <c r="CH103">
        <f t="shared" si="167"/>
        <v>1074.2720000000002</v>
      </c>
      <c r="CI103">
        <f t="shared" si="167"/>
        <v>1243.1098181818184</v>
      </c>
      <c r="CJ103">
        <f t="shared" si="167"/>
        <v>1402.0160000000001</v>
      </c>
      <c r="CK103">
        <f t="shared" si="167"/>
        <v>1571.7405714285717</v>
      </c>
      <c r="CL103">
        <f t="shared" si="167"/>
        <v>1729.7600000000002</v>
      </c>
      <c r="CP103" t="s">
        <v>14</v>
      </c>
      <c r="CQ103">
        <f t="shared" ref="CQ103:CZ103" si="168">CQ96*CQ91</f>
        <v>509.82400000000001</v>
      </c>
      <c r="CR103">
        <f t="shared" si="168"/>
        <v>637.28000000000009</v>
      </c>
      <c r="CS103">
        <f t="shared" si="168"/>
        <v>913.81400000000008</v>
      </c>
      <c r="CT103">
        <f t="shared" si="168"/>
        <v>1183.52</v>
      </c>
      <c r="CU103">
        <f t="shared" si="168"/>
        <v>1462.2424615384616</v>
      </c>
      <c r="CV103">
        <f t="shared" si="168"/>
        <v>1729.7600000000002</v>
      </c>
      <c r="CW103">
        <f t="shared" si="168"/>
        <v>2009.4551111111114</v>
      </c>
      <c r="CX103">
        <f t="shared" si="168"/>
        <v>2276</v>
      </c>
      <c r="CY103">
        <f t="shared" si="168"/>
        <v>2556.2448695652179</v>
      </c>
      <c r="CZ103">
        <f t="shared" si="168"/>
        <v>2822.2400000000002</v>
      </c>
      <c r="DC103" t="s">
        <v>14</v>
      </c>
      <c r="DD103">
        <f t="shared" ref="DD103:DM103" si="169">DD96*DD91</f>
        <v>705.56000000000006</v>
      </c>
      <c r="DE103">
        <f t="shared" si="169"/>
        <v>913.81400000000008</v>
      </c>
      <c r="DF103">
        <f t="shared" si="169"/>
        <v>1328.046</v>
      </c>
      <c r="DG103">
        <f t="shared" si="169"/>
        <v>1729.7600000000002</v>
      </c>
      <c r="DH103">
        <f t="shared" si="169"/>
        <v>2142.7941052631581</v>
      </c>
      <c r="DI103">
        <f t="shared" si="169"/>
        <v>2556.2448695652179</v>
      </c>
      <c r="DJ103">
        <f t="shared" si="169"/>
        <v>2969.9271111111111</v>
      </c>
      <c r="DK103">
        <f t="shared" si="169"/>
        <v>3368.48</v>
      </c>
      <c r="DL103">
        <f t="shared" si="169"/>
        <v>3782.0425882352947</v>
      </c>
      <c r="DM103">
        <f t="shared" si="169"/>
        <v>4195.7461052631579</v>
      </c>
      <c r="DP103" t="s">
        <v>14</v>
      </c>
      <c r="DQ103">
        <f t="shared" ref="DQ103:DZ103" si="170">DQ96*DQ91</f>
        <v>905.84799999999996</v>
      </c>
      <c r="DR103">
        <f t="shared" si="170"/>
        <v>1183.52</v>
      </c>
      <c r="DS103">
        <f t="shared" si="170"/>
        <v>1729.7600000000002</v>
      </c>
      <c r="DT103">
        <f t="shared" si="170"/>
        <v>2276</v>
      </c>
      <c r="DU103">
        <f t="shared" si="170"/>
        <v>2822.2400000000002</v>
      </c>
      <c r="DV103">
        <f t="shared" si="170"/>
        <v>3368.48</v>
      </c>
      <c r="DW103">
        <f t="shared" si="170"/>
        <v>3914.7200000000003</v>
      </c>
      <c r="DX103">
        <f t="shared" si="170"/>
        <v>4460.96</v>
      </c>
      <c r="DY103">
        <f t="shared" si="170"/>
        <v>5007.2000000000007</v>
      </c>
      <c r="DZ103">
        <f t="shared" si="170"/>
        <v>5553.4400000000005</v>
      </c>
      <c r="ED103" t="s">
        <v>14</v>
      </c>
      <c r="EE103">
        <f t="shared" ref="EE103:EN103" si="171">EE96*EE91</f>
        <v>1702.4480000000001</v>
      </c>
      <c r="EF103">
        <f t="shared" si="171"/>
        <v>2184.96</v>
      </c>
      <c r="EG103">
        <f t="shared" si="171"/>
        <v>3186.4</v>
      </c>
      <c r="EH103">
        <f t="shared" si="171"/>
        <v>4187.84</v>
      </c>
      <c r="EI103">
        <f t="shared" si="171"/>
        <v>5189.2800000000007</v>
      </c>
      <c r="EJ103">
        <f t="shared" si="171"/>
        <v>6190.72</v>
      </c>
      <c r="EK103">
        <f t="shared" si="171"/>
        <v>7192.1600000000008</v>
      </c>
      <c r="EL103">
        <f t="shared" si="171"/>
        <v>8193.6</v>
      </c>
      <c r="EM103">
        <f t="shared" si="171"/>
        <v>9195.0400000000009</v>
      </c>
      <c r="EN103">
        <f t="shared" si="171"/>
        <v>10196.480000000001</v>
      </c>
      <c r="ER103" t="s">
        <v>14</v>
      </c>
      <c r="ES103">
        <f t="shared" ref="ES103:FB103" si="172">ES96*ES91</f>
        <v>2499.0480000000002</v>
      </c>
      <c r="ET103">
        <f t="shared" si="172"/>
        <v>3186.4</v>
      </c>
      <c r="EU103">
        <f t="shared" si="172"/>
        <v>4643.04</v>
      </c>
      <c r="EV103">
        <f t="shared" si="172"/>
        <v>6099.68</v>
      </c>
      <c r="EW103">
        <f t="shared" si="172"/>
        <v>7556.3200000000006</v>
      </c>
      <c r="EX103">
        <f t="shared" si="172"/>
        <v>9012.9600000000009</v>
      </c>
      <c r="EY103">
        <f t="shared" si="172"/>
        <v>10469.6</v>
      </c>
      <c r="EZ103">
        <f t="shared" si="172"/>
        <v>11926.240000000002</v>
      </c>
      <c r="FA103">
        <f t="shared" si="172"/>
        <v>13382.880000000001</v>
      </c>
      <c r="FB103">
        <f t="shared" si="172"/>
        <v>14839.52</v>
      </c>
      <c r="FF103" t="s">
        <v>14</v>
      </c>
      <c r="FG103">
        <f t="shared" ref="FG103:FP103" si="173">FG96*FG91</f>
        <v>3295.6480000000006</v>
      </c>
      <c r="FH103">
        <f t="shared" si="173"/>
        <v>4187.84</v>
      </c>
      <c r="FI103">
        <f t="shared" si="173"/>
        <v>6099.68</v>
      </c>
      <c r="FJ103">
        <f t="shared" si="173"/>
        <v>8011.52</v>
      </c>
      <c r="FK103">
        <f t="shared" si="173"/>
        <v>9923.36</v>
      </c>
      <c r="FL103">
        <f t="shared" si="173"/>
        <v>11835.2</v>
      </c>
      <c r="FM103">
        <f t="shared" si="173"/>
        <v>13747.04</v>
      </c>
      <c r="FN103">
        <f t="shared" si="173"/>
        <v>15658.880000000001</v>
      </c>
      <c r="FO103">
        <f t="shared" si="173"/>
        <v>17570.72</v>
      </c>
      <c r="FP103">
        <f t="shared" si="173"/>
        <v>19482.560000000001</v>
      </c>
      <c r="FT103" t="s">
        <v>14</v>
      </c>
      <c r="FU103">
        <f t="shared" ref="FU103:GD103" si="174">FU96*FU91</f>
        <v>4092.2480000000005</v>
      </c>
      <c r="FV103">
        <f t="shared" si="174"/>
        <v>5189.2800000000007</v>
      </c>
      <c r="FW103">
        <f t="shared" si="174"/>
        <v>7556.3200000000006</v>
      </c>
      <c r="FX103">
        <f t="shared" si="174"/>
        <v>9923.36</v>
      </c>
      <c r="FY103">
        <f t="shared" si="174"/>
        <v>12290.400000000001</v>
      </c>
      <c r="FZ103">
        <f t="shared" si="174"/>
        <v>14657.44</v>
      </c>
      <c r="GA103">
        <f t="shared" si="174"/>
        <v>17024.48</v>
      </c>
      <c r="GB103">
        <f t="shared" si="174"/>
        <v>19391.52</v>
      </c>
      <c r="GC103">
        <f t="shared" si="174"/>
        <v>21758.560000000001</v>
      </c>
      <c r="GD103">
        <f t="shared" si="174"/>
        <v>24125.600000000002</v>
      </c>
      <c r="GH103" t="s">
        <v>14</v>
      </c>
      <c r="GI103">
        <f t="shared" ref="GI103:GR103" si="175">GI96*GI91</f>
        <v>4888.8480000000009</v>
      </c>
      <c r="GJ103">
        <f t="shared" si="175"/>
        <v>6190.72</v>
      </c>
      <c r="GK103">
        <f t="shared" si="175"/>
        <v>9012.9600000000009</v>
      </c>
      <c r="GL103">
        <f t="shared" si="175"/>
        <v>11835.2</v>
      </c>
      <c r="GM103">
        <f t="shared" si="175"/>
        <v>14657.44</v>
      </c>
      <c r="GN103">
        <f t="shared" si="175"/>
        <v>17479.68</v>
      </c>
      <c r="GO103">
        <f t="shared" si="175"/>
        <v>20301.920000000002</v>
      </c>
      <c r="GP103">
        <f t="shared" si="175"/>
        <v>23124.16</v>
      </c>
      <c r="GQ103">
        <f t="shared" si="175"/>
        <v>25946.400000000001</v>
      </c>
      <c r="GR103">
        <f t="shared" si="175"/>
        <v>28768.640000000003</v>
      </c>
      <c r="GV103" t="s">
        <v>14</v>
      </c>
      <c r="GW103">
        <f t="shared" ref="GW103:HF103" si="176">GW96*GW91</f>
        <v>6482.0480000000007</v>
      </c>
      <c r="GX103">
        <f t="shared" si="176"/>
        <v>8193.6</v>
      </c>
      <c r="GY103">
        <f t="shared" si="176"/>
        <v>11926.240000000002</v>
      </c>
      <c r="GZ103">
        <f t="shared" si="176"/>
        <v>15658.880000000001</v>
      </c>
      <c r="HA103">
        <f t="shared" si="176"/>
        <v>19391.52</v>
      </c>
      <c r="HB103">
        <f t="shared" si="176"/>
        <v>23124.16</v>
      </c>
      <c r="HC103">
        <f t="shared" si="176"/>
        <v>26856.800000000003</v>
      </c>
      <c r="HD103">
        <f t="shared" si="176"/>
        <v>30589.440000000002</v>
      </c>
      <c r="HE103">
        <f t="shared" si="176"/>
        <v>34322.080000000002</v>
      </c>
      <c r="HF103">
        <f t="shared" si="176"/>
        <v>38054.720000000001</v>
      </c>
      <c r="HJ103" t="s">
        <v>14</v>
      </c>
      <c r="HK103">
        <f t="shared" ref="HK103:HT103" si="177">HK96*HK91</f>
        <v>8075.2480000000005</v>
      </c>
      <c r="HL103">
        <f t="shared" si="177"/>
        <v>10196.480000000001</v>
      </c>
      <c r="HM103">
        <f t="shared" si="177"/>
        <v>14839.52</v>
      </c>
      <c r="HN103">
        <f t="shared" si="177"/>
        <v>19482.560000000001</v>
      </c>
      <c r="HO103">
        <f t="shared" si="177"/>
        <v>24125.600000000002</v>
      </c>
      <c r="HP103">
        <f t="shared" si="177"/>
        <v>28768.640000000003</v>
      </c>
      <c r="HQ103">
        <f t="shared" si="177"/>
        <v>33411.68</v>
      </c>
      <c r="HR103">
        <f t="shared" si="177"/>
        <v>38054.720000000001</v>
      </c>
      <c r="HS103">
        <f t="shared" si="177"/>
        <v>42697.760000000002</v>
      </c>
      <c r="HT103">
        <f t="shared" si="177"/>
        <v>47340.800000000003</v>
      </c>
      <c r="HV103" s="18"/>
    </row>
    <row r="104" spans="7:230" x14ac:dyDescent="0.25">
      <c r="AJ104" t="s">
        <v>111</v>
      </c>
      <c r="AK104">
        <f t="shared" ref="AK104:AT104" si="178">AK97*AK92</f>
        <v>279.97953408658248</v>
      </c>
      <c r="AL104">
        <f t="shared" si="178"/>
        <v>348.82696050131585</v>
      </c>
      <c r="AM104">
        <f t="shared" si="178"/>
        <v>486.52181333078266</v>
      </c>
      <c r="AN104">
        <f t="shared" si="178"/>
        <v>624.21666616024947</v>
      </c>
      <c r="AO104">
        <f t="shared" si="178"/>
        <v>722.13300595009264</v>
      </c>
      <c r="AP104">
        <f t="shared" si="178"/>
        <v>844.52843068739628</v>
      </c>
      <c r="AQ104">
        <f t="shared" si="178"/>
        <v>950.09448452332083</v>
      </c>
      <c r="AR104">
        <f t="shared" si="178"/>
        <v>1064.8401952145432</v>
      </c>
      <c r="AS104">
        <f t="shared" si="178"/>
        <v>1174.9960774781166</v>
      </c>
      <c r="AT104">
        <f t="shared" si="178"/>
        <v>1285.15195974169</v>
      </c>
      <c r="AV104" t="s">
        <v>111</v>
      </c>
      <c r="AW104">
        <f t="shared" ref="AW104:BF104" si="179">AW97*AW92</f>
        <v>279.97953408658248</v>
      </c>
      <c r="AX104">
        <f t="shared" si="179"/>
        <v>348.82696050131585</v>
      </c>
      <c r="AY104">
        <f t="shared" si="179"/>
        <v>486.52181333078266</v>
      </c>
      <c r="AZ104">
        <f t="shared" si="179"/>
        <v>624.21666616024947</v>
      </c>
      <c r="BA104">
        <f t="shared" si="179"/>
        <v>722.13300595009264</v>
      </c>
      <c r="BB104">
        <f t="shared" si="179"/>
        <v>844.52843068739628</v>
      </c>
      <c r="BC104">
        <f t="shared" si="179"/>
        <v>950.09448452332083</v>
      </c>
      <c r="BD104">
        <f t="shared" si="179"/>
        <v>1064.8401952145432</v>
      </c>
      <c r="BE104">
        <f t="shared" si="179"/>
        <v>1174.9960774781166</v>
      </c>
      <c r="BF104">
        <f t="shared" si="179"/>
        <v>1285.15195974169</v>
      </c>
      <c r="BL104" t="s">
        <v>111</v>
      </c>
      <c r="BM104">
        <f t="shared" ref="BM104:BV104" si="180">BM97*BM92</f>
        <v>486.52181333078266</v>
      </c>
      <c r="BN104">
        <f t="shared" si="180"/>
        <v>624.21666616024947</v>
      </c>
      <c r="BO104">
        <f t="shared" si="180"/>
        <v>844.52843068739628</v>
      </c>
      <c r="BP104">
        <f t="shared" si="180"/>
        <v>1064.8401952145432</v>
      </c>
      <c r="BQ104">
        <f t="shared" si="180"/>
        <v>1285.15195974169</v>
      </c>
      <c r="BR104">
        <f t="shared" si="180"/>
        <v>1505.4637242688368</v>
      </c>
      <c r="BS104">
        <f t="shared" si="180"/>
        <v>1725.7754887959838</v>
      </c>
      <c r="BT104">
        <f t="shared" si="180"/>
        <v>1946.0872533231307</v>
      </c>
      <c r="BU104">
        <f t="shared" si="180"/>
        <v>2166.3990178502777</v>
      </c>
      <c r="BV104">
        <f t="shared" si="180"/>
        <v>2386.7107823774245</v>
      </c>
      <c r="CB104" t="s">
        <v>111</v>
      </c>
      <c r="CC104">
        <f t="shared" ref="CC104:CL104" si="181">CC97*CC92</f>
        <v>693.06409257498285</v>
      </c>
      <c r="CD104">
        <f t="shared" si="181"/>
        <v>844.52843068739628</v>
      </c>
      <c r="CE104">
        <f t="shared" si="181"/>
        <v>1174.9960774781166</v>
      </c>
      <c r="CF104">
        <f t="shared" si="181"/>
        <v>1505.4637242688368</v>
      </c>
      <c r="CG104">
        <f t="shared" si="181"/>
        <v>1842.8161137010306</v>
      </c>
      <c r="CH104">
        <f t="shared" si="181"/>
        <v>2166.3990178502777</v>
      </c>
      <c r="CI104">
        <f t="shared" si="181"/>
        <v>2506.8808357558682</v>
      </c>
      <c r="CJ104">
        <f t="shared" si="181"/>
        <v>2827.3343114317181</v>
      </c>
      <c r="CK104">
        <f t="shared" si="181"/>
        <v>3169.60437417925</v>
      </c>
      <c r="CL104">
        <f t="shared" si="181"/>
        <v>3488.2696050131585</v>
      </c>
      <c r="CP104" t="s">
        <v>111</v>
      </c>
      <c r="CQ104">
        <f t="shared" ref="CQ104:CZ104" si="182">CQ97*CQ92</f>
        <v>1028.1215677933519</v>
      </c>
      <c r="CR104">
        <f t="shared" si="182"/>
        <v>1285.15195974169</v>
      </c>
      <c r="CS104">
        <f t="shared" si="182"/>
        <v>1842.8161137010306</v>
      </c>
      <c r="CT104">
        <f t="shared" si="182"/>
        <v>2386.7107823774245</v>
      </c>
      <c r="CU104">
        <f t="shared" si="182"/>
        <v>2948.7882329018116</v>
      </c>
      <c r="CV104">
        <f t="shared" si="182"/>
        <v>3488.2696050131585</v>
      </c>
      <c r="CW104">
        <f t="shared" si="182"/>
        <v>4052.3085206775672</v>
      </c>
      <c r="CX104">
        <f t="shared" si="182"/>
        <v>4589.828427648893</v>
      </c>
      <c r="CY104">
        <f t="shared" si="182"/>
        <v>5154.975997522879</v>
      </c>
      <c r="CZ104">
        <f t="shared" si="182"/>
        <v>5691.387250284627</v>
      </c>
      <c r="DC104" t="s">
        <v>111</v>
      </c>
      <c r="DD104">
        <f t="shared" ref="DD104:DM104" si="183">DD97*DD92</f>
        <v>1422.8468125711568</v>
      </c>
      <c r="DE104">
        <f t="shared" si="183"/>
        <v>1842.8161137010306</v>
      </c>
      <c r="DF104">
        <f t="shared" si="183"/>
        <v>2678.1648875331289</v>
      </c>
      <c r="DG104">
        <f t="shared" si="183"/>
        <v>3488.2696050131585</v>
      </c>
      <c r="DH104">
        <f t="shared" si="183"/>
        <v>4321.2026796728105</v>
      </c>
      <c r="DI104">
        <f t="shared" si="183"/>
        <v>5154.975997522879</v>
      </c>
      <c r="DJ104">
        <f t="shared" si="183"/>
        <v>5989.216117145399</v>
      </c>
      <c r="DK104">
        <f t="shared" si="183"/>
        <v>6792.946072920362</v>
      </c>
      <c r="DL104">
        <f t="shared" si="183"/>
        <v>7626.9448972149175</v>
      </c>
      <c r="DM104">
        <f t="shared" si="183"/>
        <v>8461.2279214121118</v>
      </c>
      <c r="DP104" t="s">
        <v>111</v>
      </c>
      <c r="DQ104">
        <f t="shared" ref="DQ104:DZ104" si="184">DQ97*DQ92</f>
        <v>1826.7517142042593</v>
      </c>
      <c r="DR104">
        <f t="shared" si="184"/>
        <v>2386.7107823774245</v>
      </c>
      <c r="DS104">
        <f t="shared" si="184"/>
        <v>3488.2696050131585</v>
      </c>
      <c r="DT104">
        <f t="shared" si="184"/>
        <v>4589.828427648893</v>
      </c>
      <c r="DU104">
        <f t="shared" si="184"/>
        <v>5691.387250284627</v>
      </c>
      <c r="DV104">
        <f t="shared" si="184"/>
        <v>6792.946072920362</v>
      </c>
      <c r="DW104">
        <f t="shared" si="184"/>
        <v>7894.504895556096</v>
      </c>
      <c r="DX104">
        <f t="shared" si="184"/>
        <v>8996.06371819183</v>
      </c>
      <c r="DY104">
        <f t="shared" si="184"/>
        <v>10097.622540827564</v>
      </c>
      <c r="DZ104">
        <f t="shared" si="184"/>
        <v>11199.181363463298</v>
      </c>
      <c r="ED104" t="s">
        <v>111</v>
      </c>
      <c r="EE104">
        <f t="shared" ref="EE104:EN104" si="185">EE97*EE92</f>
        <v>3433.1916638813718</v>
      </c>
      <c r="EF104">
        <f t="shared" si="185"/>
        <v>4406.235290542937</v>
      </c>
      <c r="EG104">
        <f t="shared" si="185"/>
        <v>6425.75979870845</v>
      </c>
      <c r="EH104">
        <f t="shared" si="185"/>
        <v>8445.2843068739639</v>
      </c>
      <c r="EI104">
        <f t="shared" si="185"/>
        <v>10464.808815039476</v>
      </c>
      <c r="EJ104">
        <f t="shared" si="185"/>
        <v>12484.333323204988</v>
      </c>
      <c r="EK104">
        <f t="shared" si="185"/>
        <v>14503.857831370502</v>
      </c>
      <c r="EL104">
        <f t="shared" si="185"/>
        <v>16523.382339536016</v>
      </c>
      <c r="EM104">
        <f t="shared" si="185"/>
        <v>18542.906847701528</v>
      </c>
      <c r="EN104">
        <f t="shared" si="185"/>
        <v>20562.43135586704</v>
      </c>
      <c r="ER104" t="s">
        <v>111</v>
      </c>
      <c r="ES104">
        <f t="shared" ref="ES104:FB104" si="186">ES97*ES92</f>
        <v>5039.6316135584848</v>
      </c>
      <c r="ET104">
        <f t="shared" si="186"/>
        <v>6425.75979870845</v>
      </c>
      <c r="EU104">
        <f t="shared" si="186"/>
        <v>9363.249992403742</v>
      </c>
      <c r="EV104">
        <f t="shared" si="186"/>
        <v>12300.740186099034</v>
      </c>
      <c r="EW104">
        <f t="shared" si="186"/>
        <v>15238.230379794324</v>
      </c>
      <c r="EX104">
        <f t="shared" si="186"/>
        <v>18175.720573489616</v>
      </c>
      <c r="EY104">
        <f t="shared" si="186"/>
        <v>21113.210767184908</v>
      </c>
      <c r="EZ104">
        <f t="shared" si="186"/>
        <v>24050.7009608802</v>
      </c>
      <c r="FA104">
        <f t="shared" si="186"/>
        <v>26988.191154575492</v>
      </c>
      <c r="FB104">
        <f t="shared" si="186"/>
        <v>29925.681348270784</v>
      </c>
      <c r="FF104" t="s">
        <v>111</v>
      </c>
      <c r="FG104">
        <f t="shared" ref="FG104:FP104" si="187">FG97*FG92</f>
        <v>6646.0715632355968</v>
      </c>
      <c r="FH104">
        <f t="shared" si="187"/>
        <v>8445.2843068739639</v>
      </c>
      <c r="FI104">
        <f t="shared" si="187"/>
        <v>12300.740186099034</v>
      </c>
      <c r="FJ104">
        <f t="shared" si="187"/>
        <v>16156.196065324104</v>
      </c>
      <c r="FK104">
        <f t="shared" si="187"/>
        <v>20011.651944549172</v>
      </c>
      <c r="FL104">
        <f t="shared" si="187"/>
        <v>23867.107823774244</v>
      </c>
      <c r="FM104">
        <f t="shared" si="187"/>
        <v>27722.563702999312</v>
      </c>
      <c r="FN104">
        <f t="shared" si="187"/>
        <v>31578.019582224384</v>
      </c>
      <c r="FO104">
        <f t="shared" si="187"/>
        <v>35433.475461449452</v>
      </c>
      <c r="FP104">
        <f t="shared" si="187"/>
        <v>39288.93134067452</v>
      </c>
      <c r="FT104" t="s">
        <v>111</v>
      </c>
      <c r="FU104">
        <f t="shared" ref="FU104:GD104" si="188">FU97*FU92</f>
        <v>8252.5115129127098</v>
      </c>
      <c r="FV104">
        <f t="shared" si="188"/>
        <v>10464.808815039476</v>
      </c>
      <c r="FW104">
        <f t="shared" si="188"/>
        <v>15238.230379794324</v>
      </c>
      <c r="FX104">
        <f t="shared" si="188"/>
        <v>20011.651944549172</v>
      </c>
      <c r="FY104">
        <f t="shared" si="188"/>
        <v>24785.073509304024</v>
      </c>
      <c r="FZ104">
        <f t="shared" si="188"/>
        <v>29558.495074058872</v>
      </c>
      <c r="GA104">
        <f t="shared" si="188"/>
        <v>34331.916638813716</v>
      </c>
      <c r="GB104">
        <f t="shared" si="188"/>
        <v>39105.338203568572</v>
      </c>
      <c r="GC104">
        <f t="shared" si="188"/>
        <v>43878.75976832342</v>
      </c>
      <c r="GD104">
        <f t="shared" si="188"/>
        <v>48652.181333078268</v>
      </c>
      <c r="GH104" t="s">
        <v>111</v>
      </c>
      <c r="GI104">
        <f t="shared" ref="GI104:GR104" si="189">GI97*GI92</f>
        <v>9858.9514625898228</v>
      </c>
      <c r="GJ104">
        <f t="shared" si="189"/>
        <v>12484.333323204988</v>
      </c>
      <c r="GK104">
        <f t="shared" si="189"/>
        <v>18175.720573489616</v>
      </c>
      <c r="GL104">
        <f t="shared" si="189"/>
        <v>23867.107823774244</v>
      </c>
      <c r="GM104">
        <f t="shared" si="189"/>
        <v>29558.495074058872</v>
      </c>
      <c r="GN104">
        <f t="shared" si="189"/>
        <v>35249.882324343496</v>
      </c>
      <c r="GO104">
        <f t="shared" si="189"/>
        <v>40941.269574628124</v>
      </c>
      <c r="GP104">
        <f t="shared" si="189"/>
        <v>46632.656824912752</v>
      </c>
      <c r="GQ104">
        <f t="shared" si="189"/>
        <v>52324.04407519738</v>
      </c>
      <c r="GR104">
        <f t="shared" si="189"/>
        <v>58015.431325482008</v>
      </c>
      <c r="GV104" t="s">
        <v>111</v>
      </c>
      <c r="GW104">
        <f t="shared" ref="GW104:HF104" si="190">GW97*GW92</f>
        <v>13071.831361944047</v>
      </c>
      <c r="GX104">
        <f t="shared" si="190"/>
        <v>16523.382339536016</v>
      </c>
      <c r="GY104">
        <f t="shared" si="190"/>
        <v>24050.7009608802</v>
      </c>
      <c r="GZ104">
        <f t="shared" si="190"/>
        <v>31578.019582224384</v>
      </c>
      <c r="HA104">
        <f t="shared" si="190"/>
        <v>39105.338203568572</v>
      </c>
      <c r="HB104">
        <f t="shared" si="190"/>
        <v>46632.656824912752</v>
      </c>
      <c r="HC104">
        <f t="shared" si="190"/>
        <v>54159.97544625694</v>
      </c>
      <c r="HD104">
        <f t="shared" si="190"/>
        <v>61687.29406760112</v>
      </c>
      <c r="HE104">
        <f t="shared" si="190"/>
        <v>69214.612688945301</v>
      </c>
      <c r="HF104">
        <f t="shared" si="190"/>
        <v>76741.931310289496</v>
      </c>
      <c r="HJ104" t="s">
        <v>111</v>
      </c>
      <c r="HK104">
        <f t="shared" ref="HK104:HT104" si="191">HK97*HK92</f>
        <v>16284.711261298273</v>
      </c>
      <c r="HL104">
        <f t="shared" si="191"/>
        <v>20562.43135586704</v>
      </c>
      <c r="HM104">
        <f t="shared" si="191"/>
        <v>29925.681348270784</v>
      </c>
      <c r="HN104">
        <f t="shared" si="191"/>
        <v>39288.93134067452</v>
      </c>
      <c r="HO104">
        <f t="shared" si="191"/>
        <v>48652.181333078268</v>
      </c>
      <c r="HP104">
        <f t="shared" si="191"/>
        <v>58015.431325482008</v>
      </c>
      <c r="HQ104">
        <f t="shared" si="191"/>
        <v>67378.681317885756</v>
      </c>
      <c r="HR104">
        <f t="shared" si="191"/>
        <v>76741.931310289496</v>
      </c>
      <c r="HS104">
        <f t="shared" si="191"/>
        <v>86105.181302693236</v>
      </c>
      <c r="HT104">
        <f t="shared" si="191"/>
        <v>95468.431295096976</v>
      </c>
      <c r="HV104" s="18"/>
    </row>
    <row r="105" spans="7:230" x14ac:dyDescent="0.25">
      <c r="G105" t="s">
        <v>123</v>
      </c>
      <c r="H105">
        <f>SUM(H100:H103)</f>
        <v>357.0415992481424</v>
      </c>
      <c r="I105">
        <f t="shared" ref="I105:Q105" si="192">SUM(I100:I103)</f>
        <v>425.32113156920906</v>
      </c>
      <c r="J105">
        <f t="shared" si="192"/>
        <v>561.88019621134242</v>
      </c>
      <c r="K105">
        <f t="shared" si="192"/>
        <v>698.43926085347584</v>
      </c>
      <c r="L105">
        <f t="shared" si="192"/>
        <v>834.99832549560915</v>
      </c>
      <c r="M105">
        <f t="shared" si="192"/>
        <v>971.55739013774269</v>
      </c>
      <c r="N105">
        <f t="shared" si="192"/>
        <v>1108.116454779876</v>
      </c>
      <c r="O105">
        <f t="shared" si="192"/>
        <v>1244.6755194220093</v>
      </c>
      <c r="P105">
        <f t="shared" si="192"/>
        <v>1381.2345840641428</v>
      </c>
      <c r="Q105">
        <f t="shared" si="192"/>
        <v>1517.7936487062764</v>
      </c>
      <c r="AJ105" t="s">
        <v>112</v>
      </c>
      <c r="AK105">
        <f t="shared" ref="AK105:AT105" si="193">AK98*AK93</f>
        <v>29.737499999999997</v>
      </c>
      <c r="AL105">
        <f t="shared" si="193"/>
        <v>37.04999999999999</v>
      </c>
      <c r="AM105">
        <f t="shared" si="193"/>
        <v>51.67499999999999</v>
      </c>
      <c r="AN105">
        <f t="shared" si="193"/>
        <v>66.3</v>
      </c>
      <c r="AO105">
        <f t="shared" si="193"/>
        <v>76.7</v>
      </c>
      <c r="AP105">
        <f t="shared" si="193"/>
        <v>89.699999999999989</v>
      </c>
      <c r="AQ105">
        <f t="shared" si="193"/>
        <v>100.91249999999998</v>
      </c>
      <c r="AR105">
        <f t="shared" si="193"/>
        <v>113.09999999999998</v>
      </c>
      <c r="AS105">
        <f t="shared" si="193"/>
        <v>124.8</v>
      </c>
      <c r="AT105">
        <f t="shared" si="193"/>
        <v>136.5</v>
      </c>
      <c r="AV105" t="s">
        <v>112</v>
      </c>
      <c r="AW105">
        <f t="shared" ref="AW105:BF105" si="194">AW98*AW93</f>
        <v>29.737499999999997</v>
      </c>
      <c r="AX105">
        <f t="shared" si="194"/>
        <v>37.04999999999999</v>
      </c>
      <c r="AY105">
        <f t="shared" si="194"/>
        <v>51.67499999999999</v>
      </c>
      <c r="AZ105">
        <f t="shared" si="194"/>
        <v>66.3</v>
      </c>
      <c r="BA105">
        <f t="shared" si="194"/>
        <v>76.7</v>
      </c>
      <c r="BB105">
        <f t="shared" si="194"/>
        <v>89.699999999999989</v>
      </c>
      <c r="BC105">
        <f t="shared" si="194"/>
        <v>100.91249999999998</v>
      </c>
      <c r="BD105">
        <f t="shared" si="194"/>
        <v>113.09999999999998</v>
      </c>
      <c r="BE105">
        <f t="shared" si="194"/>
        <v>124.8</v>
      </c>
      <c r="BF105">
        <f t="shared" si="194"/>
        <v>136.5</v>
      </c>
      <c r="BL105" t="s">
        <v>112</v>
      </c>
      <c r="BM105">
        <f t="shared" ref="BM105:BV105" si="195">BM98*BM93</f>
        <v>51.67499999999999</v>
      </c>
      <c r="BN105">
        <f t="shared" si="195"/>
        <v>66.3</v>
      </c>
      <c r="BO105">
        <f t="shared" si="195"/>
        <v>89.699999999999989</v>
      </c>
      <c r="BP105">
        <f t="shared" si="195"/>
        <v>113.09999999999998</v>
      </c>
      <c r="BQ105">
        <f t="shared" si="195"/>
        <v>136.5</v>
      </c>
      <c r="BR105">
        <f t="shared" si="195"/>
        <v>159.89999999999998</v>
      </c>
      <c r="BS105">
        <f t="shared" si="195"/>
        <v>183.29999999999998</v>
      </c>
      <c r="BT105">
        <f t="shared" si="195"/>
        <v>206.69999999999996</v>
      </c>
      <c r="BU105">
        <f t="shared" si="195"/>
        <v>230.1</v>
      </c>
      <c r="BV105">
        <f t="shared" si="195"/>
        <v>253.5</v>
      </c>
      <c r="CB105" t="s">
        <v>112</v>
      </c>
      <c r="CC105">
        <f t="shared" ref="CC105:CL105" si="196">CC98*CC93</f>
        <v>73.612499999999997</v>
      </c>
      <c r="CD105">
        <f t="shared" si="196"/>
        <v>89.699999999999989</v>
      </c>
      <c r="CE105">
        <f t="shared" si="196"/>
        <v>124.8</v>
      </c>
      <c r="CF105">
        <f t="shared" si="196"/>
        <v>159.89999999999998</v>
      </c>
      <c r="CG105">
        <f t="shared" si="196"/>
        <v>195.73124999999996</v>
      </c>
      <c r="CH105">
        <f t="shared" si="196"/>
        <v>230.1</v>
      </c>
      <c r="CI105">
        <f t="shared" si="196"/>
        <v>266.26363636363641</v>
      </c>
      <c r="CJ105">
        <f t="shared" si="196"/>
        <v>300.3</v>
      </c>
      <c r="CK105">
        <f t="shared" si="196"/>
        <v>336.65357142857141</v>
      </c>
      <c r="CL105">
        <f t="shared" si="196"/>
        <v>370.5</v>
      </c>
      <c r="CP105" t="s">
        <v>112</v>
      </c>
      <c r="CQ105">
        <f t="shared" ref="CQ105:CZ105" si="197">CQ98*CQ93</f>
        <v>109.19999999999999</v>
      </c>
      <c r="CR105">
        <f t="shared" si="197"/>
        <v>136.5</v>
      </c>
      <c r="CS105">
        <f t="shared" si="197"/>
        <v>195.73124999999996</v>
      </c>
      <c r="CT105">
        <f t="shared" si="197"/>
        <v>253.5</v>
      </c>
      <c r="CU105">
        <f t="shared" si="197"/>
        <v>313.2</v>
      </c>
      <c r="CV105">
        <f t="shared" si="197"/>
        <v>370.5</v>
      </c>
      <c r="CW105">
        <f t="shared" si="197"/>
        <v>430.40833333333336</v>
      </c>
      <c r="CX105">
        <f t="shared" si="197"/>
        <v>487.5</v>
      </c>
      <c r="CY105">
        <f t="shared" si="197"/>
        <v>547.52608695652179</v>
      </c>
      <c r="CZ105">
        <f t="shared" si="197"/>
        <v>604.5</v>
      </c>
      <c r="DC105" t="s">
        <v>112</v>
      </c>
      <c r="DD105">
        <f t="shared" ref="DD105:DM105" si="198">DD98*DD93</f>
        <v>151.125</v>
      </c>
      <c r="DE105">
        <f t="shared" si="198"/>
        <v>195.73124999999996</v>
      </c>
      <c r="DF105">
        <f t="shared" si="198"/>
        <v>284.45625000000001</v>
      </c>
      <c r="DG105">
        <f t="shared" si="198"/>
        <v>370.5</v>
      </c>
      <c r="DH105">
        <f t="shared" si="198"/>
        <v>458.96842105263153</v>
      </c>
      <c r="DI105">
        <f t="shared" si="198"/>
        <v>547.52608695652179</v>
      </c>
      <c r="DJ105">
        <f t="shared" si="198"/>
        <v>636.13333333333321</v>
      </c>
      <c r="DK105">
        <f t="shared" si="198"/>
        <v>721.5</v>
      </c>
      <c r="DL105">
        <f t="shared" si="198"/>
        <v>810.08161764705881</v>
      </c>
      <c r="DM105">
        <f t="shared" si="198"/>
        <v>898.69342105263149</v>
      </c>
      <c r="DP105" t="s">
        <v>112</v>
      </c>
      <c r="DQ105">
        <f t="shared" ref="DQ105:DZ105" si="199">DQ98*DQ93</f>
        <v>194.02499999999998</v>
      </c>
      <c r="DR105">
        <f t="shared" si="199"/>
        <v>253.5</v>
      </c>
      <c r="DS105">
        <f t="shared" si="199"/>
        <v>370.5</v>
      </c>
      <c r="DT105">
        <f t="shared" si="199"/>
        <v>487.5</v>
      </c>
      <c r="DU105">
        <f t="shared" si="199"/>
        <v>604.5</v>
      </c>
      <c r="DV105">
        <f t="shared" si="199"/>
        <v>721.5</v>
      </c>
      <c r="DW105">
        <f t="shared" si="199"/>
        <v>838.5</v>
      </c>
      <c r="DX105">
        <f t="shared" si="199"/>
        <v>955.5</v>
      </c>
      <c r="DY105">
        <f t="shared" si="199"/>
        <v>1072.5</v>
      </c>
      <c r="DZ105">
        <f t="shared" si="199"/>
        <v>1189.5</v>
      </c>
      <c r="ED105" t="s">
        <v>112</v>
      </c>
      <c r="EE105">
        <f t="shared" ref="EE105:EN105" si="200">EE98*EE93</f>
        <v>364.64999999999992</v>
      </c>
      <c r="EF105">
        <f t="shared" si="200"/>
        <v>468</v>
      </c>
      <c r="EG105">
        <f t="shared" si="200"/>
        <v>682.5</v>
      </c>
      <c r="EH105">
        <f t="shared" si="200"/>
        <v>897</v>
      </c>
      <c r="EI105">
        <f t="shared" si="200"/>
        <v>1111.5</v>
      </c>
      <c r="EJ105">
        <f t="shared" si="200"/>
        <v>1326</v>
      </c>
      <c r="EK105">
        <f t="shared" si="200"/>
        <v>1540.5</v>
      </c>
      <c r="EL105">
        <f t="shared" si="200"/>
        <v>1755</v>
      </c>
      <c r="EM105">
        <f t="shared" si="200"/>
        <v>1969.5</v>
      </c>
      <c r="EN105">
        <f t="shared" si="200"/>
        <v>2184</v>
      </c>
      <c r="ER105" t="s">
        <v>112</v>
      </c>
      <c r="ES105">
        <f t="shared" ref="ES105:FB105" si="201">ES98*ES93</f>
        <v>535.27499999999998</v>
      </c>
      <c r="ET105">
        <f t="shared" si="201"/>
        <v>682.5</v>
      </c>
      <c r="EU105">
        <f t="shared" si="201"/>
        <v>994.5</v>
      </c>
      <c r="EV105">
        <f t="shared" si="201"/>
        <v>1306.5</v>
      </c>
      <c r="EW105">
        <f t="shared" si="201"/>
        <v>1618.5</v>
      </c>
      <c r="EX105">
        <f t="shared" si="201"/>
        <v>1930.5</v>
      </c>
      <c r="EY105">
        <f t="shared" si="201"/>
        <v>2242.5</v>
      </c>
      <c r="EZ105">
        <f t="shared" si="201"/>
        <v>2554.5</v>
      </c>
      <c r="FA105">
        <f t="shared" si="201"/>
        <v>2866.5</v>
      </c>
      <c r="FB105">
        <f t="shared" si="201"/>
        <v>3178.5</v>
      </c>
      <c r="FF105" t="s">
        <v>112</v>
      </c>
      <c r="FG105">
        <f t="shared" ref="FG105:FP105" si="202">FG98*FG93</f>
        <v>705.9</v>
      </c>
      <c r="FH105">
        <f t="shared" si="202"/>
        <v>897</v>
      </c>
      <c r="FI105">
        <f t="shared" si="202"/>
        <v>1306.5</v>
      </c>
      <c r="FJ105">
        <f t="shared" si="202"/>
        <v>1716</v>
      </c>
      <c r="FK105">
        <f t="shared" si="202"/>
        <v>2125.5</v>
      </c>
      <c r="FL105">
        <f t="shared" si="202"/>
        <v>2535</v>
      </c>
      <c r="FM105">
        <f t="shared" si="202"/>
        <v>2944.5</v>
      </c>
      <c r="FN105">
        <f t="shared" si="202"/>
        <v>3354</v>
      </c>
      <c r="FO105">
        <f t="shared" si="202"/>
        <v>3763.5</v>
      </c>
      <c r="FP105">
        <f t="shared" si="202"/>
        <v>4173</v>
      </c>
      <c r="FT105" t="s">
        <v>112</v>
      </c>
      <c r="FU105">
        <f t="shared" ref="FU105:GD105" si="203">FU98*FU93</f>
        <v>876.52499999999998</v>
      </c>
      <c r="FV105">
        <f t="shared" si="203"/>
        <v>1111.5</v>
      </c>
      <c r="FW105">
        <f t="shared" si="203"/>
        <v>1618.5</v>
      </c>
      <c r="FX105">
        <f t="shared" si="203"/>
        <v>2125.5</v>
      </c>
      <c r="FY105">
        <f t="shared" si="203"/>
        <v>2632.5</v>
      </c>
      <c r="FZ105">
        <f t="shared" si="203"/>
        <v>3139.5</v>
      </c>
      <c r="GA105">
        <f t="shared" si="203"/>
        <v>3646.5</v>
      </c>
      <c r="GB105">
        <f t="shared" si="203"/>
        <v>4153.5</v>
      </c>
      <c r="GC105">
        <f t="shared" si="203"/>
        <v>4660.5</v>
      </c>
      <c r="GD105">
        <f t="shared" si="203"/>
        <v>5167.5</v>
      </c>
      <c r="GH105" t="s">
        <v>112</v>
      </c>
      <c r="GI105">
        <f t="shared" ref="GI105:GR105" si="204">GI98*GI93</f>
        <v>1047.1499999999999</v>
      </c>
      <c r="GJ105">
        <f t="shared" si="204"/>
        <v>1326</v>
      </c>
      <c r="GK105">
        <f t="shared" si="204"/>
        <v>1930.5</v>
      </c>
      <c r="GL105">
        <f t="shared" si="204"/>
        <v>2535</v>
      </c>
      <c r="GM105">
        <f t="shared" si="204"/>
        <v>3139.5</v>
      </c>
      <c r="GN105">
        <f t="shared" si="204"/>
        <v>3744</v>
      </c>
      <c r="GO105">
        <f t="shared" si="204"/>
        <v>4348.5</v>
      </c>
      <c r="GP105">
        <f t="shared" si="204"/>
        <v>4953</v>
      </c>
      <c r="GQ105">
        <f t="shared" si="204"/>
        <v>5557.5</v>
      </c>
      <c r="GR105">
        <f t="shared" si="204"/>
        <v>6162</v>
      </c>
      <c r="GV105" t="s">
        <v>112</v>
      </c>
      <c r="GW105">
        <f t="shared" ref="GW105:HF105" si="205">GW98*GW93</f>
        <v>1388.3999999999999</v>
      </c>
      <c r="GX105">
        <f t="shared" si="205"/>
        <v>1755</v>
      </c>
      <c r="GY105">
        <f t="shared" si="205"/>
        <v>2554.5</v>
      </c>
      <c r="GZ105">
        <f t="shared" si="205"/>
        <v>3354</v>
      </c>
      <c r="HA105">
        <f t="shared" si="205"/>
        <v>4153.5</v>
      </c>
      <c r="HB105">
        <f t="shared" si="205"/>
        <v>4953</v>
      </c>
      <c r="HC105">
        <f t="shared" si="205"/>
        <v>5752.5</v>
      </c>
      <c r="HD105">
        <f t="shared" si="205"/>
        <v>6552</v>
      </c>
      <c r="HE105">
        <f t="shared" si="205"/>
        <v>7351.5</v>
      </c>
      <c r="HF105">
        <f t="shared" si="205"/>
        <v>8151</v>
      </c>
      <c r="HJ105" t="s">
        <v>112</v>
      </c>
      <c r="HK105">
        <f t="shared" ref="HK105:HT105" si="206">HK98*HK93</f>
        <v>1729.6499999999999</v>
      </c>
      <c r="HL105">
        <f t="shared" si="206"/>
        <v>2184</v>
      </c>
      <c r="HM105">
        <f t="shared" si="206"/>
        <v>3178.5</v>
      </c>
      <c r="HN105">
        <f t="shared" si="206"/>
        <v>4173</v>
      </c>
      <c r="HO105">
        <f t="shared" si="206"/>
        <v>5167.5</v>
      </c>
      <c r="HP105">
        <f t="shared" si="206"/>
        <v>6162</v>
      </c>
      <c r="HQ105">
        <f t="shared" si="206"/>
        <v>7156.5</v>
      </c>
      <c r="HR105">
        <f t="shared" si="206"/>
        <v>8151</v>
      </c>
      <c r="HS105">
        <f t="shared" si="206"/>
        <v>9145.5</v>
      </c>
      <c r="HT105">
        <f t="shared" si="206"/>
        <v>10140</v>
      </c>
      <c r="HV105" s="18"/>
    </row>
    <row r="106" spans="7:230" x14ac:dyDescent="0.25">
      <c r="HV106" s="18"/>
    </row>
    <row r="107" spans="7:230" x14ac:dyDescent="0.25">
      <c r="AJ107" t="s">
        <v>123</v>
      </c>
      <c r="AK107">
        <f>SUM(AK102:AK105)</f>
        <v>554.82803408658242</v>
      </c>
      <c r="AL107">
        <f t="shared" ref="AL107:AT107" si="207">SUM(AL102:AL105)</f>
        <v>689.65296050131587</v>
      </c>
      <c r="AM107">
        <f t="shared" si="207"/>
        <v>959.30281333078256</v>
      </c>
      <c r="AN107">
        <f t="shared" si="207"/>
        <v>1228.9526661602495</v>
      </c>
      <c r="AO107">
        <f t="shared" si="207"/>
        <v>1369.4736726167596</v>
      </c>
      <c r="AP107">
        <f t="shared" si="207"/>
        <v>1598.2624306873963</v>
      </c>
      <c r="AQ107">
        <f t="shared" si="207"/>
        <v>1759.2139845233207</v>
      </c>
      <c r="AR107">
        <f t="shared" si="207"/>
        <v>1967.5721952145432</v>
      </c>
      <c r="AS107">
        <f t="shared" si="207"/>
        <v>2140.7820774781167</v>
      </c>
      <c r="AT107">
        <f t="shared" si="207"/>
        <v>2336.88195974169</v>
      </c>
      <c r="AV107" t="s">
        <v>123</v>
      </c>
      <c r="AW107">
        <f>SUM(AW102:AW105)</f>
        <v>554.82803408658242</v>
      </c>
      <c r="AX107">
        <f t="shared" ref="AX107:BF107" si="208">SUM(AX102:AX105)</f>
        <v>689.65296050131587</v>
      </c>
      <c r="AY107">
        <f t="shared" si="208"/>
        <v>959.30281333078256</v>
      </c>
      <c r="AZ107">
        <f t="shared" si="208"/>
        <v>1228.9526661602495</v>
      </c>
      <c r="BA107">
        <f t="shared" si="208"/>
        <v>1369.4736726167596</v>
      </c>
      <c r="BB107">
        <f t="shared" si="208"/>
        <v>1598.2624306873963</v>
      </c>
      <c r="BC107">
        <f t="shared" si="208"/>
        <v>1759.2139845233207</v>
      </c>
      <c r="BD107">
        <f t="shared" si="208"/>
        <v>1967.5721952145432</v>
      </c>
      <c r="BE107">
        <f t="shared" si="208"/>
        <v>2140.7820774781167</v>
      </c>
      <c r="BF107">
        <f t="shared" si="208"/>
        <v>2336.88195974169</v>
      </c>
      <c r="BL107" t="s">
        <v>123</v>
      </c>
      <c r="BM107">
        <f>SUM(BM102:BM105)</f>
        <v>959.30281333078256</v>
      </c>
      <c r="BN107">
        <f t="shared" ref="BN107:BV107" si="209">SUM(BN102:BN105)</f>
        <v>1228.9526661602495</v>
      </c>
      <c r="BO107">
        <f t="shared" si="209"/>
        <v>1598.2624306873963</v>
      </c>
      <c r="BP107">
        <f t="shared" si="209"/>
        <v>1967.5721952145432</v>
      </c>
      <c r="BQ107">
        <f t="shared" si="209"/>
        <v>2336.88195974169</v>
      </c>
      <c r="BR107">
        <f t="shared" si="209"/>
        <v>2706.1917242688369</v>
      </c>
      <c r="BS107">
        <f t="shared" si="209"/>
        <v>3075.5014887959842</v>
      </c>
      <c r="BT107">
        <f t="shared" si="209"/>
        <v>3444.8112533231306</v>
      </c>
      <c r="BU107">
        <f t="shared" si="209"/>
        <v>3814.1210178502779</v>
      </c>
      <c r="BV107">
        <f t="shared" si="209"/>
        <v>4183.4307823774243</v>
      </c>
      <c r="CB107" t="s">
        <v>123</v>
      </c>
      <c r="CC107">
        <f>SUM(CC102:CC105)</f>
        <v>1363.7775925749827</v>
      </c>
      <c r="CD107">
        <f t="shared" ref="CD107:CL107" si="210">SUM(CD102:CD105)</f>
        <v>1598.2624306873963</v>
      </c>
      <c r="CE107">
        <f t="shared" si="210"/>
        <v>2140.7820774781167</v>
      </c>
      <c r="CF107">
        <f t="shared" si="210"/>
        <v>2706.1917242688369</v>
      </c>
      <c r="CG107">
        <f t="shared" si="210"/>
        <v>3267.0988637010305</v>
      </c>
      <c r="CH107">
        <f t="shared" si="210"/>
        <v>3814.1210178502779</v>
      </c>
      <c r="CI107">
        <f t="shared" si="210"/>
        <v>4383.3861084831415</v>
      </c>
      <c r="CJ107">
        <f t="shared" si="210"/>
        <v>4922.0503114317189</v>
      </c>
      <c r="CK107">
        <f t="shared" si="210"/>
        <v>5496.0913741792501</v>
      </c>
      <c r="CL107">
        <f t="shared" si="210"/>
        <v>6029.979605013159</v>
      </c>
      <c r="CP107" t="s">
        <v>123</v>
      </c>
      <c r="CQ107">
        <f>SUM(CQ102:CQ105)</f>
        <v>1941.445567793352</v>
      </c>
      <c r="CR107">
        <f t="shared" ref="CR107:CZ107" si="211">SUM(CR102:CR105)</f>
        <v>2336.88195974169</v>
      </c>
      <c r="CS107">
        <f t="shared" si="211"/>
        <v>3267.0988637010305</v>
      </c>
      <c r="CT107">
        <f t="shared" si="211"/>
        <v>4183.4307823774243</v>
      </c>
      <c r="CU107">
        <f t="shared" si="211"/>
        <v>5125.4345405941194</v>
      </c>
      <c r="CV107">
        <f t="shared" si="211"/>
        <v>6029.979605013159</v>
      </c>
      <c r="CW107">
        <f t="shared" si="211"/>
        <v>6977.2219651220121</v>
      </c>
      <c r="CX107">
        <f t="shared" si="211"/>
        <v>7876.5284276488928</v>
      </c>
      <c r="CY107">
        <f t="shared" si="211"/>
        <v>8826.7317366533134</v>
      </c>
      <c r="CZ107">
        <f t="shared" si="211"/>
        <v>9723.0772502846266</v>
      </c>
      <c r="DC107" t="s">
        <v>123</v>
      </c>
      <c r="DD107">
        <f>SUM(DD102:DD105)</f>
        <v>2582.0068125711568</v>
      </c>
      <c r="DE107">
        <f t="shared" ref="DE107:DM107" si="212">SUM(DE102:DE105)</f>
        <v>3267.0988637010305</v>
      </c>
      <c r="DF107">
        <f t="shared" si="212"/>
        <v>4670.8046375331296</v>
      </c>
      <c r="DG107">
        <f t="shared" si="212"/>
        <v>6029.979605013159</v>
      </c>
      <c r="DH107">
        <f t="shared" si="212"/>
        <v>7427.2336270412316</v>
      </c>
      <c r="DI107">
        <f t="shared" si="212"/>
        <v>8826.7317366533134</v>
      </c>
      <c r="DJ107">
        <f t="shared" si="212"/>
        <v>10227.476561589843</v>
      </c>
      <c r="DK107">
        <f t="shared" si="212"/>
        <v>11569.626072920362</v>
      </c>
      <c r="DL107">
        <f t="shared" si="212"/>
        <v>12969.726456038446</v>
      </c>
      <c r="DM107">
        <f t="shared" si="212"/>
        <v>14370.585868780534</v>
      </c>
      <c r="DP107" t="s">
        <v>123</v>
      </c>
      <c r="DQ107">
        <f>SUM(DQ102:DQ105)</f>
        <v>3269.9747142042593</v>
      </c>
      <c r="DR107">
        <f t="shared" ref="DR107:DZ107" si="213">SUM(DR102:DR105)</f>
        <v>4183.4307823774243</v>
      </c>
      <c r="DS107">
        <f t="shared" si="213"/>
        <v>6029.979605013159</v>
      </c>
      <c r="DT107">
        <f t="shared" si="213"/>
        <v>7876.5284276488928</v>
      </c>
      <c r="DU107">
        <f t="shared" si="213"/>
        <v>9723.0772502846266</v>
      </c>
      <c r="DV107">
        <f t="shared" si="213"/>
        <v>11569.626072920362</v>
      </c>
      <c r="DW107">
        <f t="shared" si="213"/>
        <v>13416.174895556096</v>
      </c>
      <c r="DX107">
        <f t="shared" si="213"/>
        <v>15262.72371819183</v>
      </c>
      <c r="DY107">
        <f t="shared" si="213"/>
        <v>17109.272540827566</v>
      </c>
      <c r="DZ107">
        <f t="shared" si="213"/>
        <v>18955.821363463299</v>
      </c>
      <c r="ED107" t="s">
        <v>123</v>
      </c>
      <c r="EE107">
        <f>SUM(EE102:EE105)</f>
        <v>6088.8896638813712</v>
      </c>
      <c r="EF107">
        <f t="shared" ref="EF107:EN107" si="214">SUM(EF102:EF105)</f>
        <v>7615.0952905429367</v>
      </c>
      <c r="EG107">
        <f t="shared" si="214"/>
        <v>10932.309798708451</v>
      </c>
      <c r="EH107">
        <f t="shared" si="214"/>
        <v>14249.524306873964</v>
      </c>
      <c r="EI107">
        <f t="shared" si="214"/>
        <v>17566.738815039476</v>
      </c>
      <c r="EJ107">
        <f t="shared" si="214"/>
        <v>20883.953323204987</v>
      </c>
      <c r="EK107">
        <f t="shared" si="214"/>
        <v>24201.167831370502</v>
      </c>
      <c r="EL107">
        <f t="shared" si="214"/>
        <v>27518.382339536016</v>
      </c>
      <c r="EM107">
        <f t="shared" si="214"/>
        <v>30835.596847701527</v>
      </c>
      <c r="EN107">
        <f t="shared" si="214"/>
        <v>34152.811355867045</v>
      </c>
      <c r="ER107" t="s">
        <v>123</v>
      </c>
      <c r="ES107">
        <f>SUM(ES102:ES105)</f>
        <v>8907.8046135584846</v>
      </c>
      <c r="ET107">
        <f t="shared" ref="ET107:FB107" si="215">SUM(ET102:ET105)</f>
        <v>11046.75979870845</v>
      </c>
      <c r="EU107">
        <f t="shared" si="215"/>
        <v>15834.639992403743</v>
      </c>
      <c r="EV107">
        <f t="shared" si="215"/>
        <v>20622.520186099035</v>
      </c>
      <c r="EW107">
        <f t="shared" si="215"/>
        <v>25410.400379794322</v>
      </c>
      <c r="EX107">
        <f t="shared" si="215"/>
        <v>30198.280573489617</v>
      </c>
      <c r="EY107">
        <f t="shared" si="215"/>
        <v>34986.160767184905</v>
      </c>
      <c r="EZ107">
        <f t="shared" si="215"/>
        <v>39774.0409608802</v>
      </c>
      <c r="FA107">
        <f t="shared" si="215"/>
        <v>44561.921154575495</v>
      </c>
      <c r="FB107">
        <f t="shared" si="215"/>
        <v>49349.801348270783</v>
      </c>
      <c r="FF107" t="s">
        <v>123</v>
      </c>
      <c r="FG107">
        <f>SUM(FG102:FG105)</f>
        <v>11726.719563235596</v>
      </c>
      <c r="FH107">
        <f t="shared" ref="FH107:FP107" si="216">SUM(FH102:FH105)</f>
        <v>14478.424306873963</v>
      </c>
      <c r="FI107">
        <f t="shared" si="216"/>
        <v>20736.970186099035</v>
      </c>
      <c r="FJ107">
        <f t="shared" si="216"/>
        <v>26995.516065324104</v>
      </c>
      <c r="FK107">
        <f t="shared" si="216"/>
        <v>33254.061944549176</v>
      </c>
      <c r="FL107">
        <f t="shared" si="216"/>
        <v>39512.607823774248</v>
      </c>
      <c r="FM107">
        <f t="shared" si="216"/>
        <v>45771.153702999312</v>
      </c>
      <c r="FN107">
        <f t="shared" si="216"/>
        <v>52029.699582224384</v>
      </c>
      <c r="FO107">
        <f t="shared" si="216"/>
        <v>58288.245461449449</v>
      </c>
      <c r="FP107">
        <f t="shared" si="216"/>
        <v>64546.791340674521</v>
      </c>
      <c r="FT107" t="s">
        <v>123</v>
      </c>
      <c r="FU107">
        <f>SUM(FU102:FU105)</f>
        <v>14545.634512912709</v>
      </c>
      <c r="FV107">
        <f t="shared" ref="FV107:GD107" si="217">SUM(FV102:FV105)</f>
        <v>17910.088815039475</v>
      </c>
      <c r="FW107">
        <f t="shared" si="217"/>
        <v>25639.300379794324</v>
      </c>
      <c r="FX107">
        <f t="shared" si="217"/>
        <v>33368.511944549173</v>
      </c>
      <c r="FY107">
        <f t="shared" si="217"/>
        <v>41097.723509304022</v>
      </c>
      <c r="FZ107">
        <f t="shared" si="217"/>
        <v>48826.935074058871</v>
      </c>
      <c r="GA107">
        <f t="shared" si="217"/>
        <v>56556.14663881372</v>
      </c>
      <c r="GB107">
        <f t="shared" si="217"/>
        <v>64285.358203568569</v>
      </c>
      <c r="GC107">
        <f t="shared" si="217"/>
        <v>72014.569768323418</v>
      </c>
      <c r="GD107">
        <f t="shared" si="217"/>
        <v>79743.781333078266</v>
      </c>
      <c r="GH107" t="s">
        <v>123</v>
      </c>
      <c r="GI107">
        <f>SUM(GI102:GI105)</f>
        <v>17364.549462589825</v>
      </c>
      <c r="GJ107">
        <f t="shared" ref="GJ107:GR107" si="218">SUM(GJ102:GJ105)</f>
        <v>21341.75332320499</v>
      </c>
      <c r="GK107">
        <f t="shared" si="218"/>
        <v>30541.630573489616</v>
      </c>
      <c r="GL107">
        <f t="shared" si="218"/>
        <v>39741.507823774242</v>
      </c>
      <c r="GM107">
        <f t="shared" si="218"/>
        <v>48941.385074058875</v>
      </c>
      <c r="GN107">
        <f t="shared" si="218"/>
        <v>58141.262324343494</v>
      </c>
      <c r="GO107">
        <f t="shared" si="218"/>
        <v>67341.13957462812</v>
      </c>
      <c r="GP107">
        <f t="shared" si="218"/>
        <v>76541.016824912746</v>
      </c>
      <c r="GQ107">
        <f t="shared" si="218"/>
        <v>85740.894075197386</v>
      </c>
      <c r="GR107">
        <f t="shared" si="218"/>
        <v>94940.771325482012</v>
      </c>
      <c r="GV107" t="s">
        <v>123</v>
      </c>
      <c r="GW107">
        <f>SUM(GW102:GW105)</f>
        <v>23002.379361944048</v>
      </c>
      <c r="GX107">
        <f t="shared" ref="GX107:HF107" si="219">SUM(GX102:GX105)</f>
        <v>28205.082339536017</v>
      </c>
      <c r="GY107">
        <f t="shared" si="219"/>
        <v>40346.2909608802</v>
      </c>
      <c r="GZ107">
        <f t="shared" si="219"/>
        <v>52487.49958222438</v>
      </c>
      <c r="HA107">
        <f t="shared" si="219"/>
        <v>64628.708203568574</v>
      </c>
      <c r="HB107">
        <f t="shared" si="219"/>
        <v>76769.916824912754</v>
      </c>
      <c r="HC107">
        <f t="shared" si="219"/>
        <v>88911.125446256949</v>
      </c>
      <c r="HD107">
        <f t="shared" si="219"/>
        <v>101052.33406760113</v>
      </c>
      <c r="HE107">
        <f t="shared" si="219"/>
        <v>113193.54268894531</v>
      </c>
      <c r="HF107">
        <f t="shared" si="219"/>
        <v>125334.75131028949</v>
      </c>
      <c r="HJ107" t="s">
        <v>123</v>
      </c>
      <c r="HK107">
        <f>SUM(HK102:HK105)</f>
        <v>28640.209261298274</v>
      </c>
      <c r="HL107">
        <f t="shared" ref="HL107:HT107" si="220">SUM(HL102:HL105)</f>
        <v>35068.411355867043</v>
      </c>
      <c r="HM107">
        <f t="shared" si="220"/>
        <v>50150.951348270784</v>
      </c>
      <c r="HN107">
        <f t="shared" si="220"/>
        <v>65233.491340674518</v>
      </c>
      <c r="HO107">
        <f t="shared" si="220"/>
        <v>80316.031333078266</v>
      </c>
      <c r="HP107">
        <f t="shared" si="220"/>
        <v>95398.571325482015</v>
      </c>
      <c r="HQ107">
        <f t="shared" si="220"/>
        <v>110481.11131788575</v>
      </c>
      <c r="HR107">
        <f t="shared" si="220"/>
        <v>125563.6513102895</v>
      </c>
      <c r="HS107">
        <f t="shared" si="220"/>
        <v>140646.19130269325</v>
      </c>
      <c r="HT107">
        <f t="shared" si="220"/>
        <v>155728.73129509698</v>
      </c>
      <c r="HV107" s="18"/>
    </row>
    <row r="108" spans="7:230" x14ac:dyDescent="0.25">
      <c r="HV108" cm="1">
        <f t="array" aca="1" ref="HV108" ca="1">Q102:HV108</f>
        <v>761.91151898971623</v>
      </c>
    </row>
    <row r="110" spans="7:230" x14ac:dyDescent="0.25">
      <c r="H110">
        <v>312.1431665400624</v>
      </c>
      <c r="I110">
        <v>420.00310767184902</v>
      </c>
      <c r="J110">
        <v>554.82803408658242</v>
      </c>
      <c r="K110">
        <v>689.65296050131587</v>
      </c>
      <c r="L110">
        <v>824.47788691604933</v>
      </c>
      <c r="M110">
        <v>959.30281333078256</v>
      </c>
      <c r="N110">
        <v>1094.127739745516</v>
      </c>
      <c r="O110">
        <v>1228.9526661602495</v>
      </c>
      <c r="P110">
        <v>1363.7775925749827</v>
      </c>
      <c r="Q110">
        <v>1498.6025189897161</v>
      </c>
    </row>
    <row r="113" spans="7:130" x14ac:dyDescent="0.25">
      <c r="G113" t="s">
        <v>217</v>
      </c>
      <c r="H113" t="s">
        <v>33</v>
      </c>
      <c r="U113" t="s">
        <v>217</v>
      </c>
      <c r="V113" t="s">
        <v>37</v>
      </c>
      <c r="AJ113" t="s">
        <v>217</v>
      </c>
      <c r="AK113" t="s">
        <v>33</v>
      </c>
      <c r="AV113" t="s">
        <v>217</v>
      </c>
      <c r="AW113" t="s">
        <v>33</v>
      </c>
      <c r="BL113" t="s">
        <v>217</v>
      </c>
      <c r="BM113" t="s">
        <v>33</v>
      </c>
      <c r="CB113" t="s">
        <v>217</v>
      </c>
      <c r="CC113" t="s">
        <v>33</v>
      </c>
      <c r="CP113" t="s">
        <v>217</v>
      </c>
      <c r="CQ113" t="s">
        <v>33</v>
      </c>
      <c r="DC113" t="s">
        <v>217</v>
      </c>
      <c r="DD113" t="s">
        <v>33</v>
      </c>
      <c r="DP113" t="s">
        <v>217</v>
      </c>
      <c r="DQ113" t="s">
        <v>33</v>
      </c>
    </row>
    <row r="114" spans="7:130" x14ac:dyDescent="0.25">
      <c r="G114" t="s">
        <v>105</v>
      </c>
      <c r="H114">
        <v>15</v>
      </c>
      <c r="I114">
        <v>20</v>
      </c>
      <c r="J114">
        <v>30</v>
      </c>
      <c r="K114">
        <v>40</v>
      </c>
      <c r="L114">
        <v>50</v>
      </c>
      <c r="M114">
        <v>60</v>
      </c>
      <c r="N114">
        <v>70</v>
      </c>
      <c r="O114">
        <v>80</v>
      </c>
      <c r="P114">
        <v>90</v>
      </c>
      <c r="Q114">
        <v>100</v>
      </c>
      <c r="U114" t="s">
        <v>105</v>
      </c>
      <c r="V114">
        <v>12</v>
      </c>
      <c r="W114">
        <v>20</v>
      </c>
      <c r="X114">
        <v>30</v>
      </c>
      <c r="Y114">
        <v>40</v>
      </c>
      <c r="Z114">
        <v>50</v>
      </c>
      <c r="AA114">
        <v>60</v>
      </c>
      <c r="AB114">
        <v>70</v>
      </c>
      <c r="AC114">
        <v>80</v>
      </c>
      <c r="AD114">
        <v>90</v>
      </c>
      <c r="AE114">
        <v>100</v>
      </c>
      <c r="AJ114" t="s">
        <v>105</v>
      </c>
      <c r="AK114">
        <v>12</v>
      </c>
      <c r="AL114">
        <v>20</v>
      </c>
      <c r="AM114">
        <v>30</v>
      </c>
      <c r="AN114">
        <v>40</v>
      </c>
      <c r="AO114">
        <v>50</v>
      </c>
      <c r="AP114">
        <v>60</v>
      </c>
      <c r="AQ114">
        <v>70</v>
      </c>
      <c r="AR114">
        <v>80</v>
      </c>
      <c r="AS114">
        <v>90</v>
      </c>
      <c r="AT114">
        <v>100</v>
      </c>
      <c r="AV114" t="s">
        <v>105</v>
      </c>
      <c r="AW114">
        <v>12</v>
      </c>
      <c r="AX114">
        <v>20</v>
      </c>
      <c r="AY114">
        <v>30</v>
      </c>
      <c r="AZ114">
        <v>40</v>
      </c>
      <c r="BA114">
        <v>50</v>
      </c>
      <c r="BB114">
        <v>60</v>
      </c>
      <c r="BC114">
        <v>70</v>
      </c>
      <c r="BD114">
        <v>80</v>
      </c>
      <c r="BE114">
        <v>90</v>
      </c>
      <c r="BF114">
        <v>100</v>
      </c>
      <c r="BL114" t="s">
        <v>105</v>
      </c>
      <c r="BM114">
        <v>12</v>
      </c>
      <c r="BN114">
        <v>20</v>
      </c>
      <c r="BO114">
        <v>30</v>
      </c>
      <c r="BP114">
        <v>40</v>
      </c>
      <c r="BQ114">
        <v>50</v>
      </c>
      <c r="BR114">
        <v>60</v>
      </c>
      <c r="BS114">
        <v>70</v>
      </c>
      <c r="BT114">
        <v>80</v>
      </c>
      <c r="BU114">
        <v>90</v>
      </c>
      <c r="BV114">
        <v>100</v>
      </c>
      <c r="CB114" t="s">
        <v>105</v>
      </c>
      <c r="CC114">
        <v>12</v>
      </c>
      <c r="CD114">
        <v>20</v>
      </c>
      <c r="CE114">
        <v>30</v>
      </c>
      <c r="CF114">
        <v>40</v>
      </c>
      <c r="CG114">
        <v>50</v>
      </c>
      <c r="CH114">
        <v>60</v>
      </c>
      <c r="CI114">
        <v>70</v>
      </c>
      <c r="CJ114">
        <v>80</v>
      </c>
      <c r="CK114">
        <v>90</v>
      </c>
      <c r="CL114">
        <v>100</v>
      </c>
      <c r="CP114" t="s">
        <v>105</v>
      </c>
      <c r="CQ114">
        <v>12</v>
      </c>
      <c r="CR114">
        <v>20</v>
      </c>
      <c r="CS114">
        <v>30</v>
      </c>
      <c r="CT114">
        <v>40</v>
      </c>
      <c r="CU114">
        <v>50</v>
      </c>
      <c r="CV114">
        <v>60</v>
      </c>
      <c r="CW114">
        <v>70</v>
      </c>
      <c r="CX114">
        <v>80</v>
      </c>
      <c r="CY114">
        <v>90</v>
      </c>
      <c r="CZ114">
        <v>100</v>
      </c>
      <c r="DC114" t="s">
        <v>105</v>
      </c>
      <c r="DD114">
        <v>12</v>
      </c>
      <c r="DE114">
        <v>20</v>
      </c>
      <c r="DF114">
        <v>30</v>
      </c>
      <c r="DG114">
        <v>40</v>
      </c>
      <c r="DH114">
        <v>50</v>
      </c>
      <c r="DI114">
        <v>60</v>
      </c>
      <c r="DJ114">
        <v>70</v>
      </c>
      <c r="DK114">
        <v>80</v>
      </c>
      <c r="DL114">
        <v>90</v>
      </c>
      <c r="DM114">
        <v>100</v>
      </c>
      <c r="DP114" t="s">
        <v>105</v>
      </c>
      <c r="DQ114">
        <v>12</v>
      </c>
      <c r="DR114">
        <v>20</v>
      </c>
      <c r="DS114">
        <v>30</v>
      </c>
      <c r="DT114">
        <v>40</v>
      </c>
      <c r="DU114">
        <v>50</v>
      </c>
      <c r="DV114">
        <v>60</v>
      </c>
      <c r="DW114">
        <v>70</v>
      </c>
      <c r="DX114">
        <v>80</v>
      </c>
      <c r="DY114">
        <v>90</v>
      </c>
      <c r="DZ114">
        <v>100</v>
      </c>
    </row>
    <row r="115" spans="7:130" x14ac:dyDescent="0.25">
      <c r="G115" t="s">
        <v>106</v>
      </c>
      <c r="H115">
        <v>5</v>
      </c>
      <c r="I115">
        <v>5</v>
      </c>
      <c r="J115">
        <v>5</v>
      </c>
      <c r="K115">
        <v>5</v>
      </c>
      <c r="L115">
        <v>5</v>
      </c>
      <c r="M115">
        <v>5</v>
      </c>
      <c r="N115">
        <v>5</v>
      </c>
      <c r="O115">
        <v>5</v>
      </c>
      <c r="P115">
        <v>5</v>
      </c>
      <c r="Q115">
        <v>5</v>
      </c>
      <c r="U115" t="s">
        <v>106</v>
      </c>
      <c r="V115">
        <v>5</v>
      </c>
      <c r="W115">
        <v>5</v>
      </c>
      <c r="X115">
        <v>5</v>
      </c>
      <c r="Y115">
        <v>5</v>
      </c>
      <c r="Z115">
        <v>5</v>
      </c>
      <c r="AA115">
        <v>5</v>
      </c>
      <c r="AB115">
        <v>5</v>
      </c>
      <c r="AC115">
        <v>5</v>
      </c>
      <c r="AD115">
        <v>5</v>
      </c>
      <c r="AE115">
        <v>5</v>
      </c>
      <c r="AJ115" t="s">
        <v>106</v>
      </c>
      <c r="AK115">
        <f>AK65</f>
        <v>10</v>
      </c>
      <c r="AL115">
        <f t="shared" ref="AL115:AT115" si="221">AL65</f>
        <v>10</v>
      </c>
      <c r="AM115">
        <f t="shared" si="221"/>
        <v>10</v>
      </c>
      <c r="AN115">
        <f t="shared" si="221"/>
        <v>10</v>
      </c>
      <c r="AO115">
        <f t="shared" si="221"/>
        <v>10</v>
      </c>
      <c r="AP115">
        <f t="shared" si="221"/>
        <v>10</v>
      </c>
      <c r="AQ115">
        <f t="shared" si="221"/>
        <v>10</v>
      </c>
      <c r="AR115">
        <f t="shared" si="221"/>
        <v>10</v>
      </c>
      <c r="AS115">
        <f t="shared" si="221"/>
        <v>10</v>
      </c>
      <c r="AT115">
        <f t="shared" si="221"/>
        <v>10</v>
      </c>
      <c r="AV115" t="s">
        <v>106</v>
      </c>
      <c r="AW115">
        <f>AW65</f>
        <v>10</v>
      </c>
      <c r="AX115">
        <f t="shared" ref="AX115:BF115" si="222">AX65</f>
        <v>10</v>
      </c>
      <c r="AY115">
        <f t="shared" si="222"/>
        <v>10</v>
      </c>
      <c r="AZ115">
        <f t="shared" si="222"/>
        <v>10</v>
      </c>
      <c r="BA115">
        <f t="shared" si="222"/>
        <v>10</v>
      </c>
      <c r="BB115">
        <f t="shared" si="222"/>
        <v>10</v>
      </c>
      <c r="BC115">
        <f t="shared" si="222"/>
        <v>10</v>
      </c>
      <c r="BD115">
        <f t="shared" si="222"/>
        <v>10</v>
      </c>
      <c r="BE115">
        <f t="shared" si="222"/>
        <v>10</v>
      </c>
      <c r="BF115">
        <f t="shared" si="222"/>
        <v>10</v>
      </c>
      <c r="BL115" t="s">
        <v>106</v>
      </c>
      <c r="BM115">
        <f>BM65</f>
        <v>20</v>
      </c>
      <c r="BN115">
        <f t="shared" ref="BN115:BV115" si="223">BN65</f>
        <v>20</v>
      </c>
      <c r="BO115">
        <f t="shared" si="223"/>
        <v>20</v>
      </c>
      <c r="BP115">
        <f t="shared" si="223"/>
        <v>20</v>
      </c>
      <c r="BQ115">
        <f t="shared" si="223"/>
        <v>20</v>
      </c>
      <c r="BR115">
        <f t="shared" si="223"/>
        <v>20</v>
      </c>
      <c r="BS115">
        <f t="shared" si="223"/>
        <v>20</v>
      </c>
      <c r="BT115">
        <f t="shared" si="223"/>
        <v>20</v>
      </c>
      <c r="BU115">
        <f t="shared" si="223"/>
        <v>20</v>
      </c>
      <c r="BV115">
        <f t="shared" si="223"/>
        <v>20</v>
      </c>
      <c r="CB115" t="s">
        <v>106</v>
      </c>
      <c r="CC115">
        <f>CC65</f>
        <v>30</v>
      </c>
      <c r="CD115">
        <f t="shared" ref="CD115:CL115" si="224">CD65</f>
        <v>30</v>
      </c>
      <c r="CE115">
        <f t="shared" si="224"/>
        <v>30</v>
      </c>
      <c r="CF115">
        <f t="shared" si="224"/>
        <v>30</v>
      </c>
      <c r="CG115">
        <f t="shared" si="224"/>
        <v>30</v>
      </c>
      <c r="CH115">
        <f t="shared" si="224"/>
        <v>30</v>
      </c>
      <c r="CI115">
        <f t="shared" si="224"/>
        <v>30</v>
      </c>
      <c r="CJ115">
        <f t="shared" si="224"/>
        <v>30</v>
      </c>
      <c r="CK115">
        <f t="shared" si="224"/>
        <v>30</v>
      </c>
      <c r="CL115">
        <f t="shared" si="224"/>
        <v>30</v>
      </c>
      <c r="CP115" t="s">
        <v>106</v>
      </c>
      <c r="CQ115">
        <f>CQ65</f>
        <v>50</v>
      </c>
      <c r="CR115">
        <f t="shared" ref="CR115:CZ115" si="225">CR65</f>
        <v>50</v>
      </c>
      <c r="CS115">
        <f t="shared" si="225"/>
        <v>50</v>
      </c>
      <c r="CT115">
        <f t="shared" si="225"/>
        <v>50</v>
      </c>
      <c r="CU115">
        <f t="shared" si="225"/>
        <v>50</v>
      </c>
      <c r="CV115">
        <f t="shared" si="225"/>
        <v>50</v>
      </c>
      <c r="CW115">
        <f t="shared" si="225"/>
        <v>50</v>
      </c>
      <c r="CX115">
        <f t="shared" si="225"/>
        <v>50</v>
      </c>
      <c r="CY115">
        <f t="shared" si="225"/>
        <v>50</v>
      </c>
      <c r="CZ115">
        <f t="shared" si="225"/>
        <v>50</v>
      </c>
      <c r="DC115" t="s">
        <v>106</v>
      </c>
      <c r="DD115">
        <f>DD65</f>
        <v>75</v>
      </c>
      <c r="DE115">
        <f t="shared" ref="DE115:DM115" si="226">DE65</f>
        <v>75</v>
      </c>
      <c r="DF115">
        <f t="shared" si="226"/>
        <v>75</v>
      </c>
      <c r="DG115">
        <f t="shared" si="226"/>
        <v>75</v>
      </c>
      <c r="DH115">
        <f t="shared" si="226"/>
        <v>75</v>
      </c>
      <c r="DI115">
        <f t="shared" si="226"/>
        <v>75</v>
      </c>
      <c r="DJ115">
        <f t="shared" si="226"/>
        <v>75</v>
      </c>
      <c r="DK115">
        <f t="shared" si="226"/>
        <v>75</v>
      </c>
      <c r="DL115">
        <f t="shared" si="226"/>
        <v>75</v>
      </c>
      <c r="DM115">
        <f t="shared" si="226"/>
        <v>75</v>
      </c>
      <c r="DP115" t="s">
        <v>106</v>
      </c>
      <c r="DQ115">
        <f>DQ65</f>
        <v>100</v>
      </c>
      <c r="DR115">
        <f t="shared" ref="DR115:DZ115" si="227">DR65</f>
        <v>100</v>
      </c>
      <c r="DS115">
        <f t="shared" si="227"/>
        <v>100</v>
      </c>
      <c r="DT115">
        <f t="shared" si="227"/>
        <v>100</v>
      </c>
      <c r="DU115">
        <f t="shared" si="227"/>
        <v>100</v>
      </c>
      <c r="DV115">
        <f t="shared" si="227"/>
        <v>100</v>
      </c>
      <c r="DW115">
        <f t="shared" si="227"/>
        <v>100</v>
      </c>
      <c r="DX115">
        <f t="shared" si="227"/>
        <v>100</v>
      </c>
      <c r="DY115">
        <f t="shared" si="227"/>
        <v>100</v>
      </c>
      <c r="DZ115">
        <f t="shared" si="227"/>
        <v>100</v>
      </c>
    </row>
    <row r="117" spans="7:130" x14ac:dyDescent="0.25">
      <c r="G117" t="s">
        <v>244</v>
      </c>
      <c r="U117" t="s">
        <v>244</v>
      </c>
      <c r="AJ117" t="s">
        <v>244</v>
      </c>
      <c r="AV117" t="s">
        <v>244</v>
      </c>
      <c r="BL117" t="s">
        <v>244</v>
      </c>
      <c r="CB117" t="s">
        <v>244</v>
      </c>
      <c r="CP117" t="s">
        <v>244</v>
      </c>
      <c r="DC117" t="s">
        <v>244</v>
      </c>
      <c r="DP117" t="s">
        <v>244</v>
      </c>
    </row>
    <row r="118" spans="7:130" x14ac:dyDescent="0.25">
      <c r="G118" t="s">
        <v>150</v>
      </c>
      <c r="H118">
        <f>H71</f>
        <v>3.75</v>
      </c>
      <c r="I118">
        <f t="shared" ref="I118:Q118" si="228">I71</f>
        <v>5</v>
      </c>
      <c r="J118">
        <f t="shared" si="228"/>
        <v>7.5</v>
      </c>
      <c r="K118">
        <f t="shared" si="228"/>
        <v>10</v>
      </c>
      <c r="L118">
        <f t="shared" si="228"/>
        <v>12.5</v>
      </c>
      <c r="M118">
        <f t="shared" si="228"/>
        <v>15</v>
      </c>
      <c r="N118">
        <f t="shared" si="228"/>
        <v>17.5</v>
      </c>
      <c r="O118">
        <f t="shared" si="228"/>
        <v>20</v>
      </c>
      <c r="P118">
        <f t="shared" si="228"/>
        <v>22.5</v>
      </c>
      <c r="Q118">
        <f t="shared" si="228"/>
        <v>25</v>
      </c>
      <c r="U118" t="s">
        <v>150</v>
      </c>
      <c r="V118">
        <v>3</v>
      </c>
      <c r="W118">
        <v>5</v>
      </c>
      <c r="X118">
        <v>7.5</v>
      </c>
      <c r="Y118">
        <v>10</v>
      </c>
      <c r="Z118">
        <v>12.5</v>
      </c>
      <c r="AA118">
        <v>15</v>
      </c>
      <c r="AB118">
        <v>17.5</v>
      </c>
      <c r="AC118">
        <v>20</v>
      </c>
      <c r="AD118">
        <v>22.5</v>
      </c>
      <c r="AE118">
        <v>25</v>
      </c>
      <c r="AJ118" t="s">
        <v>150</v>
      </c>
      <c r="AK118">
        <f>AK71</f>
        <v>7.5</v>
      </c>
      <c r="AL118">
        <f t="shared" ref="AL118:AT118" si="229">AL71</f>
        <v>10</v>
      </c>
      <c r="AM118">
        <f t="shared" si="229"/>
        <v>15</v>
      </c>
      <c r="AN118">
        <f t="shared" si="229"/>
        <v>20</v>
      </c>
      <c r="AO118">
        <f t="shared" si="229"/>
        <v>16.666666666666668</v>
      </c>
      <c r="AP118">
        <f t="shared" si="229"/>
        <v>20</v>
      </c>
      <c r="AQ118">
        <f t="shared" si="229"/>
        <v>17.5</v>
      </c>
      <c r="AR118">
        <f t="shared" si="229"/>
        <v>20</v>
      </c>
      <c r="AS118">
        <f t="shared" si="229"/>
        <v>18</v>
      </c>
      <c r="AT118">
        <f t="shared" si="229"/>
        <v>20</v>
      </c>
      <c r="AV118" t="s">
        <v>150</v>
      </c>
      <c r="AW118">
        <f>AW71</f>
        <v>7.5</v>
      </c>
      <c r="AX118">
        <f t="shared" ref="AX118:BF118" si="230">AX71</f>
        <v>10</v>
      </c>
      <c r="AY118">
        <f t="shared" si="230"/>
        <v>15</v>
      </c>
      <c r="AZ118">
        <f t="shared" si="230"/>
        <v>20</v>
      </c>
      <c r="BA118">
        <f t="shared" si="230"/>
        <v>16.666666666666668</v>
      </c>
      <c r="BB118">
        <f t="shared" si="230"/>
        <v>20</v>
      </c>
      <c r="BC118">
        <f t="shared" si="230"/>
        <v>17.5</v>
      </c>
      <c r="BD118">
        <f t="shared" si="230"/>
        <v>20</v>
      </c>
      <c r="BE118">
        <f t="shared" si="230"/>
        <v>18</v>
      </c>
      <c r="BF118">
        <f t="shared" si="230"/>
        <v>20</v>
      </c>
      <c r="BL118" t="s">
        <v>150</v>
      </c>
      <c r="BM118">
        <f>BM71</f>
        <v>15</v>
      </c>
      <c r="BN118">
        <f t="shared" ref="BN118:BV118" si="231">BN71</f>
        <v>20</v>
      </c>
      <c r="BO118">
        <f t="shared" si="231"/>
        <v>20</v>
      </c>
      <c r="BP118">
        <f t="shared" si="231"/>
        <v>20</v>
      </c>
      <c r="BQ118">
        <f t="shared" si="231"/>
        <v>20</v>
      </c>
      <c r="BR118">
        <f t="shared" si="231"/>
        <v>20</v>
      </c>
      <c r="BS118">
        <f t="shared" si="231"/>
        <v>20</v>
      </c>
      <c r="BT118">
        <f t="shared" si="231"/>
        <v>20</v>
      </c>
      <c r="BU118">
        <f t="shared" si="231"/>
        <v>20</v>
      </c>
      <c r="BV118">
        <f t="shared" si="231"/>
        <v>20</v>
      </c>
      <c r="CB118" t="s">
        <v>150</v>
      </c>
      <c r="CC118">
        <f>CC71</f>
        <v>22.5</v>
      </c>
      <c r="CD118">
        <f t="shared" ref="CD118:CL118" si="232">CD71</f>
        <v>20</v>
      </c>
      <c r="CE118">
        <f t="shared" si="232"/>
        <v>18</v>
      </c>
      <c r="CF118">
        <f t="shared" si="232"/>
        <v>20</v>
      </c>
      <c r="CG118">
        <f t="shared" si="232"/>
        <v>18.75</v>
      </c>
      <c r="CH118">
        <f t="shared" si="232"/>
        <v>20</v>
      </c>
      <c r="CI118">
        <f t="shared" si="232"/>
        <v>19.09090909090909</v>
      </c>
      <c r="CJ118">
        <f t="shared" si="232"/>
        <v>20</v>
      </c>
      <c r="CK118">
        <f t="shared" si="232"/>
        <v>19.285714285714285</v>
      </c>
      <c r="CL118">
        <f t="shared" si="232"/>
        <v>20</v>
      </c>
      <c r="CP118" t="s">
        <v>150</v>
      </c>
      <c r="CQ118">
        <f>CQ71</f>
        <v>25</v>
      </c>
      <c r="CR118">
        <f t="shared" ref="CR118:CZ118" si="233">CR71</f>
        <v>20</v>
      </c>
      <c r="CS118">
        <f t="shared" si="233"/>
        <v>18.75</v>
      </c>
      <c r="CT118">
        <f t="shared" si="233"/>
        <v>20</v>
      </c>
      <c r="CU118">
        <f t="shared" si="233"/>
        <v>19.23076923076923</v>
      </c>
      <c r="CV118">
        <f t="shared" si="233"/>
        <v>20</v>
      </c>
      <c r="CW118">
        <f t="shared" si="233"/>
        <v>19.444444444444443</v>
      </c>
      <c r="CX118">
        <f t="shared" si="233"/>
        <v>20</v>
      </c>
      <c r="CY118">
        <f t="shared" si="233"/>
        <v>19.565217391304348</v>
      </c>
      <c r="CZ118">
        <f t="shared" si="233"/>
        <v>20</v>
      </c>
      <c r="DC118" t="s">
        <v>150</v>
      </c>
      <c r="DD118">
        <f>DD71</f>
        <v>22.5</v>
      </c>
      <c r="DE118">
        <f t="shared" ref="DE118:DM118" si="234">DE71</f>
        <v>18.75</v>
      </c>
      <c r="DF118">
        <f t="shared" si="234"/>
        <v>18.75</v>
      </c>
      <c r="DG118">
        <f t="shared" si="234"/>
        <v>20</v>
      </c>
      <c r="DH118">
        <f t="shared" si="234"/>
        <v>19.736842105263158</v>
      </c>
      <c r="DI118">
        <f t="shared" si="234"/>
        <v>19.565217391304348</v>
      </c>
      <c r="DJ118">
        <f t="shared" si="234"/>
        <v>19.444444444444443</v>
      </c>
      <c r="DK118">
        <f t="shared" si="234"/>
        <v>20</v>
      </c>
      <c r="DL118">
        <f t="shared" si="234"/>
        <v>19.852941176470587</v>
      </c>
      <c r="DM118">
        <f t="shared" si="234"/>
        <v>19.736842105263158</v>
      </c>
      <c r="DP118" t="s">
        <v>150</v>
      </c>
      <c r="DQ118">
        <f>DQ71</f>
        <v>25</v>
      </c>
      <c r="DR118">
        <f t="shared" ref="DR118:DZ118" si="235">DR71</f>
        <v>20</v>
      </c>
      <c r="DS118">
        <f t="shared" si="235"/>
        <v>20</v>
      </c>
      <c r="DT118">
        <f t="shared" si="235"/>
        <v>20</v>
      </c>
      <c r="DU118">
        <f t="shared" si="235"/>
        <v>20</v>
      </c>
      <c r="DV118">
        <f t="shared" si="235"/>
        <v>20</v>
      </c>
      <c r="DW118">
        <f t="shared" si="235"/>
        <v>20</v>
      </c>
      <c r="DX118">
        <f t="shared" si="235"/>
        <v>20</v>
      </c>
      <c r="DY118">
        <f t="shared" si="235"/>
        <v>20</v>
      </c>
      <c r="DZ118">
        <f t="shared" si="235"/>
        <v>20</v>
      </c>
    </row>
    <row r="119" spans="7:130" x14ac:dyDescent="0.25">
      <c r="G119" t="s">
        <v>116</v>
      </c>
      <c r="H119">
        <v>5</v>
      </c>
      <c r="I119">
        <v>5</v>
      </c>
      <c r="J119">
        <v>5</v>
      </c>
      <c r="K119">
        <v>5</v>
      </c>
      <c r="L119">
        <v>5</v>
      </c>
      <c r="M119">
        <v>5</v>
      </c>
      <c r="N119">
        <v>5</v>
      </c>
      <c r="O119">
        <v>5</v>
      </c>
      <c r="P119">
        <v>5</v>
      </c>
      <c r="Q119">
        <v>5</v>
      </c>
      <c r="U119" t="s">
        <v>116</v>
      </c>
      <c r="V119">
        <v>5</v>
      </c>
      <c r="W119">
        <v>5</v>
      </c>
      <c r="X119">
        <v>5</v>
      </c>
      <c r="Y119">
        <v>5</v>
      </c>
      <c r="Z119">
        <v>5</v>
      </c>
      <c r="AA119">
        <v>5</v>
      </c>
      <c r="AB119">
        <v>5</v>
      </c>
      <c r="AC119">
        <v>5</v>
      </c>
      <c r="AD119">
        <v>5</v>
      </c>
      <c r="AE119">
        <v>5</v>
      </c>
      <c r="AJ119" t="s">
        <v>116</v>
      </c>
      <c r="AK119">
        <f>(AK69-1)*2.5</f>
        <v>5</v>
      </c>
      <c r="AL119">
        <f t="shared" ref="AL119:AS119" si="236">(AL69-1)*2.5</f>
        <v>5</v>
      </c>
      <c r="AM119">
        <f t="shared" si="236"/>
        <v>5</v>
      </c>
      <c r="AN119">
        <f t="shared" si="236"/>
        <v>5</v>
      </c>
      <c r="AO119">
        <f t="shared" si="236"/>
        <v>7.5</v>
      </c>
      <c r="AP119">
        <f t="shared" si="236"/>
        <v>7.5</v>
      </c>
      <c r="AQ119">
        <f t="shared" si="236"/>
        <v>10</v>
      </c>
      <c r="AR119">
        <f t="shared" si="236"/>
        <v>10</v>
      </c>
      <c r="AS119">
        <f t="shared" si="236"/>
        <v>12.5</v>
      </c>
      <c r="AT119">
        <f>(AT69-1)*2.5</f>
        <v>12.5</v>
      </c>
      <c r="AV119" t="s">
        <v>116</v>
      </c>
      <c r="AW119">
        <f>(AW69-1)*2.5</f>
        <v>5</v>
      </c>
      <c r="AX119">
        <f t="shared" ref="AX119:BE119" si="237">(AX69-1)*2.5</f>
        <v>5</v>
      </c>
      <c r="AY119">
        <f t="shared" si="237"/>
        <v>5</v>
      </c>
      <c r="AZ119">
        <f t="shared" si="237"/>
        <v>5</v>
      </c>
      <c r="BA119">
        <f t="shared" si="237"/>
        <v>7.5</v>
      </c>
      <c r="BB119">
        <f t="shared" si="237"/>
        <v>7.5</v>
      </c>
      <c r="BC119">
        <f t="shared" si="237"/>
        <v>10</v>
      </c>
      <c r="BD119">
        <f t="shared" si="237"/>
        <v>10</v>
      </c>
      <c r="BE119">
        <f t="shared" si="237"/>
        <v>12.5</v>
      </c>
      <c r="BF119">
        <f>(BF69-1)*2.5</f>
        <v>12.5</v>
      </c>
      <c r="BL119" t="s">
        <v>116</v>
      </c>
      <c r="BM119">
        <f>(BM69-1)*2.5</f>
        <v>5</v>
      </c>
      <c r="BN119">
        <f t="shared" ref="BN119:BU119" si="238">(BN69-1)*2.5</f>
        <v>5</v>
      </c>
      <c r="BO119">
        <f t="shared" si="238"/>
        <v>7.5</v>
      </c>
      <c r="BP119">
        <f t="shared" si="238"/>
        <v>10</v>
      </c>
      <c r="BQ119">
        <f t="shared" si="238"/>
        <v>12.5</v>
      </c>
      <c r="BR119">
        <f t="shared" si="238"/>
        <v>15</v>
      </c>
      <c r="BS119">
        <f t="shared" si="238"/>
        <v>17.5</v>
      </c>
      <c r="BT119">
        <f t="shared" si="238"/>
        <v>20</v>
      </c>
      <c r="BU119">
        <f t="shared" si="238"/>
        <v>22.5</v>
      </c>
      <c r="BV119">
        <f>(BV69-1)*2.5</f>
        <v>25</v>
      </c>
      <c r="CB119" t="s">
        <v>116</v>
      </c>
      <c r="CC119">
        <f>(CC69-1)*2.5</f>
        <v>5</v>
      </c>
      <c r="CD119">
        <f t="shared" ref="CD119:CK119" si="239">(CD69-1)*2.5</f>
        <v>7.5</v>
      </c>
      <c r="CE119">
        <f t="shared" si="239"/>
        <v>12.5</v>
      </c>
      <c r="CF119">
        <f t="shared" si="239"/>
        <v>15</v>
      </c>
      <c r="CG119">
        <f t="shared" si="239"/>
        <v>20</v>
      </c>
      <c r="CH119">
        <f t="shared" si="239"/>
        <v>22.5</v>
      </c>
      <c r="CI119">
        <f t="shared" si="239"/>
        <v>27.5</v>
      </c>
      <c r="CJ119">
        <f t="shared" si="239"/>
        <v>30</v>
      </c>
      <c r="CK119">
        <f t="shared" si="239"/>
        <v>35</v>
      </c>
      <c r="CL119">
        <f>(CL69-1)*2.5</f>
        <v>37.5</v>
      </c>
      <c r="CP119" t="s">
        <v>116</v>
      </c>
      <c r="CQ119">
        <f>(CQ69-1)*2.5</f>
        <v>7.5</v>
      </c>
      <c r="CR119">
        <f t="shared" ref="CR119:CY119" si="240">(CR69-1)*2.5</f>
        <v>12.5</v>
      </c>
      <c r="CS119">
        <f t="shared" si="240"/>
        <v>20</v>
      </c>
      <c r="CT119">
        <f t="shared" si="240"/>
        <v>25</v>
      </c>
      <c r="CU119">
        <f t="shared" si="240"/>
        <v>32.5</v>
      </c>
      <c r="CV119">
        <f t="shared" si="240"/>
        <v>37.5</v>
      </c>
      <c r="CW119">
        <f t="shared" si="240"/>
        <v>45</v>
      </c>
      <c r="CX119">
        <f t="shared" si="240"/>
        <v>50</v>
      </c>
      <c r="CY119">
        <f t="shared" si="240"/>
        <v>57.5</v>
      </c>
      <c r="CZ119">
        <f>(CZ69-1)*2.5</f>
        <v>62.5</v>
      </c>
      <c r="DC119" t="s">
        <v>116</v>
      </c>
      <c r="DD119">
        <f>(DD69-1)*2.5</f>
        <v>12.5</v>
      </c>
      <c r="DE119">
        <f t="shared" ref="DE119:DL119" si="241">(DE69-1)*2.5</f>
        <v>20</v>
      </c>
      <c r="DF119">
        <f t="shared" si="241"/>
        <v>30</v>
      </c>
      <c r="DG119">
        <f t="shared" si="241"/>
        <v>37.5</v>
      </c>
      <c r="DH119">
        <f t="shared" si="241"/>
        <v>47.5</v>
      </c>
      <c r="DI119">
        <f t="shared" si="241"/>
        <v>57.5</v>
      </c>
      <c r="DJ119">
        <f t="shared" si="241"/>
        <v>67.5</v>
      </c>
      <c r="DK119">
        <f t="shared" si="241"/>
        <v>75</v>
      </c>
      <c r="DL119">
        <f t="shared" si="241"/>
        <v>85</v>
      </c>
      <c r="DM119">
        <f>(DM69-1)*2.5</f>
        <v>95</v>
      </c>
      <c r="DP119" t="s">
        <v>116</v>
      </c>
      <c r="DQ119">
        <f>(DQ69-1)*2.5</f>
        <v>15</v>
      </c>
      <c r="DR119">
        <f t="shared" ref="DR119:DY119" si="242">(DR69-1)*2.5</f>
        <v>25</v>
      </c>
      <c r="DS119">
        <f t="shared" si="242"/>
        <v>37.5</v>
      </c>
      <c r="DT119">
        <f t="shared" si="242"/>
        <v>50</v>
      </c>
      <c r="DU119">
        <f t="shared" si="242"/>
        <v>62.5</v>
      </c>
      <c r="DV119">
        <f t="shared" si="242"/>
        <v>75</v>
      </c>
      <c r="DW119">
        <f t="shared" si="242"/>
        <v>87.5</v>
      </c>
      <c r="DX119">
        <f t="shared" si="242"/>
        <v>100</v>
      </c>
      <c r="DY119">
        <f t="shared" si="242"/>
        <v>112.5</v>
      </c>
      <c r="DZ119">
        <f>(DZ69-1)*2.5</f>
        <v>125</v>
      </c>
    </row>
    <row r="120" spans="7:130" x14ac:dyDescent="0.25">
      <c r="G120" t="s">
        <v>24</v>
      </c>
      <c r="U120" t="s">
        <v>24</v>
      </c>
      <c r="AJ120" t="s">
        <v>24</v>
      </c>
      <c r="AV120" t="s">
        <v>24</v>
      </c>
      <c r="BL120" t="s">
        <v>24</v>
      </c>
      <c r="CB120" t="s">
        <v>24</v>
      </c>
      <c r="CP120" t="s">
        <v>24</v>
      </c>
      <c r="DC120" t="s">
        <v>24</v>
      </c>
      <c r="DP120" t="s">
        <v>24</v>
      </c>
    </row>
    <row r="121" spans="7:130" x14ac:dyDescent="0.25">
      <c r="G121" t="s">
        <v>245</v>
      </c>
      <c r="H121">
        <v>2.5</v>
      </c>
      <c r="I121">
        <v>2.5</v>
      </c>
      <c r="J121">
        <v>2.5</v>
      </c>
      <c r="K121">
        <v>2.5</v>
      </c>
      <c r="L121">
        <v>2.5</v>
      </c>
      <c r="M121">
        <v>2.5</v>
      </c>
      <c r="N121">
        <v>2.5</v>
      </c>
      <c r="O121">
        <v>2.5</v>
      </c>
      <c r="P121">
        <v>2.5</v>
      </c>
      <c r="Q121">
        <v>2.5</v>
      </c>
      <c r="U121" t="s">
        <v>245</v>
      </c>
      <c r="V121">
        <v>3.1</v>
      </c>
      <c r="W121">
        <v>3.1</v>
      </c>
      <c r="X121">
        <v>3.1</v>
      </c>
      <c r="Y121">
        <v>3.1</v>
      </c>
      <c r="Z121">
        <v>3.1</v>
      </c>
      <c r="AA121">
        <v>3.1</v>
      </c>
      <c r="AB121">
        <v>3.1</v>
      </c>
      <c r="AC121">
        <v>3.1</v>
      </c>
      <c r="AD121">
        <v>3.1</v>
      </c>
      <c r="AE121">
        <v>3.1</v>
      </c>
      <c r="AJ121" t="s">
        <v>245</v>
      </c>
      <c r="AK121">
        <v>2.5</v>
      </c>
      <c r="AL121">
        <v>2.5</v>
      </c>
      <c r="AM121">
        <v>2.5</v>
      </c>
      <c r="AN121">
        <v>2.5</v>
      </c>
      <c r="AO121">
        <v>2.5</v>
      </c>
      <c r="AP121">
        <v>2.5</v>
      </c>
      <c r="AQ121">
        <v>2.5</v>
      </c>
      <c r="AR121">
        <v>2.5</v>
      </c>
      <c r="AS121">
        <v>2.5</v>
      </c>
      <c r="AT121">
        <v>2.5</v>
      </c>
      <c r="AV121" t="s">
        <v>245</v>
      </c>
      <c r="AW121">
        <f>(BH12+BH18*2)/1000</f>
        <v>4.5</v>
      </c>
      <c r="AX121">
        <f>AW121</f>
        <v>4.5</v>
      </c>
      <c r="AY121">
        <f t="shared" ref="AY121:BF121" si="243">AX121</f>
        <v>4.5</v>
      </c>
      <c r="AZ121">
        <f t="shared" si="243"/>
        <v>4.5</v>
      </c>
      <c r="BA121">
        <f t="shared" si="243"/>
        <v>4.5</v>
      </c>
      <c r="BB121">
        <f t="shared" si="243"/>
        <v>4.5</v>
      </c>
      <c r="BC121">
        <f t="shared" si="243"/>
        <v>4.5</v>
      </c>
      <c r="BD121">
        <f t="shared" si="243"/>
        <v>4.5</v>
      </c>
      <c r="BE121">
        <f t="shared" si="243"/>
        <v>4.5</v>
      </c>
      <c r="BF121">
        <f t="shared" si="243"/>
        <v>4.5</v>
      </c>
      <c r="BL121" t="s">
        <v>245</v>
      </c>
      <c r="BM121">
        <f>(BW12+BW18*2)/1000</f>
        <v>4.875</v>
      </c>
      <c r="BN121">
        <f>BM121</f>
        <v>4.875</v>
      </c>
      <c r="BO121">
        <f t="shared" ref="BO121:BV121" si="244">BN121</f>
        <v>4.875</v>
      </c>
      <c r="BP121">
        <f t="shared" si="244"/>
        <v>4.875</v>
      </c>
      <c r="BQ121">
        <f t="shared" si="244"/>
        <v>4.875</v>
      </c>
      <c r="BR121">
        <f t="shared" si="244"/>
        <v>4.875</v>
      </c>
      <c r="BS121">
        <f t="shared" si="244"/>
        <v>4.875</v>
      </c>
      <c r="BT121">
        <f t="shared" si="244"/>
        <v>4.875</v>
      </c>
      <c r="BU121">
        <f t="shared" si="244"/>
        <v>4.875</v>
      </c>
      <c r="BV121">
        <f t="shared" si="244"/>
        <v>4.875</v>
      </c>
      <c r="CB121" t="s">
        <v>245</v>
      </c>
      <c r="CC121">
        <f>(CM8+CM10*2)/1000</f>
        <v>3.96</v>
      </c>
      <c r="CD121">
        <f>CC121</f>
        <v>3.96</v>
      </c>
      <c r="CE121">
        <f t="shared" ref="CE121:CL121" si="245">CD121</f>
        <v>3.96</v>
      </c>
      <c r="CF121">
        <f t="shared" si="245"/>
        <v>3.96</v>
      </c>
      <c r="CG121">
        <f t="shared" si="245"/>
        <v>3.96</v>
      </c>
      <c r="CH121">
        <f t="shared" si="245"/>
        <v>3.96</v>
      </c>
      <c r="CI121">
        <f t="shared" si="245"/>
        <v>3.96</v>
      </c>
      <c r="CJ121">
        <f t="shared" si="245"/>
        <v>3.96</v>
      </c>
      <c r="CK121">
        <f t="shared" si="245"/>
        <v>3.96</v>
      </c>
      <c r="CL121">
        <f t="shared" si="245"/>
        <v>3.96</v>
      </c>
      <c r="CP121" t="s">
        <v>245</v>
      </c>
      <c r="CQ121">
        <f>(CZ6+CZ9*2)/1000</f>
        <v>5.35</v>
      </c>
      <c r="CR121">
        <f>CQ121</f>
        <v>5.35</v>
      </c>
      <c r="CS121">
        <f t="shared" ref="CS121:CZ121" si="246">CR121</f>
        <v>5.35</v>
      </c>
      <c r="CT121">
        <f t="shared" si="246"/>
        <v>5.35</v>
      </c>
      <c r="CU121">
        <f t="shared" si="246"/>
        <v>5.35</v>
      </c>
      <c r="CV121">
        <f t="shared" si="246"/>
        <v>5.35</v>
      </c>
      <c r="CW121">
        <f t="shared" si="246"/>
        <v>5.35</v>
      </c>
      <c r="CX121">
        <f t="shared" si="246"/>
        <v>5.35</v>
      </c>
      <c r="CY121">
        <f t="shared" si="246"/>
        <v>5.35</v>
      </c>
      <c r="CZ121">
        <f t="shared" si="246"/>
        <v>5.35</v>
      </c>
      <c r="DC121" t="s">
        <v>245</v>
      </c>
      <c r="DD121">
        <f>(DM6+DM9*2)/1000</f>
        <v>6.38</v>
      </c>
      <c r="DE121">
        <f>DD121</f>
        <v>6.38</v>
      </c>
      <c r="DF121">
        <f t="shared" ref="DF121:DM121" si="247">DE121</f>
        <v>6.38</v>
      </c>
      <c r="DG121">
        <f t="shared" si="247"/>
        <v>6.38</v>
      </c>
      <c r="DH121">
        <f t="shared" si="247"/>
        <v>6.38</v>
      </c>
      <c r="DI121">
        <f t="shared" si="247"/>
        <v>6.38</v>
      </c>
      <c r="DJ121">
        <f t="shared" si="247"/>
        <v>6.38</v>
      </c>
      <c r="DK121">
        <f t="shared" si="247"/>
        <v>6.38</v>
      </c>
      <c r="DL121">
        <f t="shared" si="247"/>
        <v>6.38</v>
      </c>
      <c r="DM121">
        <f t="shared" si="247"/>
        <v>6.38</v>
      </c>
      <c r="DP121" t="s">
        <v>245</v>
      </c>
      <c r="DQ121">
        <f>(DZ6+DZ9*2)/1000</f>
        <v>5.673</v>
      </c>
      <c r="DR121">
        <f>DQ121</f>
        <v>5.673</v>
      </c>
      <c r="DS121">
        <f t="shared" ref="DS121:DZ121" si="248">DR121</f>
        <v>5.673</v>
      </c>
      <c r="DT121">
        <f t="shared" si="248"/>
        <v>5.673</v>
      </c>
      <c r="DU121">
        <f t="shared" si="248"/>
        <v>5.673</v>
      </c>
      <c r="DV121">
        <f t="shared" si="248"/>
        <v>5.673</v>
      </c>
      <c r="DW121">
        <f t="shared" si="248"/>
        <v>5.673</v>
      </c>
      <c r="DX121">
        <f t="shared" si="248"/>
        <v>5.673</v>
      </c>
      <c r="DY121">
        <f t="shared" si="248"/>
        <v>5.673</v>
      </c>
      <c r="DZ121">
        <f t="shared" si="248"/>
        <v>5.673</v>
      </c>
    </row>
    <row r="123" spans="7:130" x14ac:dyDescent="0.25">
      <c r="G123" t="s">
        <v>247</v>
      </c>
      <c r="R123" t="s">
        <v>248</v>
      </c>
      <c r="U123" t="s">
        <v>247</v>
      </c>
      <c r="AJ123" t="s">
        <v>247</v>
      </c>
      <c r="AV123" t="s">
        <v>247</v>
      </c>
      <c r="BL123" t="s">
        <v>247</v>
      </c>
      <c r="CB123" t="s">
        <v>247</v>
      </c>
      <c r="CP123" t="s">
        <v>247</v>
      </c>
      <c r="DC123" t="s">
        <v>247</v>
      </c>
      <c r="DP123" t="s">
        <v>247</v>
      </c>
    </row>
    <row r="124" spans="7:130" x14ac:dyDescent="0.25">
      <c r="G124" t="s">
        <v>150</v>
      </c>
      <c r="H124">
        <v>1</v>
      </c>
      <c r="I124">
        <v>1</v>
      </c>
      <c r="J124">
        <v>1</v>
      </c>
      <c r="K124">
        <v>1</v>
      </c>
      <c r="L124">
        <v>1</v>
      </c>
      <c r="M124">
        <v>1</v>
      </c>
      <c r="N124">
        <v>1</v>
      </c>
      <c r="O124">
        <v>1</v>
      </c>
      <c r="P124">
        <v>1</v>
      </c>
      <c r="Q124">
        <v>1</v>
      </c>
      <c r="R124" t="s">
        <v>249</v>
      </c>
      <c r="U124" t="s">
        <v>150</v>
      </c>
      <c r="V124">
        <v>1</v>
      </c>
      <c r="W124">
        <v>1</v>
      </c>
      <c r="X124">
        <v>1</v>
      </c>
      <c r="Y124">
        <v>1</v>
      </c>
      <c r="Z124">
        <v>1</v>
      </c>
      <c r="AA124">
        <v>1</v>
      </c>
      <c r="AB124">
        <v>1</v>
      </c>
      <c r="AC124">
        <v>1</v>
      </c>
      <c r="AD124">
        <v>1</v>
      </c>
      <c r="AE124">
        <v>1</v>
      </c>
      <c r="AJ124" t="s">
        <v>150</v>
      </c>
      <c r="AK124">
        <v>1</v>
      </c>
      <c r="AL124">
        <v>1</v>
      </c>
      <c r="AM124">
        <v>1</v>
      </c>
      <c r="AN124">
        <v>1</v>
      </c>
      <c r="AO124">
        <v>1</v>
      </c>
      <c r="AP124">
        <v>1</v>
      </c>
      <c r="AQ124">
        <v>1</v>
      </c>
      <c r="AR124">
        <v>1</v>
      </c>
      <c r="AS124">
        <v>1</v>
      </c>
      <c r="AT124">
        <v>1</v>
      </c>
      <c r="AV124" t="s">
        <v>150</v>
      </c>
      <c r="AW124">
        <v>1</v>
      </c>
      <c r="AX124">
        <v>1</v>
      </c>
      <c r="AY124">
        <v>1</v>
      </c>
      <c r="AZ124">
        <v>1</v>
      </c>
      <c r="BA124">
        <v>1</v>
      </c>
      <c r="BB124">
        <v>1</v>
      </c>
      <c r="BC124">
        <v>1</v>
      </c>
      <c r="BD124">
        <v>1</v>
      </c>
      <c r="BE124">
        <v>1</v>
      </c>
      <c r="BF124">
        <v>1</v>
      </c>
      <c r="BL124" t="s">
        <v>150</v>
      </c>
      <c r="BM124">
        <v>1</v>
      </c>
      <c r="BN124">
        <v>1</v>
      </c>
      <c r="BO124">
        <v>1</v>
      </c>
      <c r="BP124">
        <v>1</v>
      </c>
      <c r="BQ124">
        <v>1</v>
      </c>
      <c r="BR124">
        <v>1</v>
      </c>
      <c r="BS124">
        <v>1</v>
      </c>
      <c r="BT124">
        <v>1</v>
      </c>
      <c r="BU124">
        <v>1</v>
      </c>
      <c r="BV124">
        <v>1</v>
      </c>
      <c r="CB124" t="s">
        <v>150</v>
      </c>
      <c r="CC124">
        <v>1</v>
      </c>
      <c r="CD124">
        <v>1</v>
      </c>
      <c r="CE124">
        <v>1</v>
      </c>
      <c r="CF124">
        <v>1</v>
      </c>
      <c r="CG124">
        <v>1</v>
      </c>
      <c r="CH124">
        <v>1</v>
      </c>
      <c r="CI124">
        <v>1</v>
      </c>
      <c r="CJ124">
        <v>1</v>
      </c>
      <c r="CK124">
        <v>1</v>
      </c>
      <c r="CL124">
        <v>1</v>
      </c>
      <c r="CP124" t="s">
        <v>150</v>
      </c>
      <c r="CQ124">
        <v>1</v>
      </c>
      <c r="CR124">
        <v>1</v>
      </c>
      <c r="CS124">
        <v>1</v>
      </c>
      <c r="CT124">
        <v>1</v>
      </c>
      <c r="CU124">
        <v>1</v>
      </c>
      <c r="CV124">
        <v>1</v>
      </c>
      <c r="CW124">
        <v>1</v>
      </c>
      <c r="CX124">
        <v>1</v>
      </c>
      <c r="CY124">
        <v>1</v>
      </c>
      <c r="CZ124">
        <v>1</v>
      </c>
      <c r="DC124" t="s">
        <v>150</v>
      </c>
      <c r="DD124">
        <v>1</v>
      </c>
      <c r="DE124">
        <v>1</v>
      </c>
      <c r="DF124">
        <v>1</v>
      </c>
      <c r="DG124">
        <v>1</v>
      </c>
      <c r="DH124">
        <v>1</v>
      </c>
      <c r="DI124">
        <v>1</v>
      </c>
      <c r="DJ124">
        <v>1</v>
      </c>
      <c r="DK124">
        <v>1</v>
      </c>
      <c r="DL124">
        <v>1</v>
      </c>
      <c r="DM124">
        <v>1</v>
      </c>
      <c r="DP124" t="s">
        <v>150</v>
      </c>
      <c r="DQ124">
        <v>1</v>
      </c>
      <c r="DR124">
        <v>1</v>
      </c>
      <c r="DS124">
        <v>1</v>
      </c>
      <c r="DT124">
        <v>1</v>
      </c>
      <c r="DU124">
        <v>1</v>
      </c>
      <c r="DV124">
        <v>1</v>
      </c>
      <c r="DW124">
        <v>1</v>
      </c>
      <c r="DX124">
        <v>1</v>
      </c>
      <c r="DY124">
        <v>1</v>
      </c>
      <c r="DZ124">
        <v>1</v>
      </c>
    </row>
    <row r="126" spans="7:130" x14ac:dyDescent="0.25">
      <c r="G126" t="s">
        <v>125</v>
      </c>
      <c r="U126" t="s">
        <v>125</v>
      </c>
      <c r="AJ126" t="s">
        <v>125</v>
      </c>
      <c r="AV126" t="s">
        <v>125</v>
      </c>
      <c r="BL126" t="s">
        <v>125</v>
      </c>
      <c r="CB126" t="s">
        <v>125</v>
      </c>
      <c r="CP126" t="s">
        <v>125</v>
      </c>
      <c r="DC126" t="s">
        <v>125</v>
      </c>
      <c r="DP126" t="s">
        <v>125</v>
      </c>
    </row>
    <row r="127" spans="7:130" x14ac:dyDescent="0.25">
      <c r="G127" t="s">
        <v>245</v>
      </c>
      <c r="H127">
        <f>H124+H121+H118</f>
        <v>7.25</v>
      </c>
      <c r="I127">
        <f t="shared" ref="I127:Q127" si="249">I124+I121+I118</f>
        <v>8.5</v>
      </c>
      <c r="J127">
        <f t="shared" si="249"/>
        <v>11</v>
      </c>
      <c r="K127">
        <f t="shared" si="249"/>
        <v>13.5</v>
      </c>
      <c r="L127">
        <f t="shared" si="249"/>
        <v>16</v>
      </c>
      <c r="M127">
        <f t="shared" si="249"/>
        <v>18.5</v>
      </c>
      <c r="N127">
        <f t="shared" si="249"/>
        <v>21</v>
      </c>
      <c r="O127">
        <f t="shared" si="249"/>
        <v>23.5</v>
      </c>
      <c r="P127">
        <f t="shared" si="249"/>
        <v>26</v>
      </c>
      <c r="Q127">
        <f t="shared" si="249"/>
        <v>28.5</v>
      </c>
      <c r="U127" t="s">
        <v>245</v>
      </c>
      <c r="V127">
        <f>V124+V121+V118</f>
        <v>7.1</v>
      </c>
      <c r="W127">
        <f t="shared" ref="W127:AE127" si="250">W124+W121+W118</f>
        <v>9.1</v>
      </c>
      <c r="X127">
        <f t="shared" si="250"/>
        <v>11.6</v>
      </c>
      <c r="Y127">
        <f t="shared" si="250"/>
        <v>14.1</v>
      </c>
      <c r="Z127">
        <f t="shared" si="250"/>
        <v>16.600000000000001</v>
      </c>
      <c r="AA127">
        <f t="shared" si="250"/>
        <v>19.100000000000001</v>
      </c>
      <c r="AB127">
        <f t="shared" si="250"/>
        <v>21.6</v>
      </c>
      <c r="AC127">
        <f t="shared" si="250"/>
        <v>24.1</v>
      </c>
      <c r="AD127">
        <f t="shared" si="250"/>
        <v>26.6</v>
      </c>
      <c r="AE127">
        <f t="shared" si="250"/>
        <v>29.1</v>
      </c>
      <c r="AJ127" t="s">
        <v>245</v>
      </c>
      <c r="AK127">
        <f>AK124+AK121+AK118</f>
        <v>11</v>
      </c>
      <c r="AL127">
        <f t="shared" ref="AL127:AT127" si="251">AL124+AL121+AL118</f>
        <v>13.5</v>
      </c>
      <c r="AM127">
        <f t="shared" si="251"/>
        <v>18.5</v>
      </c>
      <c r="AN127">
        <f t="shared" si="251"/>
        <v>23.5</v>
      </c>
      <c r="AO127">
        <f t="shared" si="251"/>
        <v>20.166666666666668</v>
      </c>
      <c r="AP127">
        <f t="shared" si="251"/>
        <v>23.5</v>
      </c>
      <c r="AQ127">
        <f t="shared" si="251"/>
        <v>21</v>
      </c>
      <c r="AR127">
        <f t="shared" si="251"/>
        <v>23.5</v>
      </c>
      <c r="AS127">
        <f t="shared" si="251"/>
        <v>21.5</v>
      </c>
      <c r="AT127">
        <f t="shared" si="251"/>
        <v>23.5</v>
      </c>
      <c r="AV127" t="s">
        <v>245</v>
      </c>
      <c r="AW127">
        <f>AW124+AW121+AW118</f>
        <v>13</v>
      </c>
      <c r="AX127">
        <f t="shared" ref="AX127:BF127" si="252">AX124+AX121+AX118</f>
        <v>15.5</v>
      </c>
      <c r="AY127">
        <f t="shared" si="252"/>
        <v>20.5</v>
      </c>
      <c r="AZ127">
        <f t="shared" si="252"/>
        <v>25.5</v>
      </c>
      <c r="BA127">
        <f t="shared" si="252"/>
        <v>22.166666666666668</v>
      </c>
      <c r="BB127">
        <f t="shared" si="252"/>
        <v>25.5</v>
      </c>
      <c r="BC127">
        <f t="shared" si="252"/>
        <v>23</v>
      </c>
      <c r="BD127">
        <f t="shared" si="252"/>
        <v>25.5</v>
      </c>
      <c r="BE127">
        <f t="shared" si="252"/>
        <v>23.5</v>
      </c>
      <c r="BF127">
        <f t="shared" si="252"/>
        <v>25.5</v>
      </c>
      <c r="BL127" t="s">
        <v>245</v>
      </c>
      <c r="BM127">
        <f>BM124+BM121+BM118</f>
        <v>20.875</v>
      </c>
      <c r="BN127">
        <f t="shared" ref="BN127:BV127" si="253">BN124+BN121+BN118</f>
        <v>25.875</v>
      </c>
      <c r="BO127">
        <f t="shared" si="253"/>
        <v>25.875</v>
      </c>
      <c r="BP127">
        <f t="shared" si="253"/>
        <v>25.875</v>
      </c>
      <c r="BQ127">
        <f t="shared" si="253"/>
        <v>25.875</v>
      </c>
      <c r="BR127">
        <f t="shared" si="253"/>
        <v>25.875</v>
      </c>
      <c r="BS127">
        <f t="shared" si="253"/>
        <v>25.875</v>
      </c>
      <c r="BT127">
        <f t="shared" si="253"/>
        <v>25.875</v>
      </c>
      <c r="BU127">
        <f t="shared" si="253"/>
        <v>25.875</v>
      </c>
      <c r="BV127">
        <f t="shared" si="253"/>
        <v>25.875</v>
      </c>
      <c r="CB127" t="s">
        <v>245</v>
      </c>
      <c r="CC127">
        <f>CC124+CC121+CC118</f>
        <v>27.46</v>
      </c>
      <c r="CD127">
        <f t="shared" ref="CD127:CL127" si="254">CD124+CD121+CD118</f>
        <v>24.96</v>
      </c>
      <c r="CE127">
        <f t="shared" si="254"/>
        <v>22.96</v>
      </c>
      <c r="CF127">
        <f t="shared" si="254"/>
        <v>24.96</v>
      </c>
      <c r="CG127">
        <f t="shared" si="254"/>
        <v>23.71</v>
      </c>
      <c r="CH127">
        <f t="shared" si="254"/>
        <v>24.96</v>
      </c>
      <c r="CI127">
        <f t="shared" si="254"/>
        <v>24.050909090909091</v>
      </c>
      <c r="CJ127">
        <f t="shared" si="254"/>
        <v>24.96</v>
      </c>
      <c r="CK127">
        <f t="shared" si="254"/>
        <v>24.245714285714286</v>
      </c>
      <c r="CL127">
        <f t="shared" si="254"/>
        <v>24.96</v>
      </c>
      <c r="CP127" t="s">
        <v>245</v>
      </c>
      <c r="CQ127">
        <f>CQ124+CQ121+CQ118</f>
        <v>31.35</v>
      </c>
      <c r="CR127">
        <f t="shared" ref="CR127:CZ127" si="255">CR124+CR121+CR118</f>
        <v>26.35</v>
      </c>
      <c r="CS127">
        <f t="shared" si="255"/>
        <v>25.1</v>
      </c>
      <c r="CT127">
        <f t="shared" si="255"/>
        <v>26.35</v>
      </c>
      <c r="CU127">
        <f t="shared" si="255"/>
        <v>25.580769230769228</v>
      </c>
      <c r="CV127">
        <f t="shared" si="255"/>
        <v>26.35</v>
      </c>
      <c r="CW127">
        <f t="shared" si="255"/>
        <v>25.794444444444444</v>
      </c>
      <c r="CX127">
        <f t="shared" si="255"/>
        <v>26.35</v>
      </c>
      <c r="CY127">
        <f t="shared" si="255"/>
        <v>25.915217391304346</v>
      </c>
      <c r="CZ127">
        <f t="shared" si="255"/>
        <v>26.35</v>
      </c>
      <c r="DC127" t="s">
        <v>245</v>
      </c>
      <c r="DD127">
        <f>DD124+DD121+DD118</f>
        <v>29.88</v>
      </c>
      <c r="DE127">
        <f t="shared" ref="DE127:DM127" si="256">DE124+DE121+DE118</f>
        <v>26.13</v>
      </c>
      <c r="DF127">
        <f t="shared" si="256"/>
        <v>26.13</v>
      </c>
      <c r="DG127">
        <f t="shared" si="256"/>
        <v>27.38</v>
      </c>
      <c r="DH127">
        <f t="shared" si="256"/>
        <v>27.116842105263157</v>
      </c>
      <c r="DI127">
        <f t="shared" si="256"/>
        <v>26.945217391304347</v>
      </c>
      <c r="DJ127">
        <f t="shared" si="256"/>
        <v>26.824444444444442</v>
      </c>
      <c r="DK127">
        <f t="shared" si="256"/>
        <v>27.38</v>
      </c>
      <c r="DL127">
        <f t="shared" si="256"/>
        <v>27.232941176470586</v>
      </c>
      <c r="DM127">
        <f t="shared" si="256"/>
        <v>27.116842105263157</v>
      </c>
      <c r="DP127" t="s">
        <v>245</v>
      </c>
      <c r="DQ127">
        <f>DQ124+DQ121+DQ118</f>
        <v>31.673000000000002</v>
      </c>
      <c r="DR127">
        <f t="shared" ref="DR127:DZ127" si="257">DR124+DR121+DR118</f>
        <v>26.673000000000002</v>
      </c>
      <c r="DS127">
        <f t="shared" si="257"/>
        <v>26.673000000000002</v>
      </c>
      <c r="DT127">
        <f t="shared" si="257"/>
        <v>26.673000000000002</v>
      </c>
      <c r="DU127">
        <f t="shared" si="257"/>
        <v>26.673000000000002</v>
      </c>
      <c r="DV127">
        <f t="shared" si="257"/>
        <v>26.673000000000002</v>
      </c>
      <c r="DW127">
        <f t="shared" si="257"/>
        <v>26.673000000000002</v>
      </c>
      <c r="DX127">
        <f t="shared" si="257"/>
        <v>26.673000000000002</v>
      </c>
      <c r="DY127">
        <f t="shared" si="257"/>
        <v>26.673000000000002</v>
      </c>
      <c r="DZ127">
        <f t="shared" si="257"/>
        <v>26.673000000000002</v>
      </c>
    </row>
    <row r="128" spans="7:130" x14ac:dyDescent="0.25">
      <c r="G128" t="s">
        <v>116</v>
      </c>
      <c r="H128">
        <f>H119</f>
        <v>5</v>
      </c>
      <c r="I128">
        <f t="shared" ref="I128:Q128" si="258">I119</f>
        <v>5</v>
      </c>
      <c r="J128">
        <f t="shared" si="258"/>
        <v>5</v>
      </c>
      <c r="K128">
        <f t="shared" si="258"/>
        <v>5</v>
      </c>
      <c r="L128">
        <f t="shared" si="258"/>
        <v>5</v>
      </c>
      <c r="M128">
        <f t="shared" si="258"/>
        <v>5</v>
      </c>
      <c r="N128">
        <f t="shared" si="258"/>
        <v>5</v>
      </c>
      <c r="O128">
        <f t="shared" si="258"/>
        <v>5</v>
      </c>
      <c r="P128">
        <f t="shared" si="258"/>
        <v>5</v>
      </c>
      <c r="Q128">
        <f t="shared" si="258"/>
        <v>5</v>
      </c>
      <c r="U128" t="s">
        <v>116</v>
      </c>
      <c r="V128">
        <f>V119</f>
        <v>5</v>
      </c>
      <c r="W128">
        <f t="shared" ref="W128:AE128" si="259">W119</f>
        <v>5</v>
      </c>
      <c r="X128">
        <f t="shared" si="259"/>
        <v>5</v>
      </c>
      <c r="Y128">
        <f t="shared" si="259"/>
        <v>5</v>
      </c>
      <c r="Z128">
        <f t="shared" si="259"/>
        <v>5</v>
      </c>
      <c r="AA128">
        <f t="shared" si="259"/>
        <v>5</v>
      </c>
      <c r="AB128">
        <f t="shared" si="259"/>
        <v>5</v>
      </c>
      <c r="AC128">
        <f t="shared" si="259"/>
        <v>5</v>
      </c>
      <c r="AD128">
        <f t="shared" si="259"/>
        <v>5</v>
      </c>
      <c r="AE128">
        <f t="shared" si="259"/>
        <v>5</v>
      </c>
      <c r="AJ128" t="s">
        <v>116</v>
      </c>
      <c r="AK128">
        <f>AK119</f>
        <v>5</v>
      </c>
      <c r="AL128">
        <f t="shared" ref="AL128:AT128" si="260">AL119</f>
        <v>5</v>
      </c>
      <c r="AM128">
        <f t="shared" si="260"/>
        <v>5</v>
      </c>
      <c r="AN128">
        <f t="shared" si="260"/>
        <v>5</v>
      </c>
      <c r="AO128">
        <f t="shared" si="260"/>
        <v>7.5</v>
      </c>
      <c r="AP128">
        <f t="shared" si="260"/>
        <v>7.5</v>
      </c>
      <c r="AQ128">
        <f t="shared" si="260"/>
        <v>10</v>
      </c>
      <c r="AR128">
        <f t="shared" si="260"/>
        <v>10</v>
      </c>
      <c r="AS128">
        <f t="shared" si="260"/>
        <v>12.5</v>
      </c>
      <c r="AT128">
        <f t="shared" si="260"/>
        <v>12.5</v>
      </c>
      <c r="AV128" t="s">
        <v>116</v>
      </c>
      <c r="AW128">
        <f>AW119</f>
        <v>5</v>
      </c>
      <c r="AX128">
        <f t="shared" ref="AX128:BF128" si="261">AX119</f>
        <v>5</v>
      </c>
      <c r="AY128">
        <f t="shared" si="261"/>
        <v>5</v>
      </c>
      <c r="AZ128">
        <f t="shared" si="261"/>
        <v>5</v>
      </c>
      <c r="BA128">
        <f t="shared" si="261"/>
        <v>7.5</v>
      </c>
      <c r="BB128">
        <f t="shared" si="261"/>
        <v>7.5</v>
      </c>
      <c r="BC128">
        <f t="shared" si="261"/>
        <v>10</v>
      </c>
      <c r="BD128">
        <f t="shared" si="261"/>
        <v>10</v>
      </c>
      <c r="BE128">
        <f t="shared" si="261"/>
        <v>12.5</v>
      </c>
      <c r="BF128">
        <f t="shared" si="261"/>
        <v>12.5</v>
      </c>
      <c r="BL128" t="s">
        <v>116</v>
      </c>
      <c r="BM128">
        <f>BM119</f>
        <v>5</v>
      </c>
      <c r="BN128">
        <f t="shared" ref="BN128:BV128" si="262">BN119</f>
        <v>5</v>
      </c>
      <c r="BO128">
        <f t="shared" si="262"/>
        <v>7.5</v>
      </c>
      <c r="BP128">
        <f t="shared" si="262"/>
        <v>10</v>
      </c>
      <c r="BQ128">
        <f t="shared" si="262"/>
        <v>12.5</v>
      </c>
      <c r="BR128">
        <f t="shared" si="262"/>
        <v>15</v>
      </c>
      <c r="BS128">
        <f t="shared" si="262"/>
        <v>17.5</v>
      </c>
      <c r="BT128">
        <f t="shared" si="262"/>
        <v>20</v>
      </c>
      <c r="BU128">
        <f t="shared" si="262"/>
        <v>22.5</v>
      </c>
      <c r="BV128">
        <f t="shared" si="262"/>
        <v>25</v>
      </c>
      <c r="CB128" t="s">
        <v>116</v>
      </c>
      <c r="CC128">
        <f>CC119</f>
        <v>5</v>
      </c>
      <c r="CD128">
        <f t="shared" ref="CD128:CL128" si="263">CD119</f>
        <v>7.5</v>
      </c>
      <c r="CE128">
        <f t="shared" si="263"/>
        <v>12.5</v>
      </c>
      <c r="CF128">
        <f t="shared" si="263"/>
        <v>15</v>
      </c>
      <c r="CG128">
        <f t="shared" si="263"/>
        <v>20</v>
      </c>
      <c r="CH128">
        <f t="shared" si="263"/>
        <v>22.5</v>
      </c>
      <c r="CI128">
        <f t="shared" si="263"/>
        <v>27.5</v>
      </c>
      <c r="CJ128">
        <f t="shared" si="263"/>
        <v>30</v>
      </c>
      <c r="CK128">
        <f t="shared" si="263"/>
        <v>35</v>
      </c>
      <c r="CL128">
        <f t="shared" si="263"/>
        <v>37.5</v>
      </c>
      <c r="CP128" t="s">
        <v>116</v>
      </c>
      <c r="CQ128">
        <f>CQ119</f>
        <v>7.5</v>
      </c>
      <c r="CR128">
        <f t="shared" ref="CR128:CZ128" si="264">CR119</f>
        <v>12.5</v>
      </c>
      <c r="CS128">
        <f t="shared" si="264"/>
        <v>20</v>
      </c>
      <c r="CT128">
        <f t="shared" si="264"/>
        <v>25</v>
      </c>
      <c r="CU128">
        <f t="shared" si="264"/>
        <v>32.5</v>
      </c>
      <c r="CV128">
        <f t="shared" si="264"/>
        <v>37.5</v>
      </c>
      <c r="CW128">
        <f t="shared" si="264"/>
        <v>45</v>
      </c>
      <c r="CX128">
        <f t="shared" si="264"/>
        <v>50</v>
      </c>
      <c r="CY128">
        <f t="shared" si="264"/>
        <v>57.5</v>
      </c>
      <c r="CZ128">
        <f t="shared" si="264"/>
        <v>62.5</v>
      </c>
      <c r="DC128" t="s">
        <v>116</v>
      </c>
      <c r="DD128">
        <f>DD119</f>
        <v>12.5</v>
      </c>
      <c r="DE128">
        <f t="shared" ref="DE128:DM128" si="265">DE119</f>
        <v>20</v>
      </c>
      <c r="DF128">
        <f t="shared" si="265"/>
        <v>30</v>
      </c>
      <c r="DG128">
        <f t="shared" si="265"/>
        <v>37.5</v>
      </c>
      <c r="DH128">
        <f t="shared" si="265"/>
        <v>47.5</v>
      </c>
      <c r="DI128">
        <f t="shared" si="265"/>
        <v>57.5</v>
      </c>
      <c r="DJ128">
        <f t="shared" si="265"/>
        <v>67.5</v>
      </c>
      <c r="DK128">
        <f t="shared" si="265"/>
        <v>75</v>
      </c>
      <c r="DL128">
        <f t="shared" si="265"/>
        <v>85</v>
      </c>
      <c r="DM128">
        <f t="shared" si="265"/>
        <v>95</v>
      </c>
      <c r="DP128" t="s">
        <v>116</v>
      </c>
      <c r="DQ128">
        <f>DQ119</f>
        <v>15</v>
      </c>
      <c r="DR128">
        <f t="shared" ref="DR128:DZ128" si="266">DR119</f>
        <v>25</v>
      </c>
      <c r="DS128">
        <f t="shared" si="266"/>
        <v>37.5</v>
      </c>
      <c r="DT128">
        <f t="shared" si="266"/>
        <v>50</v>
      </c>
      <c r="DU128">
        <f t="shared" si="266"/>
        <v>62.5</v>
      </c>
      <c r="DV128">
        <f t="shared" si="266"/>
        <v>75</v>
      </c>
      <c r="DW128">
        <f t="shared" si="266"/>
        <v>87.5</v>
      </c>
      <c r="DX128">
        <f t="shared" si="266"/>
        <v>100</v>
      </c>
      <c r="DY128">
        <f t="shared" si="266"/>
        <v>112.5</v>
      </c>
      <c r="DZ128">
        <f t="shared" si="266"/>
        <v>125</v>
      </c>
    </row>
    <row r="130" spans="7:130" x14ac:dyDescent="0.25">
      <c r="G130" t="s">
        <v>250</v>
      </c>
      <c r="U130" t="s">
        <v>250</v>
      </c>
      <c r="AJ130" t="s">
        <v>250</v>
      </c>
      <c r="AV130" t="s">
        <v>250</v>
      </c>
      <c r="BL130" t="s">
        <v>250</v>
      </c>
      <c r="CB130" t="s">
        <v>250</v>
      </c>
      <c r="CP130" t="s">
        <v>250</v>
      </c>
      <c r="DC130" t="s">
        <v>250</v>
      </c>
      <c r="DP130" t="s">
        <v>250</v>
      </c>
    </row>
    <row r="131" spans="7:130" x14ac:dyDescent="0.25">
      <c r="G131" t="s">
        <v>245</v>
      </c>
      <c r="H131">
        <f>ROUNDUP((H127/2.75),0)</f>
        <v>3</v>
      </c>
      <c r="I131">
        <f t="shared" ref="I131:Q131" si="267">ROUNDUP((I127/2.75),0)</f>
        <v>4</v>
      </c>
      <c r="J131">
        <f t="shared" si="267"/>
        <v>4</v>
      </c>
      <c r="K131">
        <f t="shared" si="267"/>
        <v>5</v>
      </c>
      <c r="L131">
        <f t="shared" si="267"/>
        <v>6</v>
      </c>
      <c r="M131">
        <f t="shared" si="267"/>
        <v>7</v>
      </c>
      <c r="N131">
        <f t="shared" si="267"/>
        <v>8</v>
      </c>
      <c r="O131">
        <f t="shared" si="267"/>
        <v>9</v>
      </c>
      <c r="P131">
        <f t="shared" si="267"/>
        <v>10</v>
      </c>
      <c r="Q131">
        <f t="shared" si="267"/>
        <v>11</v>
      </c>
      <c r="U131" t="s">
        <v>245</v>
      </c>
      <c r="V131">
        <f>ROUNDUP((V127/2.75),0)</f>
        <v>3</v>
      </c>
      <c r="W131">
        <f t="shared" ref="W131:AE131" si="268">ROUNDUP((W127/2.75),0)</f>
        <v>4</v>
      </c>
      <c r="X131">
        <f t="shared" si="268"/>
        <v>5</v>
      </c>
      <c r="Y131">
        <f t="shared" si="268"/>
        <v>6</v>
      </c>
      <c r="Z131">
        <f t="shared" si="268"/>
        <v>7</v>
      </c>
      <c r="AA131">
        <f t="shared" si="268"/>
        <v>7</v>
      </c>
      <c r="AB131">
        <f t="shared" si="268"/>
        <v>8</v>
      </c>
      <c r="AC131">
        <f t="shared" si="268"/>
        <v>9</v>
      </c>
      <c r="AD131">
        <f t="shared" si="268"/>
        <v>10</v>
      </c>
      <c r="AE131">
        <f t="shared" si="268"/>
        <v>11</v>
      </c>
      <c r="AJ131" t="s">
        <v>245</v>
      </c>
      <c r="AK131">
        <f>ROUNDUP((AK127/2.75),0)</f>
        <v>4</v>
      </c>
      <c r="AL131">
        <f t="shared" ref="AL131:AT131" si="269">ROUNDUP((AL127/2.75),0)</f>
        <v>5</v>
      </c>
      <c r="AM131">
        <f t="shared" si="269"/>
        <v>7</v>
      </c>
      <c r="AN131">
        <f t="shared" si="269"/>
        <v>9</v>
      </c>
      <c r="AO131">
        <f t="shared" si="269"/>
        <v>8</v>
      </c>
      <c r="AP131">
        <f t="shared" si="269"/>
        <v>9</v>
      </c>
      <c r="AQ131">
        <f t="shared" si="269"/>
        <v>8</v>
      </c>
      <c r="AR131">
        <f t="shared" si="269"/>
        <v>9</v>
      </c>
      <c r="AS131">
        <f>ROUNDUP((AS127/2.75),0)</f>
        <v>8</v>
      </c>
      <c r="AT131">
        <f t="shared" si="269"/>
        <v>9</v>
      </c>
      <c r="AV131" t="s">
        <v>245</v>
      </c>
      <c r="AW131">
        <f>ROUNDUP((AW127/2.75),0)</f>
        <v>5</v>
      </c>
      <c r="AX131">
        <f t="shared" ref="AX131:BD131" si="270">ROUNDUP((AX127/2.75),0)</f>
        <v>6</v>
      </c>
      <c r="AY131">
        <f t="shared" si="270"/>
        <v>8</v>
      </c>
      <c r="AZ131">
        <f t="shared" si="270"/>
        <v>10</v>
      </c>
      <c r="BA131">
        <f t="shared" si="270"/>
        <v>9</v>
      </c>
      <c r="BB131">
        <f t="shared" si="270"/>
        <v>10</v>
      </c>
      <c r="BC131">
        <f t="shared" si="270"/>
        <v>9</v>
      </c>
      <c r="BD131">
        <f t="shared" si="270"/>
        <v>10</v>
      </c>
      <c r="BE131">
        <f>ROUNDUP((BE127/2.75),0)</f>
        <v>9</v>
      </c>
      <c r="BF131">
        <f t="shared" ref="BF131" si="271">ROUNDUP((BF127/2.75),0)</f>
        <v>10</v>
      </c>
      <c r="BL131" t="s">
        <v>245</v>
      </c>
      <c r="BM131">
        <f>ROUNDUP((BM127/2.75),0)</f>
        <v>8</v>
      </c>
      <c r="BN131">
        <f t="shared" ref="BN131:BT131" si="272">ROUNDUP((BN127/2.75),0)</f>
        <v>10</v>
      </c>
      <c r="BO131">
        <f t="shared" si="272"/>
        <v>10</v>
      </c>
      <c r="BP131">
        <f t="shared" si="272"/>
        <v>10</v>
      </c>
      <c r="BQ131">
        <f t="shared" si="272"/>
        <v>10</v>
      </c>
      <c r="BR131">
        <f t="shared" si="272"/>
        <v>10</v>
      </c>
      <c r="BS131">
        <f t="shared" si="272"/>
        <v>10</v>
      </c>
      <c r="BT131">
        <f t="shared" si="272"/>
        <v>10</v>
      </c>
      <c r="BU131">
        <f>ROUNDUP((BU127/2.75),0)</f>
        <v>10</v>
      </c>
      <c r="BV131">
        <f t="shared" ref="BV131" si="273">ROUNDUP((BV127/2.75),0)</f>
        <v>10</v>
      </c>
      <c r="CB131" t="s">
        <v>245</v>
      </c>
      <c r="CC131">
        <f>ROUNDUP((CC127/2.75),0)</f>
        <v>10</v>
      </c>
      <c r="CD131">
        <f t="shared" ref="CD131:CJ131" si="274">ROUNDUP((CD127/2.75),0)</f>
        <v>10</v>
      </c>
      <c r="CE131">
        <f t="shared" si="274"/>
        <v>9</v>
      </c>
      <c r="CF131">
        <f t="shared" si="274"/>
        <v>10</v>
      </c>
      <c r="CG131">
        <f t="shared" si="274"/>
        <v>9</v>
      </c>
      <c r="CH131">
        <f t="shared" si="274"/>
        <v>10</v>
      </c>
      <c r="CI131">
        <f t="shared" si="274"/>
        <v>9</v>
      </c>
      <c r="CJ131">
        <f t="shared" si="274"/>
        <v>10</v>
      </c>
      <c r="CK131">
        <f>ROUNDUP((CK127/2.75),0)</f>
        <v>9</v>
      </c>
      <c r="CL131">
        <f t="shared" ref="CL131" si="275">ROUNDUP((CL127/2.75),0)</f>
        <v>10</v>
      </c>
      <c r="CP131" t="s">
        <v>245</v>
      </c>
      <c r="CQ131">
        <f>ROUNDUP((CQ127/2.75),0)</f>
        <v>12</v>
      </c>
      <c r="CR131">
        <f t="shared" ref="CR131:CX131" si="276">ROUNDUP((CR127/2.75),0)</f>
        <v>10</v>
      </c>
      <c r="CS131">
        <f t="shared" si="276"/>
        <v>10</v>
      </c>
      <c r="CT131">
        <f t="shared" si="276"/>
        <v>10</v>
      </c>
      <c r="CU131">
        <f t="shared" si="276"/>
        <v>10</v>
      </c>
      <c r="CV131">
        <f t="shared" si="276"/>
        <v>10</v>
      </c>
      <c r="CW131">
        <f t="shared" si="276"/>
        <v>10</v>
      </c>
      <c r="CX131">
        <f t="shared" si="276"/>
        <v>10</v>
      </c>
      <c r="CY131">
        <f>ROUNDUP((CY127/2.75),0)</f>
        <v>10</v>
      </c>
      <c r="CZ131">
        <f t="shared" ref="CZ131" si="277">ROUNDUP((CZ127/2.75),0)</f>
        <v>10</v>
      </c>
      <c r="DC131" t="s">
        <v>245</v>
      </c>
      <c r="DD131">
        <f>ROUNDUP((DD127/2.75),0)</f>
        <v>11</v>
      </c>
      <c r="DE131">
        <f t="shared" ref="DE131:DK131" si="278">ROUNDUP((DE127/2.75),0)</f>
        <v>10</v>
      </c>
      <c r="DF131">
        <f t="shared" si="278"/>
        <v>10</v>
      </c>
      <c r="DG131">
        <f t="shared" si="278"/>
        <v>10</v>
      </c>
      <c r="DH131">
        <f t="shared" si="278"/>
        <v>10</v>
      </c>
      <c r="DI131">
        <f t="shared" si="278"/>
        <v>10</v>
      </c>
      <c r="DJ131">
        <f t="shared" si="278"/>
        <v>10</v>
      </c>
      <c r="DK131">
        <f t="shared" si="278"/>
        <v>10</v>
      </c>
      <c r="DL131">
        <f>ROUNDUP((DL127/2.75),0)</f>
        <v>10</v>
      </c>
      <c r="DM131">
        <f t="shared" ref="DM131" si="279">ROUNDUP((DM127/2.75),0)</f>
        <v>10</v>
      </c>
      <c r="DP131" t="s">
        <v>245</v>
      </c>
      <c r="DQ131">
        <f>ROUNDUP((DQ127/2.75),0)</f>
        <v>12</v>
      </c>
      <c r="DR131">
        <f t="shared" ref="DR131:DX131" si="280">ROUNDUP((DR127/2.75),0)</f>
        <v>10</v>
      </c>
      <c r="DS131">
        <f t="shared" si="280"/>
        <v>10</v>
      </c>
      <c r="DT131">
        <f t="shared" si="280"/>
        <v>10</v>
      </c>
      <c r="DU131">
        <f t="shared" si="280"/>
        <v>10</v>
      </c>
      <c r="DV131">
        <f t="shared" si="280"/>
        <v>10</v>
      </c>
      <c r="DW131">
        <f t="shared" si="280"/>
        <v>10</v>
      </c>
      <c r="DX131">
        <f t="shared" si="280"/>
        <v>10</v>
      </c>
      <c r="DY131">
        <f>ROUNDUP((DY127/2.75),0)</f>
        <v>10</v>
      </c>
      <c r="DZ131">
        <f t="shared" ref="DZ131" si="281">ROUNDUP((DZ127/2.75),0)</f>
        <v>10</v>
      </c>
    </row>
    <row r="132" spans="7:130" x14ac:dyDescent="0.25">
      <c r="G132" t="s">
        <v>116</v>
      </c>
      <c r="H132">
        <f>ROUNDUP((H128/2.75),0)</f>
        <v>2</v>
      </c>
      <c r="I132">
        <f t="shared" ref="I132:Q132" si="282">ROUNDUP((I128/2.75),0)</f>
        <v>2</v>
      </c>
      <c r="J132">
        <f t="shared" si="282"/>
        <v>2</v>
      </c>
      <c r="K132">
        <f t="shared" si="282"/>
        <v>2</v>
      </c>
      <c r="L132">
        <f t="shared" si="282"/>
        <v>2</v>
      </c>
      <c r="M132">
        <f t="shared" si="282"/>
        <v>2</v>
      </c>
      <c r="N132">
        <f t="shared" si="282"/>
        <v>2</v>
      </c>
      <c r="O132">
        <f t="shared" si="282"/>
        <v>2</v>
      </c>
      <c r="P132">
        <f t="shared" si="282"/>
        <v>2</v>
      </c>
      <c r="Q132">
        <f t="shared" si="282"/>
        <v>2</v>
      </c>
      <c r="U132" t="s">
        <v>116</v>
      </c>
      <c r="V132">
        <f>ROUNDUP((V128/2.75),0)</f>
        <v>2</v>
      </c>
      <c r="W132">
        <f t="shared" ref="W132:AE132" si="283">ROUNDUP((W128/2.75),0)</f>
        <v>2</v>
      </c>
      <c r="X132">
        <f t="shared" si="283"/>
        <v>2</v>
      </c>
      <c r="Y132">
        <f t="shared" si="283"/>
        <v>2</v>
      </c>
      <c r="Z132">
        <f t="shared" si="283"/>
        <v>2</v>
      </c>
      <c r="AA132">
        <f t="shared" si="283"/>
        <v>2</v>
      </c>
      <c r="AB132">
        <f t="shared" si="283"/>
        <v>2</v>
      </c>
      <c r="AC132">
        <f t="shared" si="283"/>
        <v>2</v>
      </c>
      <c r="AD132">
        <f t="shared" si="283"/>
        <v>2</v>
      </c>
      <c r="AE132">
        <f t="shared" si="283"/>
        <v>2</v>
      </c>
      <c r="AJ132" t="s">
        <v>116</v>
      </c>
      <c r="AK132">
        <f>ROUNDUP((AK128/2.75),0)</f>
        <v>2</v>
      </c>
      <c r="AL132">
        <f t="shared" ref="AL132:AT132" si="284">ROUNDUP((AL128/2.75),0)</f>
        <v>2</v>
      </c>
      <c r="AM132">
        <f t="shared" si="284"/>
        <v>2</v>
      </c>
      <c r="AN132">
        <f t="shared" si="284"/>
        <v>2</v>
      </c>
      <c r="AO132">
        <f t="shared" si="284"/>
        <v>3</v>
      </c>
      <c r="AP132">
        <f t="shared" si="284"/>
        <v>3</v>
      </c>
      <c r="AQ132">
        <f t="shared" si="284"/>
        <v>4</v>
      </c>
      <c r="AR132">
        <f>ROUNDUP((AR128/2.75),0)</f>
        <v>4</v>
      </c>
      <c r="AS132">
        <f t="shared" si="284"/>
        <v>5</v>
      </c>
      <c r="AT132">
        <f t="shared" si="284"/>
        <v>5</v>
      </c>
      <c r="AV132" t="s">
        <v>116</v>
      </c>
      <c r="AW132">
        <f>ROUNDUP((AW128/2.75),0)</f>
        <v>2</v>
      </c>
      <c r="AX132">
        <f t="shared" ref="AX132:BC132" si="285">ROUNDUP((AX128/2.75),0)</f>
        <v>2</v>
      </c>
      <c r="AY132">
        <f t="shared" si="285"/>
        <v>2</v>
      </c>
      <c r="AZ132">
        <f t="shared" si="285"/>
        <v>2</v>
      </c>
      <c r="BA132">
        <f t="shared" si="285"/>
        <v>3</v>
      </c>
      <c r="BB132">
        <f t="shared" si="285"/>
        <v>3</v>
      </c>
      <c r="BC132">
        <f t="shared" si="285"/>
        <v>4</v>
      </c>
      <c r="BD132">
        <f>ROUNDUP((BD128/2.75),0)</f>
        <v>4</v>
      </c>
      <c r="BE132">
        <f t="shared" ref="BE132:BF132" si="286">ROUNDUP((BE128/2.75),0)</f>
        <v>5</v>
      </c>
      <c r="BF132">
        <f t="shared" si="286"/>
        <v>5</v>
      </c>
      <c r="BL132" t="s">
        <v>116</v>
      </c>
      <c r="BM132">
        <f>ROUNDUP((BM128/2.75),0)</f>
        <v>2</v>
      </c>
      <c r="BN132">
        <f t="shared" ref="BN132:BS132" si="287">ROUNDUP((BN128/2.75),0)</f>
        <v>2</v>
      </c>
      <c r="BO132">
        <f t="shared" si="287"/>
        <v>3</v>
      </c>
      <c r="BP132">
        <f t="shared" si="287"/>
        <v>4</v>
      </c>
      <c r="BQ132">
        <f t="shared" si="287"/>
        <v>5</v>
      </c>
      <c r="BR132">
        <f t="shared" si="287"/>
        <v>6</v>
      </c>
      <c r="BS132">
        <f t="shared" si="287"/>
        <v>7</v>
      </c>
      <c r="BT132">
        <f>ROUNDUP((BT128/2.75),0)</f>
        <v>8</v>
      </c>
      <c r="BU132">
        <f t="shared" ref="BU132:BV132" si="288">ROUNDUP((BU128/2.75),0)</f>
        <v>9</v>
      </c>
      <c r="BV132">
        <f t="shared" si="288"/>
        <v>10</v>
      </c>
      <c r="CB132" t="s">
        <v>116</v>
      </c>
      <c r="CC132">
        <f>ROUNDUP((CC128/2.75),0)</f>
        <v>2</v>
      </c>
      <c r="CD132">
        <f t="shared" ref="CD132:CI132" si="289">ROUNDUP((CD128/2.75),0)</f>
        <v>3</v>
      </c>
      <c r="CE132">
        <f t="shared" si="289"/>
        <v>5</v>
      </c>
      <c r="CF132">
        <f t="shared" si="289"/>
        <v>6</v>
      </c>
      <c r="CG132">
        <f t="shared" si="289"/>
        <v>8</v>
      </c>
      <c r="CH132">
        <f t="shared" si="289"/>
        <v>9</v>
      </c>
      <c r="CI132">
        <f t="shared" si="289"/>
        <v>10</v>
      </c>
      <c r="CJ132">
        <f>ROUNDUP((CJ128/2.75),0)</f>
        <v>11</v>
      </c>
      <c r="CK132">
        <f t="shared" ref="CK132:CL132" si="290">ROUNDUP((CK128/2.75),0)</f>
        <v>13</v>
      </c>
      <c r="CL132">
        <f t="shared" si="290"/>
        <v>14</v>
      </c>
      <c r="CP132" t="s">
        <v>116</v>
      </c>
      <c r="CQ132">
        <f>ROUNDUP((CQ128/2.75),0)</f>
        <v>3</v>
      </c>
      <c r="CR132">
        <f t="shared" ref="CR132:CW132" si="291">ROUNDUP((CR128/2.75),0)</f>
        <v>5</v>
      </c>
      <c r="CS132">
        <f t="shared" si="291"/>
        <v>8</v>
      </c>
      <c r="CT132">
        <f t="shared" si="291"/>
        <v>10</v>
      </c>
      <c r="CU132">
        <f t="shared" si="291"/>
        <v>12</v>
      </c>
      <c r="CV132">
        <f t="shared" si="291"/>
        <v>14</v>
      </c>
      <c r="CW132">
        <f t="shared" si="291"/>
        <v>17</v>
      </c>
      <c r="CX132">
        <f>ROUNDUP((CX128/2.75),0)</f>
        <v>19</v>
      </c>
      <c r="CY132">
        <f t="shared" ref="CY132:CZ132" si="292">ROUNDUP((CY128/2.75),0)</f>
        <v>21</v>
      </c>
      <c r="CZ132">
        <f t="shared" si="292"/>
        <v>23</v>
      </c>
      <c r="DC132" t="s">
        <v>116</v>
      </c>
      <c r="DD132">
        <f>ROUNDUP((DD128/2.75),0)</f>
        <v>5</v>
      </c>
      <c r="DE132">
        <f t="shared" ref="DE132:DJ132" si="293">ROUNDUP((DE128/2.75),0)</f>
        <v>8</v>
      </c>
      <c r="DF132">
        <f t="shared" si="293"/>
        <v>11</v>
      </c>
      <c r="DG132">
        <f t="shared" si="293"/>
        <v>14</v>
      </c>
      <c r="DH132">
        <f t="shared" si="293"/>
        <v>18</v>
      </c>
      <c r="DI132">
        <f t="shared" si="293"/>
        <v>21</v>
      </c>
      <c r="DJ132">
        <f t="shared" si="293"/>
        <v>25</v>
      </c>
      <c r="DK132">
        <f>ROUNDUP((DK128/2.75),0)</f>
        <v>28</v>
      </c>
      <c r="DL132">
        <f t="shared" ref="DL132:DM132" si="294">ROUNDUP((DL128/2.75),0)</f>
        <v>31</v>
      </c>
      <c r="DM132">
        <f t="shared" si="294"/>
        <v>35</v>
      </c>
      <c r="DP132" t="s">
        <v>116</v>
      </c>
      <c r="DQ132">
        <f>ROUNDUP((DQ128/2.75),0)</f>
        <v>6</v>
      </c>
      <c r="DR132">
        <f t="shared" ref="DR132:DW132" si="295">ROUNDUP((DR128/2.75),0)</f>
        <v>10</v>
      </c>
      <c r="DS132">
        <f t="shared" si="295"/>
        <v>14</v>
      </c>
      <c r="DT132">
        <f t="shared" si="295"/>
        <v>19</v>
      </c>
      <c r="DU132">
        <f t="shared" si="295"/>
        <v>23</v>
      </c>
      <c r="DV132">
        <f t="shared" si="295"/>
        <v>28</v>
      </c>
      <c r="DW132">
        <f t="shared" si="295"/>
        <v>32</v>
      </c>
      <c r="DX132">
        <f>ROUNDUP((DX128/2.75),0)</f>
        <v>37</v>
      </c>
      <c r="DY132">
        <f t="shared" ref="DY132:DZ132" si="296">ROUNDUP((DY128/2.75),0)</f>
        <v>41</v>
      </c>
      <c r="DZ132">
        <f t="shared" si="296"/>
        <v>46</v>
      </c>
    </row>
    <row r="134" spans="7:130" x14ac:dyDescent="0.25">
      <c r="G134" t="s">
        <v>251</v>
      </c>
      <c r="U134" t="s">
        <v>251</v>
      </c>
      <c r="AJ134" t="s">
        <v>251</v>
      </c>
      <c r="AV134" t="s">
        <v>251</v>
      </c>
      <c r="BL134" t="s">
        <v>251</v>
      </c>
      <c r="CB134" t="s">
        <v>251</v>
      </c>
      <c r="CP134" t="s">
        <v>251</v>
      </c>
      <c r="DC134" t="s">
        <v>251</v>
      </c>
      <c r="DP134" t="s">
        <v>251</v>
      </c>
    </row>
    <row r="135" spans="7:130" x14ac:dyDescent="0.25">
      <c r="G135" t="s">
        <v>245</v>
      </c>
      <c r="H135">
        <f>(H131*2.75)-H127</f>
        <v>1</v>
      </c>
      <c r="I135">
        <f t="shared" ref="I135:Q135" si="297">(I131*2.75)-I127</f>
        <v>2.5</v>
      </c>
      <c r="J135">
        <f t="shared" si="297"/>
        <v>0</v>
      </c>
      <c r="K135">
        <f t="shared" si="297"/>
        <v>0.25</v>
      </c>
      <c r="L135">
        <f t="shared" si="297"/>
        <v>0.5</v>
      </c>
      <c r="M135">
        <f t="shared" si="297"/>
        <v>0.75</v>
      </c>
      <c r="N135">
        <f t="shared" si="297"/>
        <v>1</v>
      </c>
      <c r="O135">
        <f t="shared" si="297"/>
        <v>1.25</v>
      </c>
      <c r="P135">
        <f t="shared" si="297"/>
        <v>1.5</v>
      </c>
      <c r="Q135">
        <f t="shared" si="297"/>
        <v>1.75</v>
      </c>
      <c r="U135" t="s">
        <v>245</v>
      </c>
      <c r="V135">
        <f>(V131*2.75)-V127</f>
        <v>1.1500000000000004</v>
      </c>
      <c r="W135">
        <f t="shared" ref="W135:AE135" si="298">(W131*2.75)-W127</f>
        <v>1.9000000000000004</v>
      </c>
      <c r="X135">
        <f t="shared" si="298"/>
        <v>2.1500000000000004</v>
      </c>
      <c r="Y135">
        <f t="shared" si="298"/>
        <v>2.4000000000000004</v>
      </c>
      <c r="Z135">
        <f t="shared" si="298"/>
        <v>2.6499999999999986</v>
      </c>
      <c r="AA135">
        <f t="shared" si="298"/>
        <v>0.14999999999999858</v>
      </c>
      <c r="AB135">
        <f t="shared" si="298"/>
        <v>0.39999999999999858</v>
      </c>
      <c r="AC135">
        <f t="shared" si="298"/>
        <v>0.64999999999999858</v>
      </c>
      <c r="AD135">
        <f t="shared" si="298"/>
        <v>0.89999999999999858</v>
      </c>
      <c r="AE135">
        <f t="shared" si="298"/>
        <v>1.1499999999999986</v>
      </c>
      <c r="AJ135" t="s">
        <v>245</v>
      </c>
      <c r="AK135">
        <f>(AK131*2.75)-AK127</f>
        <v>0</v>
      </c>
      <c r="AL135">
        <f t="shared" ref="AL135:AT135" si="299">(AL131*2.75)-AL127</f>
        <v>0.25</v>
      </c>
      <c r="AM135">
        <f t="shared" si="299"/>
        <v>0.75</v>
      </c>
      <c r="AN135">
        <f t="shared" si="299"/>
        <v>1.25</v>
      </c>
      <c r="AO135">
        <f t="shared" si="299"/>
        <v>1.8333333333333321</v>
      </c>
      <c r="AP135">
        <f t="shared" si="299"/>
        <v>1.25</v>
      </c>
      <c r="AQ135">
        <f t="shared" si="299"/>
        <v>1</v>
      </c>
      <c r="AR135">
        <f t="shared" si="299"/>
        <v>1.25</v>
      </c>
      <c r="AS135">
        <f t="shared" si="299"/>
        <v>0.5</v>
      </c>
      <c r="AT135">
        <f t="shared" si="299"/>
        <v>1.25</v>
      </c>
      <c r="AV135" t="s">
        <v>245</v>
      </c>
      <c r="AW135">
        <f>(AW131*2.75)-AW127</f>
        <v>0.75</v>
      </c>
      <c r="AX135">
        <f t="shared" ref="AX135:BF135" si="300">(AX131*2.75)-AX127</f>
        <v>1</v>
      </c>
      <c r="AY135">
        <f t="shared" si="300"/>
        <v>1.5</v>
      </c>
      <c r="AZ135">
        <f t="shared" si="300"/>
        <v>2</v>
      </c>
      <c r="BA135">
        <f t="shared" si="300"/>
        <v>2.5833333333333321</v>
      </c>
      <c r="BB135">
        <f t="shared" si="300"/>
        <v>2</v>
      </c>
      <c r="BC135">
        <f t="shared" si="300"/>
        <v>1.75</v>
      </c>
      <c r="BD135">
        <f t="shared" si="300"/>
        <v>2</v>
      </c>
      <c r="BE135">
        <f t="shared" si="300"/>
        <v>1.25</v>
      </c>
      <c r="BF135">
        <f t="shared" si="300"/>
        <v>2</v>
      </c>
      <c r="BL135" t="s">
        <v>245</v>
      </c>
      <c r="BM135">
        <f>(BM131*2.75)-BM127</f>
        <v>1.125</v>
      </c>
      <c r="BN135">
        <f t="shared" ref="BN135:BV135" si="301">(BN131*2.75)-BN127</f>
        <v>1.625</v>
      </c>
      <c r="BO135">
        <f t="shared" si="301"/>
        <v>1.625</v>
      </c>
      <c r="BP135">
        <f t="shared" si="301"/>
        <v>1.625</v>
      </c>
      <c r="BQ135">
        <f t="shared" si="301"/>
        <v>1.625</v>
      </c>
      <c r="BR135">
        <f t="shared" si="301"/>
        <v>1.625</v>
      </c>
      <c r="BS135">
        <f t="shared" si="301"/>
        <v>1.625</v>
      </c>
      <c r="BT135">
        <f t="shared" si="301"/>
        <v>1.625</v>
      </c>
      <c r="BU135">
        <f t="shared" si="301"/>
        <v>1.625</v>
      </c>
      <c r="BV135">
        <f t="shared" si="301"/>
        <v>1.625</v>
      </c>
      <c r="CB135" t="s">
        <v>245</v>
      </c>
      <c r="CC135">
        <f>(CC131*2.75)-CC127</f>
        <v>3.9999999999999147E-2</v>
      </c>
      <c r="CD135">
        <f t="shared" ref="CD135:CL135" si="302">(CD131*2.75)-CD127</f>
        <v>2.5399999999999991</v>
      </c>
      <c r="CE135">
        <f t="shared" si="302"/>
        <v>1.7899999999999991</v>
      </c>
      <c r="CF135">
        <f t="shared" si="302"/>
        <v>2.5399999999999991</v>
      </c>
      <c r="CG135">
        <f t="shared" si="302"/>
        <v>1.0399999999999991</v>
      </c>
      <c r="CH135">
        <f t="shared" si="302"/>
        <v>2.5399999999999991</v>
      </c>
      <c r="CI135">
        <f t="shared" si="302"/>
        <v>0.69909090909090921</v>
      </c>
      <c r="CJ135">
        <f t="shared" si="302"/>
        <v>2.5399999999999991</v>
      </c>
      <c r="CK135">
        <f t="shared" si="302"/>
        <v>0.50428571428571445</v>
      </c>
      <c r="CL135">
        <f t="shared" si="302"/>
        <v>2.5399999999999991</v>
      </c>
      <c r="CP135" t="s">
        <v>245</v>
      </c>
      <c r="CQ135">
        <f>(CQ131*2.75)-CQ127</f>
        <v>1.6499999999999986</v>
      </c>
      <c r="CR135">
        <f t="shared" ref="CR135:CZ135" si="303">(CR131*2.75)-CR127</f>
        <v>1.1499999999999986</v>
      </c>
      <c r="CS135">
        <f t="shared" si="303"/>
        <v>2.3999999999999986</v>
      </c>
      <c r="CT135">
        <f t="shared" si="303"/>
        <v>1.1499999999999986</v>
      </c>
      <c r="CU135">
        <f t="shared" si="303"/>
        <v>1.9192307692307722</v>
      </c>
      <c r="CV135">
        <f t="shared" si="303"/>
        <v>1.1499999999999986</v>
      </c>
      <c r="CW135">
        <f t="shared" si="303"/>
        <v>1.7055555555555557</v>
      </c>
      <c r="CX135">
        <f t="shared" si="303"/>
        <v>1.1499999999999986</v>
      </c>
      <c r="CY135">
        <f t="shared" si="303"/>
        <v>1.5847826086956545</v>
      </c>
      <c r="CZ135">
        <f t="shared" si="303"/>
        <v>1.1499999999999986</v>
      </c>
      <c r="DC135" t="s">
        <v>245</v>
      </c>
      <c r="DD135">
        <f>(DD131*2.75)-DD127</f>
        <v>0.37000000000000099</v>
      </c>
      <c r="DE135">
        <f t="shared" ref="DE135:DM135" si="304">(DE131*2.75)-DE127</f>
        <v>1.370000000000001</v>
      </c>
      <c r="DF135">
        <f t="shared" si="304"/>
        <v>1.370000000000001</v>
      </c>
      <c r="DG135">
        <f t="shared" si="304"/>
        <v>0.12000000000000099</v>
      </c>
      <c r="DH135">
        <f t="shared" si="304"/>
        <v>0.38315789473684347</v>
      </c>
      <c r="DI135">
        <f t="shared" si="304"/>
        <v>0.55478260869565332</v>
      </c>
      <c r="DJ135">
        <f t="shared" si="304"/>
        <v>0.67555555555555813</v>
      </c>
      <c r="DK135">
        <f t="shared" si="304"/>
        <v>0.12000000000000099</v>
      </c>
      <c r="DL135">
        <f t="shared" si="304"/>
        <v>0.26705882352941401</v>
      </c>
      <c r="DM135">
        <f t="shared" si="304"/>
        <v>0.38315789473684347</v>
      </c>
      <c r="DP135" t="s">
        <v>245</v>
      </c>
      <c r="DQ135">
        <f>(DQ131*2.75)-DQ127</f>
        <v>1.3269999999999982</v>
      </c>
      <c r="DR135">
        <f t="shared" ref="DR135:DZ135" si="305">(DR131*2.75)-DR127</f>
        <v>0.82699999999999818</v>
      </c>
      <c r="DS135">
        <f t="shared" si="305"/>
        <v>0.82699999999999818</v>
      </c>
      <c r="DT135">
        <f t="shared" si="305"/>
        <v>0.82699999999999818</v>
      </c>
      <c r="DU135">
        <f t="shared" si="305"/>
        <v>0.82699999999999818</v>
      </c>
      <c r="DV135">
        <f t="shared" si="305"/>
        <v>0.82699999999999818</v>
      </c>
      <c r="DW135">
        <f t="shared" si="305"/>
        <v>0.82699999999999818</v>
      </c>
      <c r="DX135">
        <f t="shared" si="305"/>
        <v>0.82699999999999818</v>
      </c>
      <c r="DY135">
        <f t="shared" si="305"/>
        <v>0.82699999999999818</v>
      </c>
      <c r="DZ135">
        <f t="shared" si="305"/>
        <v>0.82699999999999818</v>
      </c>
    </row>
    <row r="136" spans="7:130" x14ac:dyDescent="0.25">
      <c r="G136" t="s">
        <v>116</v>
      </c>
      <c r="H136">
        <f>(H132*2.75)-H128</f>
        <v>0.5</v>
      </c>
      <c r="I136">
        <f t="shared" ref="I136:Q136" si="306">(I132*2.75)-I128</f>
        <v>0.5</v>
      </c>
      <c r="J136">
        <f t="shared" si="306"/>
        <v>0.5</v>
      </c>
      <c r="K136">
        <f t="shared" si="306"/>
        <v>0.5</v>
      </c>
      <c r="L136">
        <f t="shared" si="306"/>
        <v>0.5</v>
      </c>
      <c r="M136">
        <f t="shared" si="306"/>
        <v>0.5</v>
      </c>
      <c r="N136">
        <f t="shared" si="306"/>
        <v>0.5</v>
      </c>
      <c r="O136">
        <f t="shared" si="306"/>
        <v>0.5</v>
      </c>
      <c r="P136">
        <f t="shared" si="306"/>
        <v>0.5</v>
      </c>
      <c r="Q136">
        <f t="shared" si="306"/>
        <v>0.5</v>
      </c>
      <c r="U136" t="s">
        <v>116</v>
      </c>
      <c r="V136">
        <f>(V132*2.75)-V128</f>
        <v>0.5</v>
      </c>
      <c r="W136">
        <f t="shared" ref="W136:AE136" si="307">(W132*2.75)-W128</f>
        <v>0.5</v>
      </c>
      <c r="X136">
        <f t="shared" si="307"/>
        <v>0.5</v>
      </c>
      <c r="Y136">
        <f t="shared" si="307"/>
        <v>0.5</v>
      </c>
      <c r="Z136">
        <f t="shared" si="307"/>
        <v>0.5</v>
      </c>
      <c r="AA136">
        <f t="shared" si="307"/>
        <v>0.5</v>
      </c>
      <c r="AB136">
        <f t="shared" si="307"/>
        <v>0.5</v>
      </c>
      <c r="AC136">
        <f t="shared" si="307"/>
        <v>0.5</v>
      </c>
      <c r="AD136">
        <f t="shared" si="307"/>
        <v>0.5</v>
      </c>
      <c r="AE136">
        <f t="shared" si="307"/>
        <v>0.5</v>
      </c>
      <c r="AJ136" t="s">
        <v>116</v>
      </c>
      <c r="AK136">
        <f>(AK132*2.75)-AK128</f>
        <v>0.5</v>
      </c>
      <c r="AL136">
        <f t="shared" ref="AL136:AT136" si="308">(AL132*2.75)-AL128</f>
        <v>0.5</v>
      </c>
      <c r="AM136">
        <f t="shared" si="308"/>
        <v>0.5</v>
      </c>
      <c r="AN136">
        <f t="shared" si="308"/>
        <v>0.5</v>
      </c>
      <c r="AO136">
        <f t="shared" si="308"/>
        <v>0.75</v>
      </c>
      <c r="AP136">
        <f t="shared" si="308"/>
        <v>0.75</v>
      </c>
      <c r="AQ136">
        <f t="shared" si="308"/>
        <v>1</v>
      </c>
      <c r="AR136">
        <f t="shared" si="308"/>
        <v>1</v>
      </c>
      <c r="AS136">
        <f t="shared" si="308"/>
        <v>1.25</v>
      </c>
      <c r="AT136">
        <f t="shared" si="308"/>
        <v>1.25</v>
      </c>
      <c r="AV136" t="s">
        <v>116</v>
      </c>
      <c r="AW136">
        <f>(AW132*2.75)-AW128</f>
        <v>0.5</v>
      </c>
      <c r="AX136">
        <f t="shared" ref="AX136:BF136" si="309">(AX132*2.75)-AX128</f>
        <v>0.5</v>
      </c>
      <c r="AY136">
        <f t="shared" si="309"/>
        <v>0.5</v>
      </c>
      <c r="AZ136">
        <f t="shared" si="309"/>
        <v>0.5</v>
      </c>
      <c r="BA136">
        <f t="shared" si="309"/>
        <v>0.75</v>
      </c>
      <c r="BB136">
        <f t="shared" si="309"/>
        <v>0.75</v>
      </c>
      <c r="BC136">
        <f t="shared" si="309"/>
        <v>1</v>
      </c>
      <c r="BD136">
        <f t="shared" si="309"/>
        <v>1</v>
      </c>
      <c r="BE136">
        <f t="shared" si="309"/>
        <v>1.25</v>
      </c>
      <c r="BF136">
        <f t="shared" si="309"/>
        <v>1.25</v>
      </c>
      <c r="BL136" t="s">
        <v>116</v>
      </c>
      <c r="BM136">
        <f>(BM132*2.75)-BM128</f>
        <v>0.5</v>
      </c>
      <c r="BN136">
        <f t="shared" ref="BN136:BV136" si="310">(BN132*2.75)-BN128</f>
        <v>0.5</v>
      </c>
      <c r="BO136">
        <f t="shared" si="310"/>
        <v>0.75</v>
      </c>
      <c r="BP136">
        <f t="shared" si="310"/>
        <v>1</v>
      </c>
      <c r="BQ136">
        <f t="shared" si="310"/>
        <v>1.25</v>
      </c>
      <c r="BR136">
        <f t="shared" si="310"/>
        <v>1.5</v>
      </c>
      <c r="BS136">
        <f t="shared" si="310"/>
        <v>1.75</v>
      </c>
      <c r="BT136">
        <f t="shared" si="310"/>
        <v>2</v>
      </c>
      <c r="BU136">
        <f t="shared" si="310"/>
        <v>2.25</v>
      </c>
      <c r="BV136">
        <f t="shared" si="310"/>
        <v>2.5</v>
      </c>
      <c r="CB136" t="s">
        <v>116</v>
      </c>
      <c r="CC136">
        <f>(CC132*2.75)-CC128</f>
        <v>0.5</v>
      </c>
      <c r="CD136">
        <f t="shared" ref="CD136:CL136" si="311">(CD132*2.75)-CD128</f>
        <v>0.75</v>
      </c>
      <c r="CE136">
        <f t="shared" si="311"/>
        <v>1.25</v>
      </c>
      <c r="CF136">
        <f t="shared" si="311"/>
        <v>1.5</v>
      </c>
      <c r="CG136">
        <f t="shared" si="311"/>
        <v>2</v>
      </c>
      <c r="CH136">
        <f t="shared" si="311"/>
        <v>2.25</v>
      </c>
      <c r="CI136">
        <f t="shared" si="311"/>
        <v>0</v>
      </c>
      <c r="CJ136">
        <f t="shared" si="311"/>
        <v>0.25</v>
      </c>
      <c r="CK136">
        <f t="shared" si="311"/>
        <v>0.75</v>
      </c>
      <c r="CL136">
        <f t="shared" si="311"/>
        <v>1</v>
      </c>
      <c r="CP136" t="s">
        <v>116</v>
      </c>
      <c r="CQ136">
        <f>(CQ132*2.75)-CQ128</f>
        <v>0.75</v>
      </c>
      <c r="CR136">
        <f t="shared" ref="CR136:CZ136" si="312">(CR132*2.75)-CR128</f>
        <v>1.25</v>
      </c>
      <c r="CS136">
        <f t="shared" si="312"/>
        <v>2</v>
      </c>
      <c r="CT136">
        <f t="shared" si="312"/>
        <v>2.5</v>
      </c>
      <c r="CU136">
        <f t="shared" si="312"/>
        <v>0.5</v>
      </c>
      <c r="CV136">
        <f t="shared" si="312"/>
        <v>1</v>
      </c>
      <c r="CW136">
        <f t="shared" si="312"/>
        <v>1.75</v>
      </c>
      <c r="CX136">
        <f t="shared" si="312"/>
        <v>2.25</v>
      </c>
      <c r="CY136">
        <f t="shared" si="312"/>
        <v>0.25</v>
      </c>
      <c r="CZ136">
        <f t="shared" si="312"/>
        <v>0.75</v>
      </c>
      <c r="DC136" t="s">
        <v>116</v>
      </c>
      <c r="DD136">
        <f>(DD132*2.75)-DD128</f>
        <v>1.25</v>
      </c>
      <c r="DE136">
        <f t="shared" ref="DE136:DM136" si="313">(DE132*2.75)-DE128</f>
        <v>2</v>
      </c>
      <c r="DF136">
        <f t="shared" si="313"/>
        <v>0.25</v>
      </c>
      <c r="DG136">
        <f t="shared" si="313"/>
        <v>1</v>
      </c>
      <c r="DH136">
        <f t="shared" si="313"/>
        <v>2</v>
      </c>
      <c r="DI136">
        <f t="shared" si="313"/>
        <v>0.25</v>
      </c>
      <c r="DJ136">
        <f t="shared" si="313"/>
        <v>1.25</v>
      </c>
      <c r="DK136">
        <f t="shared" si="313"/>
        <v>2</v>
      </c>
      <c r="DL136">
        <f t="shared" si="313"/>
        <v>0.25</v>
      </c>
      <c r="DM136">
        <f t="shared" si="313"/>
        <v>1.25</v>
      </c>
      <c r="DP136" t="s">
        <v>116</v>
      </c>
      <c r="DQ136">
        <f>(DQ132*2.75)-DQ128</f>
        <v>1.5</v>
      </c>
      <c r="DR136">
        <f t="shared" ref="DR136:DZ136" si="314">(DR132*2.75)-DR128</f>
        <v>2.5</v>
      </c>
      <c r="DS136">
        <f t="shared" si="314"/>
        <v>1</v>
      </c>
      <c r="DT136">
        <f t="shared" si="314"/>
        <v>2.25</v>
      </c>
      <c r="DU136">
        <f t="shared" si="314"/>
        <v>0.75</v>
      </c>
      <c r="DV136">
        <f t="shared" si="314"/>
        <v>2</v>
      </c>
      <c r="DW136">
        <f t="shared" si="314"/>
        <v>0.5</v>
      </c>
      <c r="DX136">
        <f t="shared" si="314"/>
        <v>1.75</v>
      </c>
      <c r="DY136">
        <f t="shared" si="314"/>
        <v>0.25</v>
      </c>
      <c r="DZ136">
        <f t="shared" si="314"/>
        <v>1.5</v>
      </c>
    </row>
    <row r="138" spans="7:130" x14ac:dyDescent="0.25">
      <c r="H138">
        <f>H135/2</f>
        <v>0.5</v>
      </c>
      <c r="I138">
        <f t="shared" ref="I138:Q139" si="315">I135/2</f>
        <v>1.25</v>
      </c>
      <c r="J138">
        <f t="shared" si="315"/>
        <v>0</v>
      </c>
      <c r="K138">
        <f t="shared" si="315"/>
        <v>0.125</v>
      </c>
      <c r="L138">
        <f t="shared" si="315"/>
        <v>0.25</v>
      </c>
      <c r="M138">
        <f t="shared" si="315"/>
        <v>0.375</v>
      </c>
      <c r="N138">
        <f t="shared" si="315"/>
        <v>0.5</v>
      </c>
      <c r="O138">
        <f t="shared" si="315"/>
        <v>0.625</v>
      </c>
      <c r="P138">
        <f t="shared" si="315"/>
        <v>0.75</v>
      </c>
      <c r="Q138">
        <f t="shared" si="315"/>
        <v>0.875</v>
      </c>
      <c r="R138" t="s">
        <v>252</v>
      </c>
      <c r="V138">
        <f>V135/2</f>
        <v>0.57500000000000018</v>
      </c>
      <c r="W138">
        <f t="shared" ref="W138:AE138" si="316">W135/2</f>
        <v>0.95000000000000018</v>
      </c>
      <c r="X138">
        <f t="shared" si="316"/>
        <v>1.0750000000000002</v>
      </c>
      <c r="Y138">
        <f t="shared" si="316"/>
        <v>1.2000000000000002</v>
      </c>
      <c r="Z138">
        <f t="shared" si="316"/>
        <v>1.3249999999999993</v>
      </c>
      <c r="AA138">
        <f t="shared" si="316"/>
        <v>7.4999999999999289E-2</v>
      </c>
      <c r="AB138">
        <f t="shared" si="316"/>
        <v>0.19999999999999929</v>
      </c>
      <c r="AC138">
        <f t="shared" si="316"/>
        <v>0.32499999999999929</v>
      </c>
      <c r="AD138">
        <f t="shared" si="316"/>
        <v>0.44999999999999929</v>
      </c>
      <c r="AE138">
        <f t="shared" si="316"/>
        <v>0.57499999999999929</v>
      </c>
      <c r="AK138">
        <f>AK135/2</f>
        <v>0</v>
      </c>
      <c r="AL138">
        <f t="shared" ref="AL138:AT138" si="317">AL135/2</f>
        <v>0.125</v>
      </c>
      <c r="AM138">
        <f t="shared" si="317"/>
        <v>0.375</v>
      </c>
      <c r="AN138">
        <f t="shared" si="317"/>
        <v>0.625</v>
      </c>
      <c r="AO138">
        <f t="shared" si="317"/>
        <v>0.91666666666666607</v>
      </c>
      <c r="AP138">
        <f t="shared" si="317"/>
        <v>0.625</v>
      </c>
      <c r="AQ138">
        <f t="shared" si="317"/>
        <v>0.5</v>
      </c>
      <c r="AR138">
        <f t="shared" si="317"/>
        <v>0.625</v>
      </c>
      <c r="AS138">
        <f t="shared" si="317"/>
        <v>0.25</v>
      </c>
      <c r="AT138">
        <f t="shared" si="317"/>
        <v>0.625</v>
      </c>
      <c r="AW138">
        <f>AW135/2</f>
        <v>0.375</v>
      </c>
      <c r="AX138">
        <f t="shared" ref="AX138:BF138" si="318">AX135/2</f>
        <v>0.5</v>
      </c>
      <c r="AY138">
        <f t="shared" si="318"/>
        <v>0.75</v>
      </c>
      <c r="AZ138">
        <f t="shared" si="318"/>
        <v>1</v>
      </c>
      <c r="BA138">
        <f t="shared" si="318"/>
        <v>1.2916666666666661</v>
      </c>
      <c r="BB138">
        <f t="shared" si="318"/>
        <v>1</v>
      </c>
      <c r="BC138">
        <f t="shared" si="318"/>
        <v>0.875</v>
      </c>
      <c r="BD138">
        <f t="shared" si="318"/>
        <v>1</v>
      </c>
      <c r="BE138">
        <f t="shared" si="318"/>
        <v>0.625</v>
      </c>
      <c r="BF138">
        <f t="shared" si="318"/>
        <v>1</v>
      </c>
      <c r="BM138">
        <f>BM135/2</f>
        <v>0.5625</v>
      </c>
      <c r="BN138">
        <f t="shared" ref="BN138:BV138" si="319">BN135/2</f>
        <v>0.8125</v>
      </c>
      <c r="BO138">
        <f t="shared" si="319"/>
        <v>0.8125</v>
      </c>
      <c r="BP138">
        <f t="shared" si="319"/>
        <v>0.8125</v>
      </c>
      <c r="BQ138">
        <f t="shared" si="319"/>
        <v>0.8125</v>
      </c>
      <c r="BR138">
        <f t="shared" si="319"/>
        <v>0.8125</v>
      </c>
      <c r="BS138">
        <f t="shared" si="319"/>
        <v>0.8125</v>
      </c>
      <c r="BT138">
        <f t="shared" si="319"/>
        <v>0.8125</v>
      </c>
      <c r="BU138">
        <f t="shared" si="319"/>
        <v>0.8125</v>
      </c>
      <c r="BV138">
        <f t="shared" si="319"/>
        <v>0.8125</v>
      </c>
      <c r="CC138">
        <f>CC135/2</f>
        <v>1.9999999999999574E-2</v>
      </c>
      <c r="CD138">
        <f t="shared" ref="CD138:CL138" si="320">CD135/2</f>
        <v>1.2699999999999996</v>
      </c>
      <c r="CE138">
        <f t="shared" si="320"/>
        <v>0.89499999999999957</v>
      </c>
      <c r="CF138">
        <f t="shared" si="320"/>
        <v>1.2699999999999996</v>
      </c>
      <c r="CG138">
        <f t="shared" si="320"/>
        <v>0.51999999999999957</v>
      </c>
      <c r="CH138">
        <f t="shared" si="320"/>
        <v>1.2699999999999996</v>
      </c>
      <c r="CI138">
        <f t="shared" si="320"/>
        <v>0.3495454545454546</v>
      </c>
      <c r="CJ138">
        <f t="shared" si="320"/>
        <v>1.2699999999999996</v>
      </c>
      <c r="CK138">
        <f t="shared" si="320"/>
        <v>0.25214285714285722</v>
      </c>
      <c r="CL138">
        <f t="shared" si="320"/>
        <v>1.2699999999999996</v>
      </c>
      <c r="CQ138">
        <f>CQ135/2</f>
        <v>0.82499999999999929</v>
      </c>
      <c r="CR138">
        <f t="shared" ref="CR138:CZ138" si="321">CR135/2</f>
        <v>0.57499999999999929</v>
      </c>
      <c r="CS138">
        <f t="shared" si="321"/>
        <v>1.1999999999999993</v>
      </c>
      <c r="CT138">
        <f t="shared" si="321"/>
        <v>0.57499999999999929</v>
      </c>
      <c r="CU138">
        <f t="shared" si="321"/>
        <v>0.95961538461538609</v>
      </c>
      <c r="CV138">
        <f t="shared" si="321"/>
        <v>0.57499999999999929</v>
      </c>
      <c r="CW138">
        <f t="shared" si="321"/>
        <v>0.85277777777777786</v>
      </c>
      <c r="CX138">
        <f t="shared" si="321"/>
        <v>0.57499999999999929</v>
      </c>
      <c r="CY138">
        <f t="shared" si="321"/>
        <v>0.79239130434782723</v>
      </c>
      <c r="CZ138">
        <f t="shared" si="321"/>
        <v>0.57499999999999929</v>
      </c>
      <c r="DD138">
        <f>DD135/2</f>
        <v>0.1850000000000005</v>
      </c>
      <c r="DE138">
        <f t="shared" ref="DE138:DM138" si="322">DE135/2</f>
        <v>0.6850000000000005</v>
      </c>
      <c r="DF138">
        <f t="shared" si="322"/>
        <v>0.6850000000000005</v>
      </c>
      <c r="DG138">
        <f t="shared" si="322"/>
        <v>6.0000000000000497E-2</v>
      </c>
      <c r="DH138">
        <f t="shared" si="322"/>
        <v>0.19157894736842174</v>
      </c>
      <c r="DI138">
        <f t="shared" si="322"/>
        <v>0.27739130434782666</v>
      </c>
      <c r="DJ138">
        <f t="shared" si="322"/>
        <v>0.33777777777777906</v>
      </c>
      <c r="DK138">
        <f t="shared" si="322"/>
        <v>6.0000000000000497E-2</v>
      </c>
      <c r="DL138">
        <f t="shared" si="322"/>
        <v>0.13352941176470701</v>
      </c>
      <c r="DM138">
        <f t="shared" si="322"/>
        <v>0.19157894736842174</v>
      </c>
      <c r="DQ138">
        <f>DQ135/2</f>
        <v>0.66349999999999909</v>
      </c>
      <c r="DR138">
        <f t="shared" ref="DR138:DZ138" si="323">DR135/2</f>
        <v>0.41349999999999909</v>
      </c>
      <c r="DS138">
        <f t="shared" si="323"/>
        <v>0.41349999999999909</v>
      </c>
      <c r="DT138">
        <f t="shared" si="323"/>
        <v>0.41349999999999909</v>
      </c>
      <c r="DU138">
        <f t="shared" si="323"/>
        <v>0.41349999999999909</v>
      </c>
      <c r="DV138">
        <f t="shared" si="323"/>
        <v>0.41349999999999909</v>
      </c>
      <c r="DW138">
        <f t="shared" si="323"/>
        <v>0.41349999999999909</v>
      </c>
      <c r="DX138">
        <f t="shared" si="323"/>
        <v>0.41349999999999909</v>
      </c>
      <c r="DY138">
        <f t="shared" si="323"/>
        <v>0.41349999999999909</v>
      </c>
      <c r="DZ138">
        <f t="shared" si="323"/>
        <v>0.41349999999999909</v>
      </c>
    </row>
    <row r="139" spans="7:130" x14ac:dyDescent="0.25">
      <c r="H139">
        <f>H136/2</f>
        <v>0.25</v>
      </c>
      <c r="I139">
        <f t="shared" si="315"/>
        <v>0.25</v>
      </c>
      <c r="J139">
        <f t="shared" si="315"/>
        <v>0.25</v>
      </c>
      <c r="K139">
        <f t="shared" si="315"/>
        <v>0.25</v>
      </c>
      <c r="L139">
        <f t="shared" si="315"/>
        <v>0.25</v>
      </c>
      <c r="M139">
        <f t="shared" si="315"/>
        <v>0.25</v>
      </c>
      <c r="N139">
        <f t="shared" si="315"/>
        <v>0.25</v>
      </c>
      <c r="O139">
        <f t="shared" si="315"/>
        <v>0.25</v>
      </c>
      <c r="P139">
        <f t="shared" si="315"/>
        <v>0.25</v>
      </c>
      <c r="Q139">
        <f t="shared" si="315"/>
        <v>0.25</v>
      </c>
      <c r="R139" t="s">
        <v>253</v>
      </c>
      <c r="V139">
        <f>V136/2</f>
        <v>0.25</v>
      </c>
      <c r="W139">
        <f t="shared" ref="W139:AE139" si="324">W136/2</f>
        <v>0.25</v>
      </c>
      <c r="X139">
        <f t="shared" si="324"/>
        <v>0.25</v>
      </c>
      <c r="Y139">
        <f t="shared" si="324"/>
        <v>0.25</v>
      </c>
      <c r="Z139">
        <f t="shared" si="324"/>
        <v>0.25</v>
      </c>
      <c r="AA139">
        <f t="shared" si="324"/>
        <v>0.25</v>
      </c>
      <c r="AB139">
        <f t="shared" si="324"/>
        <v>0.25</v>
      </c>
      <c r="AC139">
        <f t="shared" si="324"/>
        <v>0.25</v>
      </c>
      <c r="AD139">
        <f t="shared" si="324"/>
        <v>0.25</v>
      </c>
      <c r="AE139">
        <f t="shared" si="324"/>
        <v>0.25</v>
      </c>
      <c r="AK139">
        <f>AK136/2</f>
        <v>0.25</v>
      </c>
      <c r="AL139">
        <f t="shared" ref="AL139:AT139" si="325">AL136/2</f>
        <v>0.25</v>
      </c>
      <c r="AM139">
        <f t="shared" si="325"/>
        <v>0.25</v>
      </c>
      <c r="AN139">
        <f t="shared" si="325"/>
        <v>0.25</v>
      </c>
      <c r="AO139">
        <f t="shared" si="325"/>
        <v>0.375</v>
      </c>
      <c r="AP139">
        <f t="shared" si="325"/>
        <v>0.375</v>
      </c>
      <c r="AQ139">
        <f t="shared" si="325"/>
        <v>0.5</v>
      </c>
      <c r="AR139">
        <f t="shared" si="325"/>
        <v>0.5</v>
      </c>
      <c r="AS139">
        <f t="shared" si="325"/>
        <v>0.625</v>
      </c>
      <c r="AT139">
        <f t="shared" si="325"/>
        <v>0.625</v>
      </c>
      <c r="AW139">
        <f>AW136/2</f>
        <v>0.25</v>
      </c>
      <c r="AX139">
        <f t="shared" ref="AX139:BF139" si="326">AX136/2</f>
        <v>0.25</v>
      </c>
      <c r="AY139">
        <f t="shared" si="326"/>
        <v>0.25</v>
      </c>
      <c r="AZ139">
        <f t="shared" si="326"/>
        <v>0.25</v>
      </c>
      <c r="BA139">
        <f t="shared" si="326"/>
        <v>0.375</v>
      </c>
      <c r="BB139">
        <f t="shared" si="326"/>
        <v>0.375</v>
      </c>
      <c r="BC139">
        <f t="shared" si="326"/>
        <v>0.5</v>
      </c>
      <c r="BD139">
        <f t="shared" si="326"/>
        <v>0.5</v>
      </c>
      <c r="BE139">
        <f t="shared" si="326"/>
        <v>0.625</v>
      </c>
      <c r="BF139">
        <f t="shared" si="326"/>
        <v>0.625</v>
      </c>
      <c r="BM139">
        <f>BM136/2</f>
        <v>0.25</v>
      </c>
      <c r="BN139">
        <f t="shared" ref="BN139:BV139" si="327">BN136/2</f>
        <v>0.25</v>
      </c>
      <c r="BO139">
        <f t="shared" si="327"/>
        <v>0.375</v>
      </c>
      <c r="BP139">
        <f t="shared" si="327"/>
        <v>0.5</v>
      </c>
      <c r="BQ139">
        <f t="shared" si="327"/>
        <v>0.625</v>
      </c>
      <c r="BR139">
        <f t="shared" si="327"/>
        <v>0.75</v>
      </c>
      <c r="BS139">
        <f t="shared" si="327"/>
        <v>0.875</v>
      </c>
      <c r="BT139">
        <f t="shared" si="327"/>
        <v>1</v>
      </c>
      <c r="BU139">
        <f t="shared" si="327"/>
        <v>1.125</v>
      </c>
      <c r="BV139">
        <f t="shared" si="327"/>
        <v>1.25</v>
      </c>
      <c r="CC139">
        <f>CC136/2</f>
        <v>0.25</v>
      </c>
      <c r="CD139">
        <f t="shared" ref="CD139:CL139" si="328">CD136/2</f>
        <v>0.375</v>
      </c>
      <c r="CE139">
        <f t="shared" si="328"/>
        <v>0.625</v>
      </c>
      <c r="CF139">
        <f t="shared" si="328"/>
        <v>0.75</v>
      </c>
      <c r="CG139">
        <f t="shared" si="328"/>
        <v>1</v>
      </c>
      <c r="CH139">
        <f t="shared" si="328"/>
        <v>1.125</v>
      </c>
      <c r="CI139">
        <f t="shared" si="328"/>
        <v>0</v>
      </c>
      <c r="CJ139">
        <f t="shared" si="328"/>
        <v>0.125</v>
      </c>
      <c r="CK139">
        <f t="shared" si="328"/>
        <v>0.375</v>
      </c>
      <c r="CL139">
        <f t="shared" si="328"/>
        <v>0.5</v>
      </c>
      <c r="CQ139">
        <f>CQ136/2</f>
        <v>0.375</v>
      </c>
      <c r="CR139">
        <f t="shared" ref="CR139:CZ139" si="329">CR136/2</f>
        <v>0.625</v>
      </c>
      <c r="CS139">
        <f t="shared" si="329"/>
        <v>1</v>
      </c>
      <c r="CT139">
        <f t="shared" si="329"/>
        <v>1.25</v>
      </c>
      <c r="CU139">
        <f t="shared" si="329"/>
        <v>0.25</v>
      </c>
      <c r="CV139">
        <f t="shared" si="329"/>
        <v>0.5</v>
      </c>
      <c r="CW139">
        <f t="shared" si="329"/>
        <v>0.875</v>
      </c>
      <c r="CX139">
        <f t="shared" si="329"/>
        <v>1.125</v>
      </c>
      <c r="CY139">
        <f t="shared" si="329"/>
        <v>0.125</v>
      </c>
      <c r="CZ139">
        <f t="shared" si="329"/>
        <v>0.375</v>
      </c>
      <c r="DD139">
        <f>DD136/2</f>
        <v>0.625</v>
      </c>
      <c r="DE139">
        <f t="shared" ref="DE139:DM139" si="330">DE136/2</f>
        <v>1</v>
      </c>
      <c r="DF139">
        <f t="shared" si="330"/>
        <v>0.125</v>
      </c>
      <c r="DG139">
        <f t="shared" si="330"/>
        <v>0.5</v>
      </c>
      <c r="DH139">
        <f t="shared" si="330"/>
        <v>1</v>
      </c>
      <c r="DI139">
        <f t="shared" si="330"/>
        <v>0.125</v>
      </c>
      <c r="DJ139">
        <f t="shared" si="330"/>
        <v>0.625</v>
      </c>
      <c r="DK139">
        <f t="shared" si="330"/>
        <v>1</v>
      </c>
      <c r="DL139">
        <f t="shared" si="330"/>
        <v>0.125</v>
      </c>
      <c r="DM139">
        <f t="shared" si="330"/>
        <v>0.625</v>
      </c>
      <c r="DQ139">
        <f>DQ136/2</f>
        <v>0.75</v>
      </c>
      <c r="DR139">
        <f t="shared" ref="DR139:DZ139" si="331">DR136/2</f>
        <v>1.25</v>
      </c>
      <c r="DS139">
        <f t="shared" si="331"/>
        <v>0.5</v>
      </c>
      <c r="DT139">
        <f t="shared" si="331"/>
        <v>1.125</v>
      </c>
      <c r="DU139">
        <f t="shared" si="331"/>
        <v>0.375</v>
      </c>
      <c r="DV139">
        <f t="shared" si="331"/>
        <v>1</v>
      </c>
      <c r="DW139">
        <f t="shared" si="331"/>
        <v>0.25</v>
      </c>
      <c r="DX139">
        <f t="shared" si="331"/>
        <v>0.875</v>
      </c>
      <c r="DY139">
        <f t="shared" si="331"/>
        <v>0.125</v>
      </c>
      <c r="DZ139">
        <f t="shared" si="331"/>
        <v>0.75</v>
      </c>
    </row>
    <row r="140" spans="7:130" x14ac:dyDescent="0.25">
      <c r="G140" t="s">
        <v>254</v>
      </c>
      <c r="U140" t="s">
        <v>254</v>
      </c>
      <c r="AJ140" t="s">
        <v>254</v>
      </c>
      <c r="AV140" t="s">
        <v>254</v>
      </c>
      <c r="BL140" t="s">
        <v>254</v>
      </c>
      <c r="CB140" t="s">
        <v>254</v>
      </c>
      <c r="CP140" t="s">
        <v>254</v>
      </c>
      <c r="DC140" t="s">
        <v>254</v>
      </c>
      <c r="DP140" t="s">
        <v>254</v>
      </c>
    </row>
    <row r="141" spans="7:130" x14ac:dyDescent="0.25">
      <c r="G141" t="s">
        <v>245</v>
      </c>
      <c r="H141">
        <f>H131+1</f>
        <v>4</v>
      </c>
      <c r="I141">
        <f>IF(I138&lt;1,I131+1,I131)</f>
        <v>4</v>
      </c>
      <c r="J141">
        <f>IF(J138&lt;1,J131+1,J131)</f>
        <v>5</v>
      </c>
      <c r="K141">
        <f t="shared" ref="K141:P141" si="332">IF(K138&lt;1,K131+1,K131)</f>
        <v>6</v>
      </c>
      <c r="L141">
        <f t="shared" si="332"/>
        <v>7</v>
      </c>
      <c r="M141">
        <f t="shared" si="332"/>
        <v>8</v>
      </c>
      <c r="N141">
        <f t="shared" si="332"/>
        <v>9</v>
      </c>
      <c r="O141">
        <f t="shared" si="332"/>
        <v>10</v>
      </c>
      <c r="P141">
        <f t="shared" si="332"/>
        <v>11</v>
      </c>
      <c r="Q141">
        <f>IF(Q138&lt;1,Q131+1,Q131)</f>
        <v>12</v>
      </c>
      <c r="U141" t="s">
        <v>245</v>
      </c>
      <c r="V141">
        <f>V131+1</f>
        <v>4</v>
      </c>
      <c r="W141">
        <f>IF(W138&lt;1,W131+1,W131)</f>
        <v>5</v>
      </c>
      <c r="X141">
        <f>IF(X138&lt;1,X131+1,X131)</f>
        <v>5</v>
      </c>
      <c r="Y141">
        <f t="shared" ref="Y141:AD141" si="333">IF(Y138&lt;1,Y131+1,Y131)</f>
        <v>6</v>
      </c>
      <c r="Z141">
        <f t="shared" si="333"/>
        <v>7</v>
      </c>
      <c r="AA141">
        <f t="shared" si="333"/>
        <v>8</v>
      </c>
      <c r="AB141">
        <f t="shared" si="333"/>
        <v>9</v>
      </c>
      <c r="AC141">
        <f t="shared" si="333"/>
        <v>10</v>
      </c>
      <c r="AD141">
        <f t="shared" si="333"/>
        <v>11</v>
      </c>
      <c r="AE141">
        <f>IF(AE138&lt;1,AE131+1,AE131)</f>
        <v>12</v>
      </c>
      <c r="AJ141" t="s">
        <v>245</v>
      </c>
      <c r="AK141">
        <f>AK131+1</f>
        <v>5</v>
      </c>
      <c r="AL141">
        <f>IF(AL138&lt;1,AL131+1,AL131)</f>
        <v>6</v>
      </c>
      <c r="AM141">
        <f>IF(AM138&lt;1,AM131+1,AM131)</f>
        <v>8</v>
      </c>
      <c r="AN141">
        <f t="shared" ref="AN141:AS141" si="334">IF(AN138&lt;1,AN131+1,AN131)</f>
        <v>10</v>
      </c>
      <c r="AO141">
        <f t="shared" si="334"/>
        <v>9</v>
      </c>
      <c r="AP141">
        <f t="shared" si="334"/>
        <v>10</v>
      </c>
      <c r="AQ141">
        <f t="shared" si="334"/>
        <v>9</v>
      </c>
      <c r="AR141">
        <f t="shared" si="334"/>
        <v>10</v>
      </c>
      <c r="AS141">
        <f t="shared" si="334"/>
        <v>9</v>
      </c>
      <c r="AT141">
        <f>IF(AT138&lt;1,AT131+1,AT131)</f>
        <v>10</v>
      </c>
      <c r="AV141" t="s">
        <v>245</v>
      </c>
      <c r="AW141">
        <f>AW131+1</f>
        <v>6</v>
      </c>
      <c r="AX141">
        <f>IF(AX138&lt;1,AX131+1,AX131)</f>
        <v>7</v>
      </c>
      <c r="AY141">
        <f>IF(AY138&lt;1,AY131+1,AY131)</f>
        <v>9</v>
      </c>
      <c r="AZ141">
        <f t="shared" ref="AZ141:BE141" si="335">IF(AZ138&lt;1,AZ131+1,AZ131)</f>
        <v>10</v>
      </c>
      <c r="BA141">
        <f t="shared" si="335"/>
        <v>9</v>
      </c>
      <c r="BB141">
        <f t="shared" si="335"/>
        <v>10</v>
      </c>
      <c r="BC141">
        <f t="shared" si="335"/>
        <v>10</v>
      </c>
      <c r="BD141">
        <f t="shared" si="335"/>
        <v>10</v>
      </c>
      <c r="BE141">
        <f t="shared" si="335"/>
        <v>10</v>
      </c>
      <c r="BF141">
        <f>IF(BF138&lt;1,BF131+1,BF131)</f>
        <v>10</v>
      </c>
      <c r="BL141" t="s">
        <v>245</v>
      </c>
      <c r="BM141">
        <f>BM131+1</f>
        <v>9</v>
      </c>
      <c r="BN141">
        <f>IF(BN138&lt;1,BN131+1,BN131)</f>
        <v>11</v>
      </c>
      <c r="BO141">
        <f>IF(BO138&lt;1,BO131+1,BO131)</f>
        <v>11</v>
      </c>
      <c r="BP141">
        <f t="shared" ref="BP141:BU141" si="336">IF(BP138&lt;1,BP131+1,BP131)</f>
        <v>11</v>
      </c>
      <c r="BQ141">
        <f t="shared" si="336"/>
        <v>11</v>
      </c>
      <c r="BR141">
        <f t="shared" si="336"/>
        <v>11</v>
      </c>
      <c r="BS141">
        <f t="shared" si="336"/>
        <v>11</v>
      </c>
      <c r="BT141">
        <f t="shared" si="336"/>
        <v>11</v>
      </c>
      <c r="BU141">
        <f t="shared" si="336"/>
        <v>11</v>
      </c>
      <c r="BV141">
        <f>IF(BV138&lt;1,BV131+1,BV131)</f>
        <v>11</v>
      </c>
      <c r="CB141" t="s">
        <v>245</v>
      </c>
      <c r="CC141">
        <f>CC131+1</f>
        <v>11</v>
      </c>
      <c r="CD141">
        <f>IF(CD138&lt;1,CD131+1,CD131)</f>
        <v>10</v>
      </c>
      <c r="CE141">
        <f>IF(CE138&lt;1,CE131+1,CE131)</f>
        <v>10</v>
      </c>
      <c r="CF141">
        <f t="shared" ref="CF141:CK141" si="337">IF(CF138&lt;1,CF131+1,CF131)</f>
        <v>10</v>
      </c>
      <c r="CG141">
        <f t="shared" si="337"/>
        <v>10</v>
      </c>
      <c r="CH141">
        <f t="shared" si="337"/>
        <v>10</v>
      </c>
      <c r="CI141">
        <f t="shared" si="337"/>
        <v>10</v>
      </c>
      <c r="CJ141">
        <f t="shared" si="337"/>
        <v>10</v>
      </c>
      <c r="CK141">
        <f t="shared" si="337"/>
        <v>10</v>
      </c>
      <c r="CL141">
        <f>IF(CL138&lt;1,CL131+1,CL131)</f>
        <v>10</v>
      </c>
      <c r="CP141" t="s">
        <v>245</v>
      </c>
      <c r="CQ141">
        <f>CQ131+1</f>
        <v>13</v>
      </c>
      <c r="CR141">
        <f>IF(CR138&lt;1,CR131+1,CR131)</f>
        <v>11</v>
      </c>
      <c r="CS141">
        <f>IF(CS138&lt;1,CS131+1,CS131)</f>
        <v>10</v>
      </c>
      <c r="CT141">
        <f t="shared" ref="CT141:CY141" si="338">IF(CT138&lt;1,CT131+1,CT131)</f>
        <v>11</v>
      </c>
      <c r="CU141">
        <f t="shared" si="338"/>
        <v>11</v>
      </c>
      <c r="CV141">
        <f t="shared" si="338"/>
        <v>11</v>
      </c>
      <c r="CW141">
        <f t="shared" si="338"/>
        <v>11</v>
      </c>
      <c r="CX141">
        <f t="shared" si="338"/>
        <v>11</v>
      </c>
      <c r="CY141">
        <f t="shared" si="338"/>
        <v>11</v>
      </c>
      <c r="CZ141">
        <f>IF(CZ138&lt;1,CZ131+1,CZ131)</f>
        <v>11</v>
      </c>
      <c r="DC141" t="s">
        <v>245</v>
      </c>
      <c r="DD141">
        <f>DD131+1</f>
        <v>12</v>
      </c>
      <c r="DE141">
        <f>IF(DE138&lt;1,DE131+1,DE131)</f>
        <v>11</v>
      </c>
      <c r="DF141">
        <f>IF(DF138&lt;1,DF131+1,DF131)</f>
        <v>11</v>
      </c>
      <c r="DG141">
        <f t="shared" ref="DG141:DL141" si="339">IF(DG138&lt;1,DG131+1,DG131)</f>
        <v>11</v>
      </c>
      <c r="DH141">
        <f t="shared" si="339"/>
        <v>11</v>
      </c>
      <c r="DI141">
        <f t="shared" si="339"/>
        <v>11</v>
      </c>
      <c r="DJ141">
        <f t="shared" si="339"/>
        <v>11</v>
      </c>
      <c r="DK141">
        <f t="shared" si="339"/>
        <v>11</v>
      </c>
      <c r="DL141">
        <f t="shared" si="339"/>
        <v>11</v>
      </c>
      <c r="DM141">
        <f>IF(DM138&lt;1,DM131+1,DM131)</f>
        <v>11</v>
      </c>
      <c r="DP141" t="s">
        <v>245</v>
      </c>
      <c r="DQ141">
        <f>DQ131+1</f>
        <v>13</v>
      </c>
      <c r="DR141">
        <f>IF(DR138&lt;1,DR131+1,DR131)</f>
        <v>11</v>
      </c>
      <c r="DS141">
        <f>IF(DS138&lt;1,DS131+1,DS131)</f>
        <v>11</v>
      </c>
      <c r="DT141">
        <f t="shared" ref="DT141:DY141" si="340">IF(DT138&lt;1,DT131+1,DT131)</f>
        <v>11</v>
      </c>
      <c r="DU141">
        <f t="shared" si="340"/>
        <v>11</v>
      </c>
      <c r="DV141">
        <f t="shared" si="340"/>
        <v>11</v>
      </c>
      <c r="DW141">
        <f t="shared" si="340"/>
        <v>11</v>
      </c>
      <c r="DX141">
        <f t="shared" si="340"/>
        <v>11</v>
      </c>
      <c r="DY141">
        <f t="shared" si="340"/>
        <v>11</v>
      </c>
      <c r="DZ141">
        <f>IF(DZ138&lt;1,DZ131+1,DZ131)</f>
        <v>11</v>
      </c>
    </row>
    <row r="142" spans="7:130" x14ac:dyDescent="0.25">
      <c r="G142" t="s">
        <v>116</v>
      </c>
      <c r="H142">
        <f>H132+1</f>
        <v>3</v>
      </c>
      <c r="I142">
        <f>I132+1</f>
        <v>3</v>
      </c>
      <c r="J142">
        <f t="shared" ref="J142:Q142" si="341">J132+1</f>
        <v>3</v>
      </c>
      <c r="K142">
        <f t="shared" si="341"/>
        <v>3</v>
      </c>
      <c r="L142">
        <f t="shared" si="341"/>
        <v>3</v>
      </c>
      <c r="M142">
        <f t="shared" si="341"/>
        <v>3</v>
      </c>
      <c r="N142">
        <f t="shared" si="341"/>
        <v>3</v>
      </c>
      <c r="O142">
        <f t="shared" si="341"/>
        <v>3</v>
      </c>
      <c r="P142">
        <f t="shared" si="341"/>
        <v>3</v>
      </c>
      <c r="Q142">
        <f t="shared" si="341"/>
        <v>3</v>
      </c>
      <c r="U142" t="s">
        <v>116</v>
      </c>
      <c r="V142">
        <f>V132+1</f>
        <v>3</v>
      </c>
      <c r="W142">
        <f>W132+1</f>
        <v>3</v>
      </c>
      <c r="X142">
        <f t="shared" ref="X142:AE142" si="342">X132+1</f>
        <v>3</v>
      </c>
      <c r="Y142">
        <f t="shared" si="342"/>
        <v>3</v>
      </c>
      <c r="Z142">
        <f t="shared" si="342"/>
        <v>3</v>
      </c>
      <c r="AA142">
        <f t="shared" si="342"/>
        <v>3</v>
      </c>
      <c r="AB142">
        <f t="shared" si="342"/>
        <v>3</v>
      </c>
      <c r="AC142">
        <f t="shared" si="342"/>
        <v>3</v>
      </c>
      <c r="AD142">
        <f t="shared" si="342"/>
        <v>3</v>
      </c>
      <c r="AE142">
        <f t="shared" si="342"/>
        <v>3</v>
      </c>
      <c r="AJ142" t="s">
        <v>116</v>
      </c>
      <c r="AK142">
        <f>AK132+1</f>
        <v>3</v>
      </c>
      <c r="AL142">
        <f>AL132+1</f>
        <v>3</v>
      </c>
      <c r="AM142">
        <f t="shared" ref="AM142:AT142" si="343">AM132+1</f>
        <v>3</v>
      </c>
      <c r="AN142">
        <f t="shared" si="343"/>
        <v>3</v>
      </c>
      <c r="AO142">
        <f t="shared" si="343"/>
        <v>4</v>
      </c>
      <c r="AP142">
        <f t="shared" si="343"/>
        <v>4</v>
      </c>
      <c r="AQ142">
        <f t="shared" si="343"/>
        <v>5</v>
      </c>
      <c r="AR142">
        <f t="shared" si="343"/>
        <v>5</v>
      </c>
      <c r="AS142">
        <f t="shared" si="343"/>
        <v>6</v>
      </c>
      <c r="AT142">
        <f t="shared" si="343"/>
        <v>6</v>
      </c>
      <c r="AV142" t="s">
        <v>116</v>
      </c>
      <c r="AW142">
        <f>AW132+1</f>
        <v>3</v>
      </c>
      <c r="AX142">
        <f>AX132+1</f>
        <v>3</v>
      </c>
      <c r="AY142">
        <f t="shared" ref="AY142:BF142" si="344">AY132+1</f>
        <v>3</v>
      </c>
      <c r="AZ142">
        <f t="shared" si="344"/>
        <v>3</v>
      </c>
      <c r="BA142">
        <f t="shared" si="344"/>
        <v>4</v>
      </c>
      <c r="BB142">
        <f t="shared" si="344"/>
        <v>4</v>
      </c>
      <c r="BC142">
        <f t="shared" si="344"/>
        <v>5</v>
      </c>
      <c r="BD142">
        <f t="shared" si="344"/>
        <v>5</v>
      </c>
      <c r="BE142">
        <f t="shared" si="344"/>
        <v>6</v>
      </c>
      <c r="BF142">
        <f t="shared" si="344"/>
        <v>6</v>
      </c>
      <c r="BL142" t="s">
        <v>116</v>
      </c>
      <c r="BM142">
        <f>BM132+1</f>
        <v>3</v>
      </c>
      <c r="BN142">
        <f>BN132+1</f>
        <v>3</v>
      </c>
      <c r="BO142">
        <f t="shared" ref="BO142:BV142" si="345">BO132+1</f>
        <v>4</v>
      </c>
      <c r="BP142">
        <f t="shared" si="345"/>
        <v>5</v>
      </c>
      <c r="BQ142">
        <f t="shared" si="345"/>
        <v>6</v>
      </c>
      <c r="BR142">
        <f t="shared" si="345"/>
        <v>7</v>
      </c>
      <c r="BS142">
        <f t="shared" si="345"/>
        <v>8</v>
      </c>
      <c r="BT142">
        <f t="shared" si="345"/>
        <v>9</v>
      </c>
      <c r="BU142">
        <f t="shared" si="345"/>
        <v>10</v>
      </c>
      <c r="BV142">
        <f t="shared" si="345"/>
        <v>11</v>
      </c>
      <c r="CB142" t="s">
        <v>116</v>
      </c>
      <c r="CC142">
        <f>CC132+1</f>
        <v>3</v>
      </c>
      <c r="CD142">
        <f>CD132+1</f>
        <v>4</v>
      </c>
      <c r="CE142">
        <f t="shared" ref="CE142:CL142" si="346">CE132+1</f>
        <v>6</v>
      </c>
      <c r="CF142">
        <f t="shared" si="346"/>
        <v>7</v>
      </c>
      <c r="CG142">
        <f t="shared" si="346"/>
        <v>9</v>
      </c>
      <c r="CH142">
        <f t="shared" si="346"/>
        <v>10</v>
      </c>
      <c r="CI142">
        <f t="shared" si="346"/>
        <v>11</v>
      </c>
      <c r="CJ142">
        <f t="shared" si="346"/>
        <v>12</v>
      </c>
      <c r="CK142">
        <f t="shared" si="346"/>
        <v>14</v>
      </c>
      <c r="CL142">
        <f t="shared" si="346"/>
        <v>15</v>
      </c>
      <c r="CP142" t="s">
        <v>116</v>
      </c>
      <c r="CQ142">
        <f>CQ132+1</f>
        <v>4</v>
      </c>
      <c r="CR142">
        <f>CR132+1</f>
        <v>6</v>
      </c>
      <c r="CS142">
        <f t="shared" ref="CS142:CZ142" si="347">CS132+1</f>
        <v>9</v>
      </c>
      <c r="CT142">
        <f t="shared" si="347"/>
        <v>11</v>
      </c>
      <c r="CU142">
        <f t="shared" si="347"/>
        <v>13</v>
      </c>
      <c r="CV142">
        <f t="shared" si="347"/>
        <v>15</v>
      </c>
      <c r="CW142">
        <f t="shared" si="347"/>
        <v>18</v>
      </c>
      <c r="CX142">
        <f t="shared" si="347"/>
        <v>20</v>
      </c>
      <c r="CY142">
        <f t="shared" si="347"/>
        <v>22</v>
      </c>
      <c r="CZ142">
        <f t="shared" si="347"/>
        <v>24</v>
      </c>
      <c r="DC142" t="s">
        <v>116</v>
      </c>
      <c r="DD142">
        <f>DD132+1</f>
        <v>6</v>
      </c>
      <c r="DE142">
        <f>DE132+1</f>
        <v>9</v>
      </c>
      <c r="DF142">
        <f t="shared" ref="DF142:DM142" si="348">DF132+1</f>
        <v>12</v>
      </c>
      <c r="DG142">
        <f t="shared" si="348"/>
        <v>15</v>
      </c>
      <c r="DH142">
        <f t="shared" si="348"/>
        <v>19</v>
      </c>
      <c r="DI142">
        <f t="shared" si="348"/>
        <v>22</v>
      </c>
      <c r="DJ142">
        <f t="shared" si="348"/>
        <v>26</v>
      </c>
      <c r="DK142">
        <f t="shared" si="348"/>
        <v>29</v>
      </c>
      <c r="DL142">
        <f t="shared" si="348"/>
        <v>32</v>
      </c>
      <c r="DM142">
        <f t="shared" si="348"/>
        <v>36</v>
      </c>
      <c r="DP142" t="s">
        <v>116</v>
      </c>
      <c r="DQ142">
        <f>DQ132+1</f>
        <v>7</v>
      </c>
      <c r="DR142">
        <f>DR132+1</f>
        <v>11</v>
      </c>
      <c r="DS142">
        <f t="shared" ref="DS142:DZ142" si="349">DS132+1</f>
        <v>15</v>
      </c>
      <c r="DT142">
        <f t="shared" si="349"/>
        <v>20</v>
      </c>
      <c r="DU142">
        <f t="shared" si="349"/>
        <v>24</v>
      </c>
      <c r="DV142">
        <f t="shared" si="349"/>
        <v>29</v>
      </c>
      <c r="DW142">
        <f t="shared" si="349"/>
        <v>33</v>
      </c>
      <c r="DX142">
        <f t="shared" si="349"/>
        <v>38</v>
      </c>
      <c r="DY142">
        <f t="shared" si="349"/>
        <v>42</v>
      </c>
      <c r="DZ142">
        <f t="shared" si="349"/>
        <v>47</v>
      </c>
    </row>
    <row r="144" spans="7:130" x14ac:dyDescent="0.25">
      <c r="G144" t="s">
        <v>125</v>
      </c>
      <c r="H144">
        <f>(H141*2-1)+H142*2</f>
        <v>13</v>
      </c>
      <c r="I144">
        <f>(I141*2-1)+I142*2</f>
        <v>13</v>
      </c>
      <c r="J144">
        <f t="shared" ref="J144:Q144" si="350">(J141*2-1)+J142*2</f>
        <v>15</v>
      </c>
      <c r="K144">
        <f t="shared" si="350"/>
        <v>17</v>
      </c>
      <c r="L144">
        <f t="shared" si="350"/>
        <v>19</v>
      </c>
      <c r="M144">
        <f t="shared" si="350"/>
        <v>21</v>
      </c>
      <c r="N144">
        <f t="shared" si="350"/>
        <v>23</v>
      </c>
      <c r="O144">
        <f t="shared" si="350"/>
        <v>25</v>
      </c>
      <c r="P144">
        <f t="shared" si="350"/>
        <v>27</v>
      </c>
      <c r="Q144">
        <f t="shared" si="350"/>
        <v>29</v>
      </c>
      <c r="U144" t="s">
        <v>125</v>
      </c>
      <c r="V144">
        <f>(V141*2-1)+V142*2</f>
        <v>13</v>
      </c>
      <c r="W144">
        <f t="shared" ref="W144:AE144" si="351">(W141*2-1)+W142*2</f>
        <v>15</v>
      </c>
      <c r="X144">
        <f t="shared" si="351"/>
        <v>15</v>
      </c>
      <c r="Y144">
        <f t="shared" si="351"/>
        <v>17</v>
      </c>
      <c r="Z144">
        <f t="shared" si="351"/>
        <v>19</v>
      </c>
      <c r="AA144">
        <f t="shared" si="351"/>
        <v>21</v>
      </c>
      <c r="AB144">
        <f t="shared" si="351"/>
        <v>23</v>
      </c>
      <c r="AC144">
        <f t="shared" si="351"/>
        <v>25</v>
      </c>
      <c r="AD144">
        <f t="shared" si="351"/>
        <v>27</v>
      </c>
      <c r="AE144">
        <f t="shared" si="351"/>
        <v>29</v>
      </c>
      <c r="AJ144" t="s">
        <v>125</v>
      </c>
      <c r="AK144">
        <f>(AK141*2-1)+AK142*2</f>
        <v>15</v>
      </c>
      <c r="AL144">
        <f t="shared" ref="AL144:AT144" si="352">(AL141*2-1)+AL142*2</f>
        <v>17</v>
      </c>
      <c r="AM144">
        <f t="shared" si="352"/>
        <v>21</v>
      </c>
      <c r="AN144">
        <f t="shared" si="352"/>
        <v>25</v>
      </c>
      <c r="AO144">
        <f t="shared" si="352"/>
        <v>25</v>
      </c>
      <c r="AP144">
        <f t="shared" si="352"/>
        <v>27</v>
      </c>
      <c r="AQ144">
        <f t="shared" si="352"/>
        <v>27</v>
      </c>
      <c r="AR144">
        <f t="shared" si="352"/>
        <v>29</v>
      </c>
      <c r="AS144">
        <f t="shared" si="352"/>
        <v>29</v>
      </c>
      <c r="AT144">
        <f t="shared" si="352"/>
        <v>31</v>
      </c>
      <c r="AV144" t="s">
        <v>125</v>
      </c>
      <c r="AW144">
        <f>(AW141*2-1)+AW142*2</f>
        <v>17</v>
      </c>
      <c r="AX144">
        <f t="shared" ref="AX144:BF144" si="353">(AX141*2-1)+AX142*2</f>
        <v>19</v>
      </c>
      <c r="AY144">
        <f t="shared" si="353"/>
        <v>23</v>
      </c>
      <c r="AZ144">
        <f t="shared" si="353"/>
        <v>25</v>
      </c>
      <c r="BA144">
        <f t="shared" si="353"/>
        <v>25</v>
      </c>
      <c r="BB144">
        <f t="shared" si="353"/>
        <v>27</v>
      </c>
      <c r="BC144">
        <f t="shared" si="353"/>
        <v>29</v>
      </c>
      <c r="BD144">
        <f t="shared" si="353"/>
        <v>29</v>
      </c>
      <c r="BE144">
        <f t="shared" si="353"/>
        <v>31</v>
      </c>
      <c r="BF144">
        <f t="shared" si="353"/>
        <v>31</v>
      </c>
      <c r="BL144" t="s">
        <v>125</v>
      </c>
      <c r="BM144">
        <f>(BM141*2-1)+BM142*2</f>
        <v>23</v>
      </c>
      <c r="BN144">
        <f t="shared" ref="BN144:BV144" si="354">(BN141*2-1)+BN142*2</f>
        <v>27</v>
      </c>
      <c r="BO144">
        <f t="shared" si="354"/>
        <v>29</v>
      </c>
      <c r="BP144">
        <f t="shared" si="354"/>
        <v>31</v>
      </c>
      <c r="BQ144">
        <f t="shared" si="354"/>
        <v>33</v>
      </c>
      <c r="BR144">
        <f t="shared" si="354"/>
        <v>35</v>
      </c>
      <c r="BS144">
        <f t="shared" si="354"/>
        <v>37</v>
      </c>
      <c r="BT144">
        <f t="shared" si="354"/>
        <v>39</v>
      </c>
      <c r="BU144">
        <f t="shared" si="354"/>
        <v>41</v>
      </c>
      <c r="BV144">
        <f t="shared" si="354"/>
        <v>43</v>
      </c>
      <c r="CB144" t="s">
        <v>125</v>
      </c>
      <c r="CC144">
        <f>(CC141*2-1)+CC142*2</f>
        <v>27</v>
      </c>
      <c r="CD144">
        <f t="shared" ref="CD144:CL144" si="355">(CD141*2-1)+CD142*2</f>
        <v>27</v>
      </c>
      <c r="CE144">
        <f t="shared" si="355"/>
        <v>31</v>
      </c>
      <c r="CF144">
        <f t="shared" si="355"/>
        <v>33</v>
      </c>
      <c r="CG144">
        <f t="shared" si="355"/>
        <v>37</v>
      </c>
      <c r="CH144">
        <f t="shared" si="355"/>
        <v>39</v>
      </c>
      <c r="CI144">
        <f t="shared" si="355"/>
        <v>41</v>
      </c>
      <c r="CJ144">
        <f t="shared" si="355"/>
        <v>43</v>
      </c>
      <c r="CK144">
        <f t="shared" si="355"/>
        <v>47</v>
      </c>
      <c r="CL144">
        <f t="shared" si="355"/>
        <v>49</v>
      </c>
      <c r="CP144" t="s">
        <v>125</v>
      </c>
      <c r="CQ144">
        <f>(CQ141*2-1)+CQ142*2</f>
        <v>33</v>
      </c>
      <c r="CR144">
        <f t="shared" ref="CR144:CZ144" si="356">(CR141*2-1)+CR142*2</f>
        <v>33</v>
      </c>
      <c r="CS144">
        <f t="shared" si="356"/>
        <v>37</v>
      </c>
      <c r="CT144">
        <f t="shared" si="356"/>
        <v>43</v>
      </c>
      <c r="CU144">
        <f t="shared" si="356"/>
        <v>47</v>
      </c>
      <c r="CV144">
        <f t="shared" si="356"/>
        <v>51</v>
      </c>
      <c r="CW144">
        <f t="shared" si="356"/>
        <v>57</v>
      </c>
      <c r="CX144">
        <f t="shared" si="356"/>
        <v>61</v>
      </c>
      <c r="CY144">
        <f t="shared" si="356"/>
        <v>65</v>
      </c>
      <c r="CZ144">
        <f t="shared" si="356"/>
        <v>69</v>
      </c>
      <c r="DC144" t="s">
        <v>125</v>
      </c>
      <c r="DD144">
        <f>(DD141*2-1)+DD142*2</f>
        <v>35</v>
      </c>
      <c r="DE144">
        <f t="shared" ref="DE144:DM144" si="357">(DE141*2-1)+DE142*2</f>
        <v>39</v>
      </c>
      <c r="DF144">
        <f t="shared" si="357"/>
        <v>45</v>
      </c>
      <c r="DG144">
        <f t="shared" si="357"/>
        <v>51</v>
      </c>
      <c r="DH144">
        <f t="shared" si="357"/>
        <v>59</v>
      </c>
      <c r="DI144">
        <f t="shared" si="357"/>
        <v>65</v>
      </c>
      <c r="DJ144">
        <f t="shared" si="357"/>
        <v>73</v>
      </c>
      <c r="DK144">
        <f t="shared" si="357"/>
        <v>79</v>
      </c>
      <c r="DL144">
        <f t="shared" si="357"/>
        <v>85</v>
      </c>
      <c r="DM144">
        <f t="shared" si="357"/>
        <v>93</v>
      </c>
      <c r="DP144" t="s">
        <v>125</v>
      </c>
      <c r="DQ144">
        <f>(DQ141*2-1)+DQ142*2</f>
        <v>39</v>
      </c>
      <c r="DR144">
        <f t="shared" ref="DR144:DZ144" si="358">(DR141*2-1)+DR142*2</f>
        <v>43</v>
      </c>
      <c r="DS144">
        <f t="shared" si="358"/>
        <v>51</v>
      </c>
      <c r="DT144">
        <f t="shared" si="358"/>
        <v>61</v>
      </c>
      <c r="DU144">
        <f t="shared" si="358"/>
        <v>69</v>
      </c>
      <c r="DV144">
        <f t="shared" si="358"/>
        <v>79</v>
      </c>
      <c r="DW144">
        <f t="shared" si="358"/>
        <v>87</v>
      </c>
      <c r="DX144">
        <f t="shared" si="358"/>
        <v>97</v>
      </c>
      <c r="DY144">
        <f t="shared" si="358"/>
        <v>105</v>
      </c>
      <c r="DZ144">
        <f t="shared" si="358"/>
        <v>115</v>
      </c>
    </row>
    <row r="146" spans="7:131" x14ac:dyDescent="0.25">
      <c r="G146" t="s">
        <v>255</v>
      </c>
      <c r="H146">
        <v>1</v>
      </c>
      <c r="I146">
        <v>1</v>
      </c>
      <c r="J146">
        <v>1</v>
      </c>
      <c r="K146">
        <v>1</v>
      </c>
      <c r="L146">
        <v>1</v>
      </c>
      <c r="M146">
        <v>1</v>
      </c>
      <c r="N146">
        <v>1</v>
      </c>
      <c r="O146">
        <v>1</v>
      </c>
      <c r="P146">
        <v>1</v>
      </c>
      <c r="Q146">
        <v>1</v>
      </c>
      <c r="U146" t="s">
        <v>255</v>
      </c>
      <c r="V146">
        <v>1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>
        <v>1</v>
      </c>
      <c r="AE146">
        <v>1</v>
      </c>
      <c r="AJ146" t="s">
        <v>255</v>
      </c>
      <c r="AK146">
        <v>1</v>
      </c>
      <c r="AL146">
        <v>1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V146" t="s">
        <v>255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L146" t="s">
        <v>255</v>
      </c>
      <c r="BM146">
        <v>1</v>
      </c>
      <c r="BN146">
        <v>1</v>
      </c>
      <c r="BO146">
        <v>1</v>
      </c>
      <c r="BP146">
        <v>1</v>
      </c>
      <c r="BQ146">
        <v>1</v>
      </c>
      <c r="BR146">
        <v>1</v>
      </c>
      <c r="BS146">
        <v>1</v>
      </c>
      <c r="BT146">
        <v>1</v>
      </c>
      <c r="BU146">
        <v>1</v>
      </c>
      <c r="BV146">
        <v>1</v>
      </c>
      <c r="CB146" t="s">
        <v>255</v>
      </c>
      <c r="CC146">
        <v>1</v>
      </c>
      <c r="CD146">
        <v>1</v>
      </c>
      <c r="CE146">
        <v>1</v>
      </c>
      <c r="CF146">
        <v>1</v>
      </c>
      <c r="CG146">
        <v>1</v>
      </c>
      <c r="CH146">
        <v>1</v>
      </c>
      <c r="CI146">
        <v>1</v>
      </c>
      <c r="CJ146">
        <v>1</v>
      </c>
      <c r="CK146">
        <v>1</v>
      </c>
      <c r="CL146">
        <v>1</v>
      </c>
      <c r="CP146" t="s">
        <v>255</v>
      </c>
      <c r="CQ146">
        <v>1</v>
      </c>
      <c r="CR146">
        <v>1</v>
      </c>
      <c r="CS146">
        <v>1</v>
      </c>
      <c r="CT146">
        <v>1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C146" t="s">
        <v>255</v>
      </c>
      <c r="DD146">
        <v>1</v>
      </c>
      <c r="DE146">
        <v>1</v>
      </c>
      <c r="DF146">
        <v>1</v>
      </c>
      <c r="DG146">
        <v>1</v>
      </c>
      <c r="DH146">
        <v>1</v>
      </c>
      <c r="DI146">
        <v>1</v>
      </c>
      <c r="DJ146">
        <v>1</v>
      </c>
      <c r="DK146">
        <v>1</v>
      </c>
      <c r="DL146">
        <v>1</v>
      </c>
      <c r="DM146">
        <v>1</v>
      </c>
      <c r="DP146" t="s">
        <v>255</v>
      </c>
      <c r="DQ146">
        <v>1</v>
      </c>
      <c r="DR146">
        <v>1</v>
      </c>
      <c r="DS146">
        <v>1</v>
      </c>
      <c r="DT146">
        <v>1</v>
      </c>
      <c r="DU146">
        <v>1</v>
      </c>
      <c r="DV146">
        <v>1</v>
      </c>
      <c r="DW146">
        <v>1</v>
      </c>
      <c r="DX146">
        <v>1</v>
      </c>
      <c r="DY146">
        <v>1</v>
      </c>
      <c r="DZ146">
        <v>1</v>
      </c>
    </row>
    <row r="147" spans="7:131" x14ac:dyDescent="0.25">
      <c r="G147" s="10" t="s">
        <v>263</v>
      </c>
      <c r="U147" s="10" t="s">
        <v>263</v>
      </c>
      <c r="AJ147" s="10" t="s">
        <v>263</v>
      </c>
      <c r="AV147" s="10" t="s">
        <v>263</v>
      </c>
      <c r="BL147" s="10" t="s">
        <v>263</v>
      </c>
      <c r="CB147" s="10" t="s">
        <v>263</v>
      </c>
      <c r="CP147" s="10" t="s">
        <v>263</v>
      </c>
      <c r="DC147" s="10" t="s">
        <v>263</v>
      </c>
      <c r="DP147" s="10" t="s">
        <v>263</v>
      </c>
    </row>
    <row r="148" spans="7:131" x14ac:dyDescent="0.25">
      <c r="G148" t="s">
        <v>261</v>
      </c>
      <c r="H148">
        <f>H144</f>
        <v>13</v>
      </c>
      <c r="I148">
        <f t="shared" ref="I148:Q148" si="359">I144</f>
        <v>13</v>
      </c>
      <c r="J148">
        <f t="shared" si="359"/>
        <v>15</v>
      </c>
      <c r="K148">
        <f t="shared" si="359"/>
        <v>17</v>
      </c>
      <c r="L148">
        <f t="shared" si="359"/>
        <v>19</v>
      </c>
      <c r="M148">
        <f t="shared" si="359"/>
        <v>21</v>
      </c>
      <c r="N148">
        <f t="shared" si="359"/>
        <v>23</v>
      </c>
      <c r="O148">
        <f t="shared" si="359"/>
        <v>25</v>
      </c>
      <c r="P148">
        <f t="shared" si="359"/>
        <v>27</v>
      </c>
      <c r="Q148">
        <f t="shared" si="359"/>
        <v>29</v>
      </c>
      <c r="U148" t="s">
        <v>261</v>
      </c>
      <c r="V148">
        <f>V144</f>
        <v>13</v>
      </c>
      <c r="W148">
        <f t="shared" ref="W148:AE148" si="360">W144</f>
        <v>15</v>
      </c>
      <c r="X148">
        <f t="shared" si="360"/>
        <v>15</v>
      </c>
      <c r="Y148">
        <f t="shared" si="360"/>
        <v>17</v>
      </c>
      <c r="Z148">
        <f t="shared" si="360"/>
        <v>19</v>
      </c>
      <c r="AA148">
        <f t="shared" si="360"/>
        <v>21</v>
      </c>
      <c r="AB148">
        <f t="shared" si="360"/>
        <v>23</v>
      </c>
      <c r="AC148">
        <f t="shared" si="360"/>
        <v>25</v>
      </c>
      <c r="AD148">
        <f t="shared" si="360"/>
        <v>27</v>
      </c>
      <c r="AE148">
        <f t="shared" si="360"/>
        <v>29</v>
      </c>
      <c r="AJ148" t="s">
        <v>261</v>
      </c>
      <c r="AK148">
        <f>AK144</f>
        <v>15</v>
      </c>
      <c r="AL148">
        <f t="shared" ref="AL148:AT148" si="361">AL144</f>
        <v>17</v>
      </c>
      <c r="AM148">
        <f t="shared" si="361"/>
        <v>21</v>
      </c>
      <c r="AN148">
        <f t="shared" si="361"/>
        <v>25</v>
      </c>
      <c r="AO148">
        <f t="shared" si="361"/>
        <v>25</v>
      </c>
      <c r="AP148">
        <f t="shared" si="361"/>
        <v>27</v>
      </c>
      <c r="AQ148">
        <f t="shared" si="361"/>
        <v>27</v>
      </c>
      <c r="AR148">
        <f t="shared" si="361"/>
        <v>29</v>
      </c>
      <c r="AS148">
        <f t="shared" si="361"/>
        <v>29</v>
      </c>
      <c r="AT148">
        <f t="shared" si="361"/>
        <v>31</v>
      </c>
      <c r="AV148" t="s">
        <v>261</v>
      </c>
      <c r="AW148">
        <f>AW144</f>
        <v>17</v>
      </c>
      <c r="AX148">
        <f t="shared" ref="AX148:BF148" si="362">AX144</f>
        <v>19</v>
      </c>
      <c r="AY148">
        <f t="shared" si="362"/>
        <v>23</v>
      </c>
      <c r="AZ148">
        <f t="shared" si="362"/>
        <v>25</v>
      </c>
      <c r="BA148">
        <f t="shared" si="362"/>
        <v>25</v>
      </c>
      <c r="BB148">
        <f t="shared" si="362"/>
        <v>27</v>
      </c>
      <c r="BC148">
        <f t="shared" si="362"/>
        <v>29</v>
      </c>
      <c r="BD148">
        <f t="shared" si="362"/>
        <v>29</v>
      </c>
      <c r="BE148">
        <f t="shared" si="362"/>
        <v>31</v>
      </c>
      <c r="BF148">
        <f t="shared" si="362"/>
        <v>31</v>
      </c>
      <c r="BL148" t="s">
        <v>261</v>
      </c>
      <c r="BM148">
        <f>BM144</f>
        <v>23</v>
      </c>
      <c r="BN148">
        <f t="shared" ref="BN148:BV148" si="363">BN144</f>
        <v>27</v>
      </c>
      <c r="BO148">
        <f t="shared" si="363"/>
        <v>29</v>
      </c>
      <c r="BP148">
        <f t="shared" si="363"/>
        <v>31</v>
      </c>
      <c r="BQ148">
        <f t="shared" si="363"/>
        <v>33</v>
      </c>
      <c r="BR148">
        <f t="shared" si="363"/>
        <v>35</v>
      </c>
      <c r="BS148">
        <f t="shared" si="363"/>
        <v>37</v>
      </c>
      <c r="BT148">
        <f t="shared" si="363"/>
        <v>39</v>
      </c>
      <c r="BU148">
        <f t="shared" si="363"/>
        <v>41</v>
      </c>
      <c r="BV148">
        <f t="shared" si="363"/>
        <v>43</v>
      </c>
      <c r="CB148" t="s">
        <v>261</v>
      </c>
      <c r="CC148">
        <f>CC144</f>
        <v>27</v>
      </c>
      <c r="CD148">
        <f t="shared" ref="CD148:CL148" si="364">CD144</f>
        <v>27</v>
      </c>
      <c r="CE148">
        <f t="shared" si="364"/>
        <v>31</v>
      </c>
      <c r="CF148">
        <f t="shared" si="364"/>
        <v>33</v>
      </c>
      <c r="CG148">
        <f t="shared" si="364"/>
        <v>37</v>
      </c>
      <c r="CH148">
        <f t="shared" si="364"/>
        <v>39</v>
      </c>
      <c r="CI148">
        <f t="shared" si="364"/>
        <v>41</v>
      </c>
      <c r="CJ148">
        <f t="shared" si="364"/>
        <v>43</v>
      </c>
      <c r="CK148">
        <f t="shared" si="364"/>
        <v>47</v>
      </c>
      <c r="CL148">
        <f t="shared" si="364"/>
        <v>49</v>
      </c>
      <c r="CP148" t="s">
        <v>261</v>
      </c>
      <c r="CQ148">
        <f>CQ144</f>
        <v>33</v>
      </c>
      <c r="CR148">
        <f t="shared" ref="CR148:CZ148" si="365">CR144</f>
        <v>33</v>
      </c>
      <c r="CS148">
        <f t="shared" si="365"/>
        <v>37</v>
      </c>
      <c r="CT148">
        <f t="shared" si="365"/>
        <v>43</v>
      </c>
      <c r="CU148">
        <f t="shared" si="365"/>
        <v>47</v>
      </c>
      <c r="CV148">
        <f t="shared" si="365"/>
        <v>51</v>
      </c>
      <c r="CW148">
        <f t="shared" si="365"/>
        <v>57</v>
      </c>
      <c r="CX148">
        <f t="shared" si="365"/>
        <v>61</v>
      </c>
      <c r="CY148">
        <f t="shared" si="365"/>
        <v>65</v>
      </c>
      <c r="CZ148">
        <f t="shared" si="365"/>
        <v>69</v>
      </c>
      <c r="DC148" t="s">
        <v>261</v>
      </c>
      <c r="DD148">
        <f>DD144</f>
        <v>35</v>
      </c>
      <c r="DE148">
        <f t="shared" ref="DE148:DM148" si="366">DE144</f>
        <v>39</v>
      </c>
      <c r="DF148">
        <f t="shared" si="366"/>
        <v>45</v>
      </c>
      <c r="DG148">
        <f t="shared" si="366"/>
        <v>51</v>
      </c>
      <c r="DH148">
        <f t="shared" si="366"/>
        <v>59</v>
      </c>
      <c r="DI148">
        <f t="shared" si="366"/>
        <v>65</v>
      </c>
      <c r="DJ148">
        <f t="shared" si="366"/>
        <v>73</v>
      </c>
      <c r="DK148">
        <f t="shared" si="366"/>
        <v>79</v>
      </c>
      <c r="DL148">
        <f t="shared" si="366"/>
        <v>85</v>
      </c>
      <c r="DM148">
        <f t="shared" si="366"/>
        <v>93</v>
      </c>
      <c r="DP148" t="s">
        <v>261</v>
      </c>
      <c r="DQ148">
        <f>DQ144</f>
        <v>39</v>
      </c>
      <c r="DR148">
        <f t="shared" ref="DR148:DZ148" si="367">DR144</f>
        <v>43</v>
      </c>
      <c r="DS148">
        <f t="shared" si="367"/>
        <v>51</v>
      </c>
      <c r="DT148">
        <f t="shared" si="367"/>
        <v>61</v>
      </c>
      <c r="DU148">
        <f t="shared" si="367"/>
        <v>69</v>
      </c>
      <c r="DV148">
        <f t="shared" si="367"/>
        <v>79</v>
      </c>
      <c r="DW148">
        <f t="shared" si="367"/>
        <v>87</v>
      </c>
      <c r="DX148">
        <f t="shared" si="367"/>
        <v>97</v>
      </c>
      <c r="DY148">
        <f t="shared" si="367"/>
        <v>105</v>
      </c>
      <c r="DZ148">
        <f t="shared" si="367"/>
        <v>115</v>
      </c>
    </row>
    <row r="149" spans="7:131" x14ac:dyDescent="0.25">
      <c r="G149" t="s">
        <v>231</v>
      </c>
      <c r="H149">
        <v>4</v>
      </c>
      <c r="I149">
        <v>4</v>
      </c>
      <c r="J149">
        <v>4</v>
      </c>
      <c r="K149">
        <v>4</v>
      </c>
      <c r="L149">
        <v>4</v>
      </c>
      <c r="M149">
        <v>4</v>
      </c>
      <c r="N149">
        <v>4</v>
      </c>
      <c r="O149">
        <v>4</v>
      </c>
      <c r="P149">
        <v>4</v>
      </c>
      <c r="Q149">
        <v>4</v>
      </c>
      <c r="U149" t="s">
        <v>231</v>
      </c>
      <c r="V149">
        <v>4</v>
      </c>
      <c r="W149">
        <v>4</v>
      </c>
      <c r="X149">
        <v>4</v>
      </c>
      <c r="Y149">
        <v>4</v>
      </c>
      <c r="Z149">
        <v>4</v>
      </c>
      <c r="AA149">
        <v>4</v>
      </c>
      <c r="AB149">
        <v>4</v>
      </c>
      <c r="AC149">
        <v>4</v>
      </c>
      <c r="AD149">
        <v>4</v>
      </c>
      <c r="AE149">
        <v>4</v>
      </c>
      <c r="AJ149" t="s">
        <v>231</v>
      </c>
      <c r="AK149">
        <v>4</v>
      </c>
      <c r="AL149">
        <v>4</v>
      </c>
      <c r="AM149">
        <v>4</v>
      </c>
      <c r="AN149">
        <v>4</v>
      </c>
      <c r="AO149">
        <v>4</v>
      </c>
      <c r="AP149">
        <v>4</v>
      </c>
      <c r="AQ149">
        <v>4</v>
      </c>
      <c r="AR149">
        <v>4</v>
      </c>
      <c r="AS149">
        <v>4</v>
      </c>
      <c r="AT149">
        <v>4</v>
      </c>
      <c r="AV149" t="s">
        <v>231</v>
      </c>
      <c r="AW149">
        <v>4</v>
      </c>
      <c r="AX149">
        <v>4</v>
      </c>
      <c r="AY149">
        <v>4</v>
      </c>
      <c r="AZ149">
        <v>4</v>
      </c>
      <c r="BA149">
        <v>4</v>
      </c>
      <c r="BB149">
        <v>4</v>
      </c>
      <c r="BC149">
        <v>4</v>
      </c>
      <c r="BD149">
        <v>4</v>
      </c>
      <c r="BE149">
        <v>4</v>
      </c>
      <c r="BF149">
        <v>4</v>
      </c>
      <c r="BL149" t="s">
        <v>231</v>
      </c>
      <c r="BM149">
        <v>4</v>
      </c>
      <c r="BN149">
        <v>4</v>
      </c>
      <c r="BO149">
        <v>4</v>
      </c>
      <c r="BP149">
        <v>4</v>
      </c>
      <c r="BQ149">
        <v>4</v>
      </c>
      <c r="BR149">
        <v>4</v>
      </c>
      <c r="BS149">
        <v>4</v>
      </c>
      <c r="BT149">
        <v>4</v>
      </c>
      <c r="BU149">
        <v>4</v>
      </c>
      <c r="BV149">
        <v>4</v>
      </c>
      <c r="CB149" t="s">
        <v>231</v>
      </c>
      <c r="CC149">
        <v>4</v>
      </c>
      <c r="CD149">
        <v>4</v>
      </c>
      <c r="CE149">
        <v>4</v>
      </c>
      <c r="CF149">
        <v>4</v>
      </c>
      <c r="CG149">
        <v>4</v>
      </c>
      <c r="CH149">
        <v>4</v>
      </c>
      <c r="CI149">
        <v>4</v>
      </c>
      <c r="CJ149">
        <v>4</v>
      </c>
      <c r="CK149">
        <v>4</v>
      </c>
      <c r="CL149">
        <v>4</v>
      </c>
      <c r="CP149" t="s">
        <v>231</v>
      </c>
      <c r="CQ149">
        <v>4</v>
      </c>
      <c r="CR149">
        <v>4</v>
      </c>
      <c r="CS149">
        <v>4</v>
      </c>
      <c r="CT149">
        <v>4</v>
      </c>
      <c r="CU149">
        <v>4</v>
      </c>
      <c r="CV149">
        <v>4</v>
      </c>
      <c r="CW149">
        <v>4</v>
      </c>
      <c r="CX149">
        <v>4</v>
      </c>
      <c r="CY149">
        <v>4</v>
      </c>
      <c r="CZ149">
        <v>4</v>
      </c>
      <c r="DC149" t="s">
        <v>231</v>
      </c>
      <c r="DD149">
        <v>4</v>
      </c>
      <c r="DE149">
        <v>4</v>
      </c>
      <c r="DF149">
        <v>4</v>
      </c>
      <c r="DG149">
        <v>4</v>
      </c>
      <c r="DH149">
        <v>4</v>
      </c>
      <c r="DI149">
        <v>4</v>
      </c>
      <c r="DJ149">
        <v>4</v>
      </c>
      <c r="DK149">
        <v>4</v>
      </c>
      <c r="DL149">
        <v>4</v>
      </c>
      <c r="DM149">
        <v>4</v>
      </c>
      <c r="DP149" t="s">
        <v>231</v>
      </c>
      <c r="DQ149">
        <v>4</v>
      </c>
      <c r="DR149">
        <v>4</v>
      </c>
      <c r="DS149">
        <v>4</v>
      </c>
      <c r="DT149">
        <v>4</v>
      </c>
      <c r="DU149">
        <v>4</v>
      </c>
      <c r="DV149">
        <v>4</v>
      </c>
      <c r="DW149">
        <v>4</v>
      </c>
      <c r="DX149">
        <v>4</v>
      </c>
      <c r="DY149">
        <v>4</v>
      </c>
      <c r="DZ149">
        <v>4</v>
      </c>
    </row>
    <row r="150" spans="7:131" x14ac:dyDescent="0.25">
      <c r="G150" t="s">
        <v>262</v>
      </c>
      <c r="H150">
        <v>1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1</v>
      </c>
      <c r="Q150">
        <v>1</v>
      </c>
      <c r="U150" t="s">
        <v>262</v>
      </c>
      <c r="V150">
        <v>1</v>
      </c>
      <c r="W150">
        <v>1</v>
      </c>
      <c r="X150">
        <v>1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1</v>
      </c>
      <c r="AJ150" t="s">
        <v>262</v>
      </c>
      <c r="AK150">
        <v>1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1</v>
      </c>
      <c r="AS150">
        <v>1</v>
      </c>
      <c r="AT150">
        <v>1</v>
      </c>
      <c r="AV150" t="s">
        <v>262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1</v>
      </c>
      <c r="BC150">
        <v>1</v>
      </c>
      <c r="BD150">
        <v>1</v>
      </c>
      <c r="BE150">
        <v>1</v>
      </c>
      <c r="BF150">
        <v>1</v>
      </c>
      <c r="BL150" t="s">
        <v>262</v>
      </c>
      <c r="BM150">
        <v>1</v>
      </c>
      <c r="BN150">
        <v>1</v>
      </c>
      <c r="BO150">
        <v>1</v>
      </c>
      <c r="BP150">
        <v>1</v>
      </c>
      <c r="BQ150">
        <v>1</v>
      </c>
      <c r="BR150">
        <v>1</v>
      </c>
      <c r="BS150">
        <v>1</v>
      </c>
      <c r="BT150">
        <v>1</v>
      </c>
      <c r="BU150">
        <v>1</v>
      </c>
      <c r="BV150">
        <v>1</v>
      </c>
      <c r="CB150" t="s">
        <v>262</v>
      </c>
      <c r="CC150">
        <v>1</v>
      </c>
      <c r="CD150">
        <v>1</v>
      </c>
      <c r="CE150">
        <v>1</v>
      </c>
      <c r="CF150">
        <v>1</v>
      </c>
      <c r="CG150">
        <v>1</v>
      </c>
      <c r="CH150">
        <v>1</v>
      </c>
      <c r="CI150">
        <v>1</v>
      </c>
      <c r="CJ150">
        <v>1</v>
      </c>
      <c r="CK150">
        <v>1</v>
      </c>
      <c r="CL150">
        <v>1</v>
      </c>
      <c r="CP150" t="s">
        <v>262</v>
      </c>
      <c r="CQ150">
        <v>1</v>
      </c>
      <c r="CR150">
        <v>1</v>
      </c>
      <c r="CS150">
        <v>1</v>
      </c>
      <c r="CT150">
        <v>1</v>
      </c>
      <c r="CU150">
        <v>1</v>
      </c>
      <c r="CV150">
        <v>1</v>
      </c>
      <c r="CW150">
        <v>1</v>
      </c>
      <c r="CX150">
        <v>1</v>
      </c>
      <c r="CY150">
        <v>1</v>
      </c>
      <c r="CZ150">
        <v>1</v>
      </c>
      <c r="DC150" t="s">
        <v>262</v>
      </c>
      <c r="DD150">
        <v>1</v>
      </c>
      <c r="DE150">
        <v>1</v>
      </c>
      <c r="DF150">
        <v>1</v>
      </c>
      <c r="DG150">
        <v>1</v>
      </c>
      <c r="DH150">
        <v>1</v>
      </c>
      <c r="DI150">
        <v>1</v>
      </c>
      <c r="DJ150">
        <v>1</v>
      </c>
      <c r="DK150">
        <v>1</v>
      </c>
      <c r="DL150">
        <v>1</v>
      </c>
      <c r="DM150">
        <v>1</v>
      </c>
      <c r="DP150" t="s">
        <v>262</v>
      </c>
      <c r="DQ150">
        <v>1</v>
      </c>
      <c r="DR150">
        <v>1</v>
      </c>
      <c r="DS150">
        <v>1</v>
      </c>
      <c r="DT150">
        <v>1</v>
      </c>
      <c r="DU150">
        <v>1</v>
      </c>
      <c r="DV150">
        <v>1</v>
      </c>
      <c r="DW150">
        <v>1</v>
      </c>
      <c r="DX150">
        <v>1</v>
      </c>
      <c r="DY150">
        <v>1</v>
      </c>
      <c r="DZ150">
        <v>1</v>
      </c>
    </row>
    <row r="151" spans="7:131" x14ac:dyDescent="0.25">
      <c r="G151" t="s">
        <v>14</v>
      </c>
      <c r="H151" s="7">
        <f>Fencing!$C$15*(H148+H149+2)</f>
        <v>3.4627500000000007</v>
      </c>
      <c r="I151" s="7">
        <f>Fencing!$C$15*(I148+I149+2)</f>
        <v>3.4627500000000007</v>
      </c>
      <c r="J151" s="7">
        <f>Fencing!$C$15*(J148+J149+2)</f>
        <v>3.8272500000000003</v>
      </c>
      <c r="K151" s="7">
        <f>Fencing!$C$15*(K148+K149+2)</f>
        <v>4.1917500000000008</v>
      </c>
      <c r="L151" s="7">
        <f>Fencing!$C$15*(L148+L149+2)</f>
        <v>4.5562500000000004</v>
      </c>
      <c r="M151" s="7">
        <f>Fencing!$C$15*(M148+M149+2)</f>
        <v>4.9207500000000008</v>
      </c>
      <c r="N151" s="7">
        <f>Fencing!$C$15*(N148+N149+2)</f>
        <v>5.2852500000000004</v>
      </c>
      <c r="O151" s="7">
        <f>Fencing!$C$15*(O148+O149+2)</f>
        <v>5.6497500000000009</v>
      </c>
      <c r="P151" s="7">
        <f>Fencing!$C$15*(P148+P149+2)</f>
        <v>6.0142500000000005</v>
      </c>
      <c r="Q151" s="7">
        <f>Fencing!$C$15*(Q148+Q149+2)</f>
        <v>6.378750000000001</v>
      </c>
      <c r="R151" s="7"/>
      <c r="S151" s="7"/>
      <c r="T151" s="7"/>
      <c r="U151" s="7" t="s">
        <v>14</v>
      </c>
      <c r="V151" s="7">
        <f>Fencing!$C$15*(V148+V149+2)</f>
        <v>3.4627500000000007</v>
      </c>
      <c r="W151" s="7">
        <f>Fencing!$C$15*(W148+W149+2)</f>
        <v>3.8272500000000003</v>
      </c>
      <c r="X151" s="7">
        <f>Fencing!$C$15*(X148+X149+2)</f>
        <v>3.8272500000000003</v>
      </c>
      <c r="Y151" s="7">
        <f>Fencing!$C$15*(Y148+Y149+2)</f>
        <v>4.1917500000000008</v>
      </c>
      <c r="Z151" s="7">
        <f>Fencing!$C$15*(Z148+Z149+2)</f>
        <v>4.5562500000000004</v>
      </c>
      <c r="AA151" s="7">
        <f>Fencing!$C$15*(AA148+AA149+2)</f>
        <v>4.9207500000000008</v>
      </c>
      <c r="AB151" s="7">
        <f>Fencing!$C$15*(AB148+AB149+2)</f>
        <v>5.2852500000000004</v>
      </c>
      <c r="AC151" s="7">
        <f>Fencing!$C$15*(AC148+AC149+2)</f>
        <v>5.6497500000000009</v>
      </c>
      <c r="AD151" s="7">
        <f>Fencing!$C$15*(AD148+AD149+2)</f>
        <v>6.0142500000000005</v>
      </c>
      <c r="AE151" s="7">
        <f>Fencing!$C$15*(AE148+AE149+2)</f>
        <v>6.378750000000001</v>
      </c>
      <c r="AJ151" t="s">
        <v>14</v>
      </c>
      <c r="AK151" s="7">
        <f>Fencing!$C$15*(AK148+AK149+2)</f>
        <v>3.8272500000000003</v>
      </c>
      <c r="AL151" s="7">
        <f>Fencing!$C$15*(AL148+AL149+2)</f>
        <v>4.1917500000000008</v>
      </c>
      <c r="AM151" s="7">
        <f>Fencing!$C$15*(AM148+AM149+2)</f>
        <v>4.9207500000000008</v>
      </c>
      <c r="AN151" s="7">
        <f>Fencing!$C$15*(AN148+AN149+2)</f>
        <v>5.6497500000000009</v>
      </c>
      <c r="AO151" s="7">
        <f>Fencing!$C$15*(AO148+AO149+2)</f>
        <v>5.6497500000000009</v>
      </c>
      <c r="AP151" s="7">
        <f>Fencing!$C$15*(AP148+AP149+2)</f>
        <v>6.0142500000000005</v>
      </c>
      <c r="AQ151" s="7">
        <f>Fencing!$C$15*(AQ148+AQ149+2)</f>
        <v>6.0142500000000005</v>
      </c>
      <c r="AR151" s="7">
        <f>Fencing!$C$15*(AR148+AR149+2)</f>
        <v>6.378750000000001</v>
      </c>
      <c r="AS151" s="7">
        <f>Fencing!$C$15*(AS148+AS149+2)</f>
        <v>6.378750000000001</v>
      </c>
      <c r="AT151" s="7">
        <f>Fencing!$C$15*(AT148+AT149+2)</f>
        <v>6.7432500000000006</v>
      </c>
      <c r="AV151" t="s">
        <v>14</v>
      </c>
      <c r="AW151" s="7">
        <f>Fencing!$C$15*(AW148+AW149+2)</f>
        <v>4.1917500000000008</v>
      </c>
      <c r="AX151" s="7">
        <f>Fencing!$C$15*(AX148+AX149+2)</f>
        <v>4.5562500000000004</v>
      </c>
      <c r="AY151" s="7">
        <f>Fencing!$C$15*(AY148+AY149+2)</f>
        <v>5.2852500000000004</v>
      </c>
      <c r="AZ151" s="7">
        <f>Fencing!$C$15*(AZ148+AZ149+2)</f>
        <v>5.6497500000000009</v>
      </c>
      <c r="BA151" s="7">
        <f>Fencing!$C$15*(BA148+BA149+2)</f>
        <v>5.6497500000000009</v>
      </c>
      <c r="BB151" s="7">
        <f>Fencing!$C$15*(BB148+BB149+2)</f>
        <v>6.0142500000000005</v>
      </c>
      <c r="BC151" s="7">
        <f>Fencing!$C$15*(BC148+BC149+2)</f>
        <v>6.378750000000001</v>
      </c>
      <c r="BD151" s="7">
        <f>Fencing!$C$15*(BD148+BD149+2)</f>
        <v>6.378750000000001</v>
      </c>
      <c r="BE151" s="7">
        <f>Fencing!$C$15*(BE148+BE149+2)</f>
        <v>6.7432500000000006</v>
      </c>
      <c r="BF151" s="7">
        <f>Fencing!$C$15*(BF148+BF149+2)</f>
        <v>6.7432500000000006</v>
      </c>
      <c r="BL151" t="s">
        <v>14</v>
      </c>
      <c r="BM151" s="7">
        <f>Fencing!$C$15*(BM148+BM149+2)</f>
        <v>5.2852500000000004</v>
      </c>
      <c r="BN151" s="7">
        <f>Fencing!$C$15*(BN148+BN149+2)</f>
        <v>6.0142500000000005</v>
      </c>
      <c r="BO151" s="7">
        <f>Fencing!$C$15*(BO148+BO149+2)</f>
        <v>6.378750000000001</v>
      </c>
      <c r="BP151" s="7">
        <f>Fencing!$C$15*(BP148+BP149+2)</f>
        <v>6.7432500000000006</v>
      </c>
      <c r="BQ151" s="7">
        <f>Fencing!$C$15*(BQ148+BQ149+2)</f>
        <v>7.1077500000000011</v>
      </c>
      <c r="BR151" s="7">
        <f>Fencing!$C$15*(BR148+BR149+2)</f>
        <v>7.4722500000000007</v>
      </c>
      <c r="BS151" s="7">
        <f>Fencing!$C$15*(BS148+BS149+2)</f>
        <v>7.8367500000000012</v>
      </c>
      <c r="BT151" s="7">
        <f>Fencing!$C$15*(BT148+BT149+2)</f>
        <v>8.2012500000000017</v>
      </c>
      <c r="BU151" s="7">
        <f>Fencing!$C$15*(BU148+BU149+2)</f>
        <v>8.5657500000000013</v>
      </c>
      <c r="BV151" s="7">
        <f>Fencing!$C$15*(BV148+BV149+2)</f>
        <v>8.9302500000000009</v>
      </c>
      <c r="CB151" t="s">
        <v>14</v>
      </c>
      <c r="CC151" s="7">
        <f>Fencing!$C$15*(CC148+CC149+2)</f>
        <v>6.0142500000000005</v>
      </c>
      <c r="CD151" s="7">
        <f>Fencing!$C$15*(CD148+CD149+2)</f>
        <v>6.0142500000000005</v>
      </c>
      <c r="CE151" s="7">
        <f>Fencing!$C$15*(CE148+CE149+2)</f>
        <v>6.7432500000000006</v>
      </c>
      <c r="CF151" s="7">
        <f>Fencing!$C$15*(CF148+CF149+2)</f>
        <v>7.1077500000000011</v>
      </c>
      <c r="CG151" s="7">
        <f>Fencing!$C$15*(CG148+CG149+2)</f>
        <v>7.8367500000000012</v>
      </c>
      <c r="CH151" s="7">
        <f>Fencing!$C$15*(CH148+CH149+2)</f>
        <v>8.2012500000000017</v>
      </c>
      <c r="CI151" s="7">
        <f>Fencing!$C$15*(CI148+CI149+2)</f>
        <v>8.5657500000000013</v>
      </c>
      <c r="CJ151" s="7">
        <f>Fencing!$C$15*(CJ148+CJ149+2)</f>
        <v>8.9302500000000009</v>
      </c>
      <c r="CK151" s="7">
        <f>Fencing!$C$15*(CK148+CK149+2)</f>
        <v>9.6592500000000019</v>
      </c>
      <c r="CL151" s="7">
        <f>Fencing!$C$15*(CL148+CL149+2)</f>
        <v>10.023750000000001</v>
      </c>
      <c r="CP151" t="s">
        <v>14</v>
      </c>
      <c r="CQ151" s="7">
        <f>Fencing!$C$15*(CQ148+CQ149+2)</f>
        <v>7.1077500000000011</v>
      </c>
      <c r="CR151" s="7">
        <f>Fencing!$C$15*(CR148+CR149+2)</f>
        <v>7.1077500000000011</v>
      </c>
      <c r="CS151" s="7">
        <f>Fencing!$C$15*(CS148+CS149+2)</f>
        <v>7.8367500000000012</v>
      </c>
      <c r="CT151" s="7">
        <f>Fencing!$C$15*(CT148+CT149+2)</f>
        <v>8.9302500000000009</v>
      </c>
      <c r="CU151" s="7">
        <f>Fencing!$C$15*(CU148+CU149+2)</f>
        <v>9.6592500000000019</v>
      </c>
      <c r="CV151" s="7">
        <f>Fencing!$C$15*(CV148+CV149+2)</f>
        <v>10.388250000000001</v>
      </c>
      <c r="CW151" s="7">
        <f>Fencing!$C$15*(CW148+CW149+2)</f>
        <v>11.481750000000002</v>
      </c>
      <c r="CX151" s="7">
        <f>Fencing!$C$15*(CX148+CX149+2)</f>
        <v>12.210750000000001</v>
      </c>
      <c r="CY151" s="7">
        <f>Fencing!$C$15*(CY148+CY149+2)</f>
        <v>12.939750000000002</v>
      </c>
      <c r="CZ151" s="7">
        <f>Fencing!$C$15*(CZ148+CZ149+2)</f>
        <v>13.668750000000001</v>
      </c>
      <c r="DC151" t="s">
        <v>14</v>
      </c>
      <c r="DD151" s="7">
        <f>Fencing!$C$15*(DD148+DD149+2)</f>
        <v>7.4722500000000007</v>
      </c>
      <c r="DE151" s="7">
        <f>Fencing!$C$15*(DE148+DE149+2)</f>
        <v>8.2012500000000017</v>
      </c>
      <c r="DF151" s="7">
        <f>Fencing!$C$15*(DF148+DF149+2)</f>
        <v>9.2947500000000005</v>
      </c>
      <c r="DG151" s="7">
        <f>Fencing!$C$15*(DG148+DG149+2)</f>
        <v>10.388250000000001</v>
      </c>
      <c r="DH151" s="7">
        <f>Fencing!$C$15*(DH148+DH149+2)</f>
        <v>11.846250000000001</v>
      </c>
      <c r="DI151" s="7">
        <f>Fencing!$C$15*(DI148+DI149+2)</f>
        <v>12.939750000000002</v>
      </c>
      <c r="DJ151" s="7">
        <f>Fencing!$C$15*(DJ148+DJ149+2)</f>
        <v>14.397750000000002</v>
      </c>
      <c r="DK151" s="7">
        <f>Fencing!$C$15*(DK148+DK149+2)</f>
        <v>15.491250000000003</v>
      </c>
      <c r="DL151" s="7">
        <f>Fencing!$C$15*(DL148+DL149+2)</f>
        <v>16.584750000000003</v>
      </c>
      <c r="DM151" s="7">
        <f>Fencing!$C$15*(DM148+DM149+2)</f>
        <v>18.042750000000002</v>
      </c>
      <c r="DP151" t="s">
        <v>14</v>
      </c>
      <c r="DQ151" s="7">
        <f>Fencing!$C$15*(DQ148+DQ149+2)</f>
        <v>8.2012500000000017</v>
      </c>
      <c r="DR151" s="7">
        <f>Fencing!$C$15*(DR148+DR149+2)</f>
        <v>8.9302500000000009</v>
      </c>
      <c r="DS151" s="7">
        <f>Fencing!$C$15*(DS148+DS149+2)</f>
        <v>10.388250000000001</v>
      </c>
      <c r="DT151" s="7">
        <f>Fencing!$C$15*(DT148+DT149+2)</f>
        <v>12.210750000000001</v>
      </c>
      <c r="DU151" s="7">
        <f>Fencing!$C$15*(DU148+DU149+2)</f>
        <v>13.668750000000001</v>
      </c>
      <c r="DV151" s="7">
        <f>Fencing!$C$15*(DV148+DV149+2)</f>
        <v>15.491250000000003</v>
      </c>
      <c r="DW151" s="7">
        <f>Fencing!$C$15*(DW148+DW149+2)</f>
        <v>16.949250000000003</v>
      </c>
      <c r="DX151" s="7">
        <f>Fencing!$C$15*(DX148+DX149+2)</f>
        <v>18.771750000000001</v>
      </c>
      <c r="DY151" s="7">
        <f>Fencing!$C$15*(DY148+DY149+2)</f>
        <v>20.229750000000003</v>
      </c>
      <c r="DZ151" s="7">
        <f>Fencing!$C$15*(DZ148+DZ149+2)</f>
        <v>22.052250000000004</v>
      </c>
      <c r="EA151" s="7"/>
    </row>
    <row r="152" spans="7:131" x14ac:dyDescent="0.25">
      <c r="G152" t="s">
        <v>100</v>
      </c>
      <c r="H152" s="7">
        <f>H151</f>
        <v>3.4627500000000007</v>
      </c>
      <c r="I152" s="7">
        <f t="shared" ref="I152:Q152" si="368">I151</f>
        <v>3.4627500000000007</v>
      </c>
      <c r="J152" s="7">
        <f t="shared" si="368"/>
        <v>3.8272500000000003</v>
      </c>
      <c r="K152" s="7">
        <f t="shared" si="368"/>
        <v>4.1917500000000008</v>
      </c>
      <c r="L152" s="7">
        <f t="shared" si="368"/>
        <v>4.5562500000000004</v>
      </c>
      <c r="M152" s="7">
        <f t="shared" si="368"/>
        <v>4.9207500000000008</v>
      </c>
      <c r="N152" s="7">
        <f t="shared" si="368"/>
        <v>5.2852500000000004</v>
      </c>
      <c r="O152" s="7">
        <f t="shared" si="368"/>
        <v>5.6497500000000009</v>
      </c>
      <c r="P152" s="7">
        <f t="shared" si="368"/>
        <v>6.0142500000000005</v>
      </c>
      <c r="Q152" s="7">
        <f t="shared" si="368"/>
        <v>6.378750000000001</v>
      </c>
      <c r="R152" s="7"/>
      <c r="S152" s="7"/>
      <c r="T152" s="7"/>
      <c r="U152" s="7" t="s">
        <v>100</v>
      </c>
      <c r="V152" s="7">
        <f>V151</f>
        <v>3.4627500000000007</v>
      </c>
      <c r="W152" s="7">
        <f t="shared" ref="W152" si="369">W151</f>
        <v>3.8272500000000003</v>
      </c>
      <c r="X152" s="7">
        <f t="shared" ref="X152" si="370">X151</f>
        <v>3.8272500000000003</v>
      </c>
      <c r="Y152" s="7">
        <f t="shared" ref="Y152" si="371">Y151</f>
        <v>4.1917500000000008</v>
      </c>
      <c r="Z152" s="7">
        <f t="shared" ref="Z152" si="372">Z151</f>
        <v>4.5562500000000004</v>
      </c>
      <c r="AA152" s="7">
        <f t="shared" ref="AA152" si="373">AA151</f>
        <v>4.9207500000000008</v>
      </c>
      <c r="AB152" s="7">
        <f t="shared" ref="AB152" si="374">AB151</f>
        <v>5.2852500000000004</v>
      </c>
      <c r="AC152" s="7">
        <f t="shared" ref="AC152" si="375">AC151</f>
        <v>5.6497500000000009</v>
      </c>
      <c r="AD152" s="7">
        <f t="shared" ref="AD152" si="376">AD151</f>
        <v>6.0142500000000005</v>
      </c>
      <c r="AE152" s="7">
        <f t="shared" ref="AE152" si="377">AE151</f>
        <v>6.378750000000001</v>
      </c>
      <c r="AJ152" t="s">
        <v>100</v>
      </c>
      <c r="AK152" s="7">
        <f>AK151</f>
        <v>3.8272500000000003</v>
      </c>
      <c r="AL152" s="7">
        <f t="shared" ref="AL152" si="378">AL151</f>
        <v>4.1917500000000008</v>
      </c>
      <c r="AM152" s="7">
        <f t="shared" ref="AM152" si="379">AM151</f>
        <v>4.9207500000000008</v>
      </c>
      <c r="AN152" s="7">
        <f t="shared" ref="AN152" si="380">AN151</f>
        <v>5.6497500000000009</v>
      </c>
      <c r="AO152" s="7">
        <f t="shared" ref="AO152" si="381">AO151</f>
        <v>5.6497500000000009</v>
      </c>
      <c r="AP152" s="7">
        <f t="shared" ref="AP152" si="382">AP151</f>
        <v>6.0142500000000005</v>
      </c>
      <c r="AQ152" s="7">
        <f t="shared" ref="AQ152" si="383">AQ151</f>
        <v>6.0142500000000005</v>
      </c>
      <c r="AR152" s="7">
        <f t="shared" ref="AR152" si="384">AR151</f>
        <v>6.378750000000001</v>
      </c>
      <c r="AS152" s="7">
        <f t="shared" ref="AS152" si="385">AS151</f>
        <v>6.378750000000001</v>
      </c>
      <c r="AT152" s="7">
        <f t="shared" ref="AT152" si="386">AT151</f>
        <v>6.7432500000000006</v>
      </c>
      <c r="AV152" t="s">
        <v>100</v>
      </c>
      <c r="AW152" s="7">
        <f>AW151</f>
        <v>4.1917500000000008</v>
      </c>
      <c r="AX152" s="7">
        <f t="shared" ref="AX152" si="387">AX151</f>
        <v>4.5562500000000004</v>
      </c>
      <c r="AY152" s="7">
        <f t="shared" ref="AY152" si="388">AY151</f>
        <v>5.2852500000000004</v>
      </c>
      <c r="AZ152" s="7">
        <f t="shared" ref="AZ152" si="389">AZ151</f>
        <v>5.6497500000000009</v>
      </c>
      <c r="BA152" s="7">
        <f t="shared" ref="BA152" si="390">BA151</f>
        <v>5.6497500000000009</v>
      </c>
      <c r="BB152" s="7">
        <f t="shared" ref="BB152" si="391">BB151</f>
        <v>6.0142500000000005</v>
      </c>
      <c r="BC152" s="7">
        <f t="shared" ref="BC152" si="392">BC151</f>
        <v>6.378750000000001</v>
      </c>
      <c r="BD152" s="7">
        <f t="shared" ref="BD152" si="393">BD151</f>
        <v>6.378750000000001</v>
      </c>
      <c r="BE152" s="7">
        <f t="shared" ref="BE152" si="394">BE151</f>
        <v>6.7432500000000006</v>
      </c>
      <c r="BF152" s="7">
        <f t="shared" ref="BF152" si="395">BF151</f>
        <v>6.7432500000000006</v>
      </c>
      <c r="BL152" t="s">
        <v>100</v>
      </c>
      <c r="BM152" s="7">
        <f>BM151</f>
        <v>5.2852500000000004</v>
      </c>
      <c r="BN152" s="7">
        <f t="shared" ref="BN152:BV152" si="396">BN151</f>
        <v>6.0142500000000005</v>
      </c>
      <c r="BO152" s="7">
        <f t="shared" si="396"/>
        <v>6.378750000000001</v>
      </c>
      <c r="BP152" s="7">
        <f t="shared" si="396"/>
        <v>6.7432500000000006</v>
      </c>
      <c r="BQ152" s="7">
        <f t="shared" si="396"/>
        <v>7.1077500000000011</v>
      </c>
      <c r="BR152" s="7">
        <f t="shared" si="396"/>
        <v>7.4722500000000007</v>
      </c>
      <c r="BS152" s="7">
        <f t="shared" si="396"/>
        <v>7.8367500000000012</v>
      </c>
      <c r="BT152" s="7">
        <f t="shared" si="396"/>
        <v>8.2012500000000017</v>
      </c>
      <c r="BU152" s="7">
        <f t="shared" si="396"/>
        <v>8.5657500000000013</v>
      </c>
      <c r="BV152" s="7">
        <f t="shared" si="396"/>
        <v>8.9302500000000009</v>
      </c>
      <c r="CB152" t="s">
        <v>100</v>
      </c>
      <c r="CC152" s="7">
        <f>CC151</f>
        <v>6.0142500000000005</v>
      </c>
      <c r="CD152" s="7">
        <f t="shared" ref="CD152:CL152" si="397">CD151</f>
        <v>6.0142500000000005</v>
      </c>
      <c r="CE152" s="7">
        <f t="shared" si="397"/>
        <v>6.7432500000000006</v>
      </c>
      <c r="CF152" s="7">
        <f t="shared" si="397"/>
        <v>7.1077500000000011</v>
      </c>
      <c r="CG152" s="7">
        <f t="shared" si="397"/>
        <v>7.8367500000000012</v>
      </c>
      <c r="CH152" s="7">
        <f t="shared" si="397"/>
        <v>8.2012500000000017</v>
      </c>
      <c r="CI152" s="7">
        <f t="shared" si="397"/>
        <v>8.5657500000000013</v>
      </c>
      <c r="CJ152" s="7">
        <f t="shared" si="397"/>
        <v>8.9302500000000009</v>
      </c>
      <c r="CK152" s="7">
        <f t="shared" si="397"/>
        <v>9.6592500000000019</v>
      </c>
      <c r="CL152" s="7">
        <f t="shared" si="397"/>
        <v>10.023750000000001</v>
      </c>
      <c r="CP152" t="s">
        <v>100</v>
      </c>
      <c r="CQ152" s="7">
        <f>CQ151</f>
        <v>7.1077500000000011</v>
      </c>
      <c r="CR152" s="7">
        <f t="shared" ref="CR152:CZ152" si="398">CR151</f>
        <v>7.1077500000000011</v>
      </c>
      <c r="CS152" s="7">
        <f t="shared" si="398"/>
        <v>7.8367500000000012</v>
      </c>
      <c r="CT152" s="7">
        <f t="shared" si="398"/>
        <v>8.9302500000000009</v>
      </c>
      <c r="CU152" s="7">
        <f t="shared" si="398"/>
        <v>9.6592500000000019</v>
      </c>
      <c r="CV152" s="7">
        <f t="shared" si="398"/>
        <v>10.388250000000001</v>
      </c>
      <c r="CW152" s="7">
        <f t="shared" si="398"/>
        <v>11.481750000000002</v>
      </c>
      <c r="CX152" s="7">
        <f t="shared" si="398"/>
        <v>12.210750000000001</v>
      </c>
      <c r="CY152" s="7">
        <f t="shared" si="398"/>
        <v>12.939750000000002</v>
      </c>
      <c r="CZ152" s="7">
        <f t="shared" si="398"/>
        <v>13.668750000000001</v>
      </c>
      <c r="DC152" t="s">
        <v>100</v>
      </c>
      <c r="DD152" s="7">
        <f>DD151</f>
        <v>7.4722500000000007</v>
      </c>
      <c r="DE152" s="7">
        <f t="shared" ref="DE152:DM152" si="399">DE151</f>
        <v>8.2012500000000017</v>
      </c>
      <c r="DF152" s="7">
        <f t="shared" si="399"/>
        <v>9.2947500000000005</v>
      </c>
      <c r="DG152" s="7">
        <f t="shared" si="399"/>
        <v>10.388250000000001</v>
      </c>
      <c r="DH152" s="7">
        <f t="shared" si="399"/>
        <v>11.846250000000001</v>
      </c>
      <c r="DI152" s="7">
        <f t="shared" si="399"/>
        <v>12.939750000000002</v>
      </c>
      <c r="DJ152" s="7">
        <f t="shared" si="399"/>
        <v>14.397750000000002</v>
      </c>
      <c r="DK152" s="7">
        <f t="shared" si="399"/>
        <v>15.491250000000003</v>
      </c>
      <c r="DL152" s="7">
        <f t="shared" si="399"/>
        <v>16.584750000000003</v>
      </c>
      <c r="DM152" s="7">
        <f t="shared" si="399"/>
        <v>18.042750000000002</v>
      </c>
      <c r="DP152" t="s">
        <v>100</v>
      </c>
      <c r="DQ152" s="7">
        <f>DQ151</f>
        <v>8.2012500000000017</v>
      </c>
      <c r="DR152" s="7">
        <f t="shared" ref="DR152:DZ152" si="400">DR151</f>
        <v>8.9302500000000009</v>
      </c>
      <c r="DS152" s="7">
        <f t="shared" si="400"/>
        <v>10.388250000000001</v>
      </c>
      <c r="DT152" s="7">
        <f t="shared" si="400"/>
        <v>12.210750000000001</v>
      </c>
      <c r="DU152" s="7">
        <f t="shared" si="400"/>
        <v>13.668750000000001</v>
      </c>
      <c r="DV152" s="7">
        <f t="shared" si="400"/>
        <v>15.491250000000003</v>
      </c>
      <c r="DW152" s="7">
        <f t="shared" si="400"/>
        <v>16.949250000000003</v>
      </c>
      <c r="DX152" s="7">
        <f t="shared" si="400"/>
        <v>18.771750000000001</v>
      </c>
      <c r="DY152" s="7">
        <f t="shared" si="400"/>
        <v>20.229750000000003</v>
      </c>
      <c r="DZ152" s="7">
        <f t="shared" si="400"/>
        <v>22.052250000000004</v>
      </c>
      <c r="EA152" s="7"/>
    </row>
    <row r="154" spans="7:131" x14ac:dyDescent="0.25">
      <c r="G154" s="10" t="s">
        <v>206</v>
      </c>
      <c r="U154" s="10" t="s">
        <v>206</v>
      </c>
      <c r="AJ154" s="10" t="s">
        <v>206</v>
      </c>
      <c r="AV154" s="10" t="s">
        <v>206</v>
      </c>
      <c r="BL154" s="10" t="s">
        <v>206</v>
      </c>
      <c r="CB154" s="10" t="s">
        <v>206</v>
      </c>
      <c r="CP154" s="10" t="s">
        <v>206</v>
      </c>
      <c r="DC154" s="10" t="s">
        <v>206</v>
      </c>
      <c r="DP154" s="10" t="s">
        <v>206</v>
      </c>
    </row>
    <row r="155" spans="7:131" x14ac:dyDescent="0.25">
      <c r="G155" t="s">
        <v>261</v>
      </c>
      <c r="H155" s="5">
        <f>Fencing!$C$26</f>
        <v>112.824</v>
      </c>
      <c r="I155" s="5">
        <f>H155</f>
        <v>112.824</v>
      </c>
      <c r="J155" s="5">
        <f t="shared" ref="J155:Q155" si="401">I155</f>
        <v>112.824</v>
      </c>
      <c r="K155" s="5">
        <f t="shared" si="401"/>
        <v>112.824</v>
      </c>
      <c r="L155" s="5">
        <f t="shared" si="401"/>
        <v>112.824</v>
      </c>
      <c r="M155" s="5">
        <f t="shared" si="401"/>
        <v>112.824</v>
      </c>
      <c r="N155" s="5">
        <f t="shared" si="401"/>
        <v>112.824</v>
      </c>
      <c r="O155" s="5">
        <f t="shared" si="401"/>
        <v>112.824</v>
      </c>
      <c r="P155" s="5">
        <f t="shared" si="401"/>
        <v>112.824</v>
      </c>
      <c r="Q155" s="5">
        <f t="shared" si="401"/>
        <v>112.824</v>
      </c>
      <c r="U155" t="s">
        <v>261</v>
      </c>
      <c r="V155" s="5">
        <f>Q155</f>
        <v>112.824</v>
      </c>
      <c r="W155" s="5">
        <f>V155</f>
        <v>112.824</v>
      </c>
      <c r="X155" s="5">
        <f t="shared" ref="X155:AE155" si="402">W155</f>
        <v>112.824</v>
      </c>
      <c r="Y155" s="5">
        <f t="shared" si="402"/>
        <v>112.824</v>
      </c>
      <c r="Z155" s="5">
        <f t="shared" si="402"/>
        <v>112.824</v>
      </c>
      <c r="AA155" s="5">
        <f t="shared" si="402"/>
        <v>112.824</v>
      </c>
      <c r="AB155" s="5">
        <f t="shared" si="402"/>
        <v>112.824</v>
      </c>
      <c r="AC155" s="5">
        <f t="shared" si="402"/>
        <v>112.824</v>
      </c>
      <c r="AD155" s="5">
        <f t="shared" si="402"/>
        <v>112.824</v>
      </c>
      <c r="AE155" s="5">
        <f t="shared" si="402"/>
        <v>112.824</v>
      </c>
      <c r="AJ155" t="s">
        <v>261</v>
      </c>
      <c r="AK155" s="5">
        <f>AE155</f>
        <v>112.824</v>
      </c>
      <c r="AL155" s="5">
        <f>AK155</f>
        <v>112.824</v>
      </c>
      <c r="AM155" s="5">
        <f t="shared" ref="AM155:AT155" si="403">AL155</f>
        <v>112.824</v>
      </c>
      <c r="AN155" s="5">
        <f t="shared" si="403"/>
        <v>112.824</v>
      </c>
      <c r="AO155" s="5">
        <f t="shared" si="403"/>
        <v>112.824</v>
      </c>
      <c r="AP155" s="5">
        <f t="shared" si="403"/>
        <v>112.824</v>
      </c>
      <c r="AQ155" s="5">
        <f t="shared" si="403"/>
        <v>112.824</v>
      </c>
      <c r="AR155" s="5">
        <f t="shared" si="403"/>
        <v>112.824</v>
      </c>
      <c r="AS155" s="5">
        <f t="shared" si="403"/>
        <v>112.824</v>
      </c>
      <c r="AT155" s="5">
        <f t="shared" si="403"/>
        <v>112.824</v>
      </c>
      <c r="AV155" t="s">
        <v>261</v>
      </c>
      <c r="AW155" s="5">
        <f>AM155</f>
        <v>112.824</v>
      </c>
      <c r="AX155" s="5">
        <f>AW155</f>
        <v>112.824</v>
      </c>
      <c r="AY155" s="5">
        <f t="shared" ref="AY155:BF155" si="404">AX155</f>
        <v>112.824</v>
      </c>
      <c r="AZ155" s="5">
        <f t="shared" si="404"/>
        <v>112.824</v>
      </c>
      <c r="BA155" s="5">
        <f t="shared" si="404"/>
        <v>112.824</v>
      </c>
      <c r="BB155" s="5">
        <f t="shared" si="404"/>
        <v>112.824</v>
      </c>
      <c r="BC155" s="5">
        <f t="shared" si="404"/>
        <v>112.824</v>
      </c>
      <c r="BD155" s="5">
        <f t="shared" si="404"/>
        <v>112.824</v>
      </c>
      <c r="BE155" s="5">
        <f t="shared" si="404"/>
        <v>112.824</v>
      </c>
      <c r="BF155" s="5">
        <f t="shared" si="404"/>
        <v>112.824</v>
      </c>
      <c r="BL155" t="s">
        <v>261</v>
      </c>
      <c r="BM155" s="5">
        <f>BC155</f>
        <v>112.824</v>
      </c>
      <c r="BN155" s="5">
        <f>BM155</f>
        <v>112.824</v>
      </c>
      <c r="BO155" s="5">
        <f t="shared" ref="BO155:BO159" si="405">BN155</f>
        <v>112.824</v>
      </c>
      <c r="BP155" s="5">
        <f t="shared" ref="BP155:BP159" si="406">BO155</f>
        <v>112.824</v>
      </c>
      <c r="BQ155" s="5">
        <f t="shared" ref="BQ155:BQ159" si="407">BP155</f>
        <v>112.824</v>
      </c>
      <c r="BR155" s="5">
        <f t="shared" ref="BR155:BR159" si="408">BQ155</f>
        <v>112.824</v>
      </c>
      <c r="BS155" s="5">
        <f t="shared" ref="BS155:BS159" si="409">BR155</f>
        <v>112.824</v>
      </c>
      <c r="BT155" s="5">
        <f t="shared" ref="BT155:BT159" si="410">BS155</f>
        <v>112.824</v>
      </c>
      <c r="BU155" s="5">
        <f t="shared" ref="BU155:BU159" si="411">BT155</f>
        <v>112.824</v>
      </c>
      <c r="BV155" s="5">
        <f t="shared" ref="BV155:BV159" si="412">BU155</f>
        <v>112.824</v>
      </c>
      <c r="CB155" t="s">
        <v>261</v>
      </c>
      <c r="CC155" s="5">
        <f>BS155</f>
        <v>112.824</v>
      </c>
      <c r="CD155" s="5">
        <f>CC155</f>
        <v>112.824</v>
      </c>
      <c r="CE155" s="5">
        <f t="shared" ref="CE155:CE159" si="413">CD155</f>
        <v>112.824</v>
      </c>
      <c r="CF155" s="5">
        <f t="shared" ref="CF155:CF159" si="414">CE155</f>
        <v>112.824</v>
      </c>
      <c r="CG155" s="5">
        <f t="shared" ref="CG155:CG159" si="415">CF155</f>
        <v>112.824</v>
      </c>
      <c r="CH155" s="5">
        <f t="shared" ref="CH155:CH159" si="416">CG155</f>
        <v>112.824</v>
      </c>
      <c r="CI155" s="5">
        <f t="shared" ref="CI155:CI159" si="417">CH155</f>
        <v>112.824</v>
      </c>
      <c r="CJ155" s="5">
        <f t="shared" ref="CJ155:CJ159" si="418">CI155</f>
        <v>112.824</v>
      </c>
      <c r="CK155" s="5">
        <f t="shared" ref="CK155:CK159" si="419">CJ155</f>
        <v>112.824</v>
      </c>
      <c r="CL155" s="5">
        <f t="shared" ref="CL155:CL159" si="420">CK155</f>
        <v>112.824</v>
      </c>
      <c r="CP155" t="s">
        <v>261</v>
      </c>
      <c r="CQ155" s="5">
        <f>CG155</f>
        <v>112.824</v>
      </c>
      <c r="CR155" s="5">
        <f>CQ155</f>
        <v>112.824</v>
      </c>
      <c r="CS155" s="5">
        <f t="shared" ref="CS155:CS159" si="421">CR155</f>
        <v>112.824</v>
      </c>
      <c r="CT155" s="5">
        <f t="shared" ref="CT155:CT159" si="422">CS155</f>
        <v>112.824</v>
      </c>
      <c r="CU155" s="5">
        <f t="shared" ref="CU155:CU159" si="423">CT155</f>
        <v>112.824</v>
      </c>
      <c r="CV155" s="5">
        <f t="shared" ref="CV155:CV159" si="424">CU155</f>
        <v>112.824</v>
      </c>
      <c r="CW155" s="5">
        <f t="shared" ref="CW155:CW159" si="425">CV155</f>
        <v>112.824</v>
      </c>
      <c r="CX155" s="5">
        <f t="shared" ref="CX155:CX159" si="426">CW155</f>
        <v>112.824</v>
      </c>
      <c r="CY155" s="5">
        <f t="shared" ref="CY155:CY159" si="427">CX155</f>
        <v>112.824</v>
      </c>
      <c r="CZ155" s="5">
        <f t="shared" ref="CZ155:CZ159" si="428">CY155</f>
        <v>112.824</v>
      </c>
      <c r="DC155" t="s">
        <v>261</v>
      </c>
      <c r="DD155" s="5">
        <f>CT155</f>
        <v>112.824</v>
      </c>
      <c r="DE155" s="5">
        <f>DD155</f>
        <v>112.824</v>
      </c>
      <c r="DF155" s="5">
        <f t="shared" ref="DF155:DF159" si="429">DE155</f>
        <v>112.824</v>
      </c>
      <c r="DG155" s="5">
        <f t="shared" ref="DG155:DG159" si="430">DF155</f>
        <v>112.824</v>
      </c>
      <c r="DH155" s="5">
        <f t="shared" ref="DH155:DH159" si="431">DG155</f>
        <v>112.824</v>
      </c>
      <c r="DI155" s="5">
        <f t="shared" ref="DI155:DI159" si="432">DH155</f>
        <v>112.824</v>
      </c>
      <c r="DJ155" s="5">
        <f t="shared" ref="DJ155:DJ159" si="433">DI155</f>
        <v>112.824</v>
      </c>
      <c r="DK155" s="5">
        <f t="shared" ref="DK155:DK159" si="434">DJ155</f>
        <v>112.824</v>
      </c>
      <c r="DL155" s="5">
        <f t="shared" ref="DL155:DL159" si="435">DK155</f>
        <v>112.824</v>
      </c>
      <c r="DM155" s="5">
        <f t="shared" ref="DM155:DM159" si="436">DL155</f>
        <v>112.824</v>
      </c>
      <c r="DP155" t="s">
        <v>261</v>
      </c>
      <c r="DQ155" s="5">
        <f>DG155</f>
        <v>112.824</v>
      </c>
      <c r="DR155" s="5">
        <f>DQ155</f>
        <v>112.824</v>
      </c>
      <c r="DS155" s="5">
        <f t="shared" ref="DS155:DS159" si="437">DR155</f>
        <v>112.824</v>
      </c>
      <c r="DT155" s="5">
        <f t="shared" ref="DT155:DT159" si="438">DS155</f>
        <v>112.824</v>
      </c>
      <c r="DU155" s="5">
        <f t="shared" ref="DU155:DU159" si="439">DT155</f>
        <v>112.824</v>
      </c>
      <c r="DV155" s="5">
        <f t="shared" ref="DV155:DV159" si="440">DU155</f>
        <v>112.824</v>
      </c>
      <c r="DW155" s="5">
        <f t="shared" ref="DW155:DW159" si="441">DV155</f>
        <v>112.824</v>
      </c>
      <c r="DX155" s="5">
        <f t="shared" ref="DX155:DX159" si="442">DW155</f>
        <v>112.824</v>
      </c>
      <c r="DY155" s="5">
        <f t="shared" ref="DY155:DY159" si="443">DX155</f>
        <v>112.824</v>
      </c>
      <c r="DZ155" s="5">
        <f t="shared" ref="DZ155:DZ159" si="444">DY155</f>
        <v>112.824</v>
      </c>
      <c r="EA155" s="5"/>
    </row>
    <row r="156" spans="7:131" x14ac:dyDescent="0.25">
      <c r="G156" t="s">
        <v>231</v>
      </c>
      <c r="H156" s="5">
        <f>Fencing!$C$34</f>
        <v>36.384</v>
      </c>
      <c r="I156" s="5">
        <f t="shared" ref="I156:Q159" si="445">H156</f>
        <v>36.384</v>
      </c>
      <c r="J156" s="5">
        <f t="shared" si="445"/>
        <v>36.384</v>
      </c>
      <c r="K156" s="5">
        <f t="shared" si="445"/>
        <v>36.384</v>
      </c>
      <c r="L156" s="5">
        <f t="shared" si="445"/>
        <v>36.384</v>
      </c>
      <c r="M156" s="5">
        <f t="shared" si="445"/>
        <v>36.384</v>
      </c>
      <c r="N156" s="5">
        <f t="shared" si="445"/>
        <v>36.384</v>
      </c>
      <c r="O156" s="5">
        <f t="shared" si="445"/>
        <v>36.384</v>
      </c>
      <c r="P156" s="5">
        <f t="shared" si="445"/>
        <v>36.384</v>
      </c>
      <c r="Q156" s="5">
        <f t="shared" si="445"/>
        <v>36.384</v>
      </c>
      <c r="U156" t="s">
        <v>231</v>
      </c>
      <c r="V156" s="5">
        <f t="shared" ref="V156:V159" si="446">Q156</f>
        <v>36.384</v>
      </c>
      <c r="W156" s="5">
        <f t="shared" ref="W156:AE156" si="447">V156</f>
        <v>36.384</v>
      </c>
      <c r="X156" s="5">
        <f t="shared" si="447"/>
        <v>36.384</v>
      </c>
      <c r="Y156" s="5">
        <f t="shared" si="447"/>
        <v>36.384</v>
      </c>
      <c r="Z156" s="5">
        <f t="shared" si="447"/>
        <v>36.384</v>
      </c>
      <c r="AA156" s="5">
        <f t="shared" si="447"/>
        <v>36.384</v>
      </c>
      <c r="AB156" s="5">
        <f t="shared" si="447"/>
        <v>36.384</v>
      </c>
      <c r="AC156" s="5">
        <f t="shared" si="447"/>
        <v>36.384</v>
      </c>
      <c r="AD156" s="5">
        <f t="shared" si="447"/>
        <v>36.384</v>
      </c>
      <c r="AE156" s="5">
        <f t="shared" si="447"/>
        <v>36.384</v>
      </c>
      <c r="AJ156" t="s">
        <v>231</v>
      </c>
      <c r="AK156" s="5">
        <f>AE156</f>
        <v>36.384</v>
      </c>
      <c r="AL156" s="5">
        <f t="shared" ref="AL156:AT156" si="448">AK156</f>
        <v>36.384</v>
      </c>
      <c r="AM156" s="5">
        <f t="shared" si="448"/>
        <v>36.384</v>
      </c>
      <c r="AN156" s="5">
        <f t="shared" si="448"/>
        <v>36.384</v>
      </c>
      <c r="AO156" s="5">
        <f t="shared" si="448"/>
        <v>36.384</v>
      </c>
      <c r="AP156" s="5">
        <f t="shared" si="448"/>
        <v>36.384</v>
      </c>
      <c r="AQ156" s="5">
        <f t="shared" si="448"/>
        <v>36.384</v>
      </c>
      <c r="AR156" s="5">
        <f t="shared" si="448"/>
        <v>36.384</v>
      </c>
      <c r="AS156" s="5">
        <f t="shared" si="448"/>
        <v>36.384</v>
      </c>
      <c r="AT156" s="5">
        <f t="shared" si="448"/>
        <v>36.384</v>
      </c>
      <c r="AV156" t="s">
        <v>231</v>
      </c>
      <c r="AW156" s="5">
        <f t="shared" ref="AW156:AW159" si="449">AM156</f>
        <v>36.384</v>
      </c>
      <c r="AX156" s="5">
        <f t="shared" ref="AX156:BF156" si="450">AW156</f>
        <v>36.384</v>
      </c>
      <c r="AY156" s="5">
        <f t="shared" si="450"/>
        <v>36.384</v>
      </c>
      <c r="AZ156" s="5">
        <f t="shared" si="450"/>
        <v>36.384</v>
      </c>
      <c r="BA156" s="5">
        <f t="shared" si="450"/>
        <v>36.384</v>
      </c>
      <c r="BB156" s="5">
        <f t="shared" si="450"/>
        <v>36.384</v>
      </c>
      <c r="BC156" s="5">
        <f t="shared" si="450"/>
        <v>36.384</v>
      </c>
      <c r="BD156" s="5">
        <f t="shared" si="450"/>
        <v>36.384</v>
      </c>
      <c r="BE156" s="5">
        <f t="shared" si="450"/>
        <v>36.384</v>
      </c>
      <c r="BF156" s="5">
        <f t="shared" si="450"/>
        <v>36.384</v>
      </c>
      <c r="BL156" t="s">
        <v>231</v>
      </c>
      <c r="BM156" s="5">
        <f t="shared" ref="BM156:BM159" si="451">BC156</f>
        <v>36.384</v>
      </c>
      <c r="BN156" s="5">
        <f t="shared" ref="BN156:BN159" si="452">BM156</f>
        <v>36.384</v>
      </c>
      <c r="BO156" s="5">
        <f t="shared" si="405"/>
        <v>36.384</v>
      </c>
      <c r="BP156" s="5">
        <f t="shared" si="406"/>
        <v>36.384</v>
      </c>
      <c r="BQ156" s="5">
        <f t="shared" si="407"/>
        <v>36.384</v>
      </c>
      <c r="BR156" s="5">
        <f t="shared" si="408"/>
        <v>36.384</v>
      </c>
      <c r="BS156" s="5">
        <f t="shared" si="409"/>
        <v>36.384</v>
      </c>
      <c r="BT156" s="5">
        <f t="shared" si="410"/>
        <v>36.384</v>
      </c>
      <c r="BU156" s="5">
        <f t="shared" si="411"/>
        <v>36.384</v>
      </c>
      <c r="BV156" s="5">
        <f t="shared" si="412"/>
        <v>36.384</v>
      </c>
      <c r="CB156" t="s">
        <v>231</v>
      </c>
      <c r="CC156" s="5">
        <f t="shared" ref="CC156:CC159" si="453">BS156</f>
        <v>36.384</v>
      </c>
      <c r="CD156" s="5">
        <f t="shared" ref="CD156:CD159" si="454">CC156</f>
        <v>36.384</v>
      </c>
      <c r="CE156" s="5">
        <f t="shared" si="413"/>
        <v>36.384</v>
      </c>
      <c r="CF156" s="5">
        <f t="shared" si="414"/>
        <v>36.384</v>
      </c>
      <c r="CG156" s="5">
        <f t="shared" si="415"/>
        <v>36.384</v>
      </c>
      <c r="CH156" s="5">
        <f t="shared" si="416"/>
        <v>36.384</v>
      </c>
      <c r="CI156" s="5">
        <f t="shared" si="417"/>
        <v>36.384</v>
      </c>
      <c r="CJ156" s="5">
        <f t="shared" si="418"/>
        <v>36.384</v>
      </c>
      <c r="CK156" s="5">
        <f t="shared" si="419"/>
        <v>36.384</v>
      </c>
      <c r="CL156" s="5">
        <f t="shared" si="420"/>
        <v>36.384</v>
      </c>
      <c r="CP156" t="s">
        <v>231</v>
      </c>
      <c r="CQ156" s="5">
        <f t="shared" ref="CQ156:CQ159" si="455">CG156</f>
        <v>36.384</v>
      </c>
      <c r="CR156" s="5">
        <f t="shared" ref="CR156:CR159" si="456">CQ156</f>
        <v>36.384</v>
      </c>
      <c r="CS156" s="5">
        <f t="shared" si="421"/>
        <v>36.384</v>
      </c>
      <c r="CT156" s="5">
        <f t="shared" si="422"/>
        <v>36.384</v>
      </c>
      <c r="CU156" s="5">
        <f t="shared" si="423"/>
        <v>36.384</v>
      </c>
      <c r="CV156" s="5">
        <f t="shared" si="424"/>
        <v>36.384</v>
      </c>
      <c r="CW156" s="5">
        <f t="shared" si="425"/>
        <v>36.384</v>
      </c>
      <c r="CX156" s="5">
        <f t="shared" si="426"/>
        <v>36.384</v>
      </c>
      <c r="CY156" s="5">
        <f t="shared" si="427"/>
        <v>36.384</v>
      </c>
      <c r="CZ156" s="5">
        <f t="shared" si="428"/>
        <v>36.384</v>
      </c>
      <c r="DC156" t="s">
        <v>231</v>
      </c>
      <c r="DD156" s="5">
        <f t="shared" ref="DD156:DD159" si="457">CT156</f>
        <v>36.384</v>
      </c>
      <c r="DE156" s="5">
        <f t="shared" ref="DE156:DE159" si="458">DD156</f>
        <v>36.384</v>
      </c>
      <c r="DF156" s="5">
        <f t="shared" si="429"/>
        <v>36.384</v>
      </c>
      <c r="DG156" s="5">
        <f t="shared" si="430"/>
        <v>36.384</v>
      </c>
      <c r="DH156" s="5">
        <f t="shared" si="431"/>
        <v>36.384</v>
      </c>
      <c r="DI156" s="5">
        <f t="shared" si="432"/>
        <v>36.384</v>
      </c>
      <c r="DJ156" s="5">
        <f t="shared" si="433"/>
        <v>36.384</v>
      </c>
      <c r="DK156" s="5">
        <f t="shared" si="434"/>
        <v>36.384</v>
      </c>
      <c r="DL156" s="5">
        <f t="shared" si="435"/>
        <v>36.384</v>
      </c>
      <c r="DM156" s="5">
        <f t="shared" si="436"/>
        <v>36.384</v>
      </c>
      <c r="DP156" t="s">
        <v>231</v>
      </c>
      <c r="DQ156" s="5">
        <f t="shared" ref="DQ156:DQ159" si="459">DG156</f>
        <v>36.384</v>
      </c>
      <c r="DR156" s="5">
        <f t="shared" ref="DR156:DR159" si="460">DQ156</f>
        <v>36.384</v>
      </c>
      <c r="DS156" s="5">
        <f t="shared" si="437"/>
        <v>36.384</v>
      </c>
      <c r="DT156" s="5">
        <f t="shared" si="438"/>
        <v>36.384</v>
      </c>
      <c r="DU156" s="5">
        <f t="shared" si="439"/>
        <v>36.384</v>
      </c>
      <c r="DV156" s="5">
        <f t="shared" si="440"/>
        <v>36.384</v>
      </c>
      <c r="DW156" s="5">
        <f t="shared" si="441"/>
        <v>36.384</v>
      </c>
      <c r="DX156" s="5">
        <f t="shared" si="442"/>
        <v>36.384</v>
      </c>
      <c r="DY156" s="5">
        <f t="shared" si="443"/>
        <v>36.384</v>
      </c>
      <c r="DZ156" s="5">
        <f t="shared" si="444"/>
        <v>36.384</v>
      </c>
      <c r="EA156" s="5"/>
    </row>
    <row r="157" spans="7:131" x14ac:dyDescent="0.25">
      <c r="G157" t="s">
        <v>262</v>
      </c>
      <c r="H157" s="5">
        <f>Fencing!$C$56</f>
        <v>539.4</v>
      </c>
      <c r="I157" s="5">
        <f t="shared" si="445"/>
        <v>539.4</v>
      </c>
      <c r="J157" s="5">
        <f t="shared" si="445"/>
        <v>539.4</v>
      </c>
      <c r="K157" s="5">
        <f t="shared" si="445"/>
        <v>539.4</v>
      </c>
      <c r="L157" s="5">
        <f t="shared" si="445"/>
        <v>539.4</v>
      </c>
      <c r="M157" s="5">
        <f t="shared" si="445"/>
        <v>539.4</v>
      </c>
      <c r="N157" s="5">
        <f t="shared" si="445"/>
        <v>539.4</v>
      </c>
      <c r="O157" s="5">
        <f t="shared" si="445"/>
        <v>539.4</v>
      </c>
      <c r="P157" s="5">
        <f t="shared" si="445"/>
        <v>539.4</v>
      </c>
      <c r="Q157" s="5">
        <f t="shared" si="445"/>
        <v>539.4</v>
      </c>
      <c r="U157" t="s">
        <v>262</v>
      </c>
      <c r="V157" s="5">
        <f t="shared" si="446"/>
        <v>539.4</v>
      </c>
      <c r="W157" s="5">
        <f t="shared" ref="W157:AE157" si="461">V157</f>
        <v>539.4</v>
      </c>
      <c r="X157" s="5">
        <f t="shared" si="461"/>
        <v>539.4</v>
      </c>
      <c r="Y157" s="5">
        <f t="shared" si="461"/>
        <v>539.4</v>
      </c>
      <c r="Z157" s="5">
        <f t="shared" si="461"/>
        <v>539.4</v>
      </c>
      <c r="AA157" s="5">
        <f t="shared" si="461"/>
        <v>539.4</v>
      </c>
      <c r="AB157" s="5">
        <f t="shared" si="461"/>
        <v>539.4</v>
      </c>
      <c r="AC157" s="5">
        <f t="shared" si="461"/>
        <v>539.4</v>
      </c>
      <c r="AD157" s="5">
        <f t="shared" si="461"/>
        <v>539.4</v>
      </c>
      <c r="AE157" s="5">
        <f t="shared" si="461"/>
        <v>539.4</v>
      </c>
      <c r="AJ157" t="s">
        <v>262</v>
      </c>
      <c r="AK157" s="5">
        <f>AE157</f>
        <v>539.4</v>
      </c>
      <c r="AL157" s="5">
        <f t="shared" ref="AL157:AT157" si="462">AK157</f>
        <v>539.4</v>
      </c>
      <c r="AM157" s="5">
        <f t="shared" si="462"/>
        <v>539.4</v>
      </c>
      <c r="AN157" s="5">
        <f t="shared" si="462"/>
        <v>539.4</v>
      </c>
      <c r="AO157" s="5">
        <f t="shared" si="462"/>
        <v>539.4</v>
      </c>
      <c r="AP157" s="5">
        <f t="shared" si="462"/>
        <v>539.4</v>
      </c>
      <c r="AQ157" s="5">
        <f t="shared" si="462"/>
        <v>539.4</v>
      </c>
      <c r="AR157" s="5">
        <f t="shared" si="462"/>
        <v>539.4</v>
      </c>
      <c r="AS157" s="5">
        <f t="shared" si="462"/>
        <v>539.4</v>
      </c>
      <c r="AT157" s="5">
        <f t="shared" si="462"/>
        <v>539.4</v>
      </c>
      <c r="AV157" t="s">
        <v>262</v>
      </c>
      <c r="AW157" s="5">
        <f t="shared" si="449"/>
        <v>539.4</v>
      </c>
      <c r="AX157" s="5">
        <f t="shared" ref="AX157:BF157" si="463">AW157</f>
        <v>539.4</v>
      </c>
      <c r="AY157" s="5">
        <f t="shared" si="463"/>
        <v>539.4</v>
      </c>
      <c r="AZ157" s="5">
        <f t="shared" si="463"/>
        <v>539.4</v>
      </c>
      <c r="BA157" s="5">
        <f t="shared" si="463"/>
        <v>539.4</v>
      </c>
      <c r="BB157" s="5">
        <f t="shared" si="463"/>
        <v>539.4</v>
      </c>
      <c r="BC157" s="5">
        <f t="shared" si="463"/>
        <v>539.4</v>
      </c>
      <c r="BD157" s="5">
        <f t="shared" si="463"/>
        <v>539.4</v>
      </c>
      <c r="BE157" s="5">
        <f t="shared" si="463"/>
        <v>539.4</v>
      </c>
      <c r="BF157" s="5">
        <f t="shared" si="463"/>
        <v>539.4</v>
      </c>
      <c r="BL157" t="s">
        <v>262</v>
      </c>
      <c r="BM157" s="5">
        <f t="shared" si="451"/>
        <v>539.4</v>
      </c>
      <c r="BN157" s="5">
        <f t="shared" si="452"/>
        <v>539.4</v>
      </c>
      <c r="BO157" s="5">
        <f t="shared" si="405"/>
        <v>539.4</v>
      </c>
      <c r="BP157" s="5">
        <f t="shared" si="406"/>
        <v>539.4</v>
      </c>
      <c r="BQ157" s="5">
        <f t="shared" si="407"/>
        <v>539.4</v>
      </c>
      <c r="BR157" s="5">
        <f t="shared" si="408"/>
        <v>539.4</v>
      </c>
      <c r="BS157" s="5">
        <f t="shared" si="409"/>
        <v>539.4</v>
      </c>
      <c r="BT157" s="5">
        <f t="shared" si="410"/>
        <v>539.4</v>
      </c>
      <c r="BU157" s="5">
        <f t="shared" si="411"/>
        <v>539.4</v>
      </c>
      <c r="BV157" s="5">
        <f t="shared" si="412"/>
        <v>539.4</v>
      </c>
      <c r="CB157" t="s">
        <v>262</v>
      </c>
      <c r="CC157" s="5">
        <f t="shared" si="453"/>
        <v>539.4</v>
      </c>
      <c r="CD157" s="5">
        <f t="shared" si="454"/>
        <v>539.4</v>
      </c>
      <c r="CE157" s="5">
        <f t="shared" si="413"/>
        <v>539.4</v>
      </c>
      <c r="CF157" s="5">
        <f t="shared" si="414"/>
        <v>539.4</v>
      </c>
      <c r="CG157" s="5">
        <f t="shared" si="415"/>
        <v>539.4</v>
      </c>
      <c r="CH157" s="5">
        <f t="shared" si="416"/>
        <v>539.4</v>
      </c>
      <c r="CI157" s="5">
        <f t="shared" si="417"/>
        <v>539.4</v>
      </c>
      <c r="CJ157" s="5">
        <f t="shared" si="418"/>
        <v>539.4</v>
      </c>
      <c r="CK157" s="5">
        <f t="shared" si="419"/>
        <v>539.4</v>
      </c>
      <c r="CL157" s="5">
        <f t="shared" si="420"/>
        <v>539.4</v>
      </c>
      <c r="CP157" t="s">
        <v>262</v>
      </c>
      <c r="CQ157" s="5">
        <f t="shared" si="455"/>
        <v>539.4</v>
      </c>
      <c r="CR157" s="5">
        <f t="shared" si="456"/>
        <v>539.4</v>
      </c>
      <c r="CS157" s="5">
        <f t="shared" si="421"/>
        <v>539.4</v>
      </c>
      <c r="CT157" s="5">
        <f t="shared" si="422"/>
        <v>539.4</v>
      </c>
      <c r="CU157" s="5">
        <f t="shared" si="423"/>
        <v>539.4</v>
      </c>
      <c r="CV157" s="5">
        <f t="shared" si="424"/>
        <v>539.4</v>
      </c>
      <c r="CW157" s="5">
        <f t="shared" si="425"/>
        <v>539.4</v>
      </c>
      <c r="CX157" s="5">
        <f t="shared" si="426"/>
        <v>539.4</v>
      </c>
      <c r="CY157" s="5">
        <f t="shared" si="427"/>
        <v>539.4</v>
      </c>
      <c r="CZ157" s="5">
        <f t="shared" si="428"/>
        <v>539.4</v>
      </c>
      <c r="DC157" t="s">
        <v>262</v>
      </c>
      <c r="DD157" s="5">
        <f t="shared" si="457"/>
        <v>539.4</v>
      </c>
      <c r="DE157" s="5">
        <f t="shared" si="458"/>
        <v>539.4</v>
      </c>
      <c r="DF157" s="5">
        <f t="shared" si="429"/>
        <v>539.4</v>
      </c>
      <c r="DG157" s="5">
        <f t="shared" si="430"/>
        <v>539.4</v>
      </c>
      <c r="DH157" s="5">
        <f t="shared" si="431"/>
        <v>539.4</v>
      </c>
      <c r="DI157" s="5">
        <f t="shared" si="432"/>
        <v>539.4</v>
      </c>
      <c r="DJ157" s="5">
        <f t="shared" si="433"/>
        <v>539.4</v>
      </c>
      <c r="DK157" s="5">
        <f t="shared" si="434"/>
        <v>539.4</v>
      </c>
      <c r="DL157" s="5">
        <f t="shared" si="435"/>
        <v>539.4</v>
      </c>
      <c r="DM157" s="5">
        <f t="shared" si="436"/>
        <v>539.4</v>
      </c>
      <c r="DP157" t="s">
        <v>262</v>
      </c>
      <c r="DQ157" s="5">
        <f t="shared" si="459"/>
        <v>539.4</v>
      </c>
      <c r="DR157" s="5">
        <f t="shared" si="460"/>
        <v>539.4</v>
      </c>
      <c r="DS157" s="5">
        <f t="shared" si="437"/>
        <v>539.4</v>
      </c>
      <c r="DT157" s="5">
        <f t="shared" si="438"/>
        <v>539.4</v>
      </c>
      <c r="DU157" s="5">
        <f t="shared" si="439"/>
        <v>539.4</v>
      </c>
      <c r="DV157" s="5">
        <f t="shared" si="440"/>
        <v>539.4</v>
      </c>
      <c r="DW157" s="5">
        <f t="shared" si="441"/>
        <v>539.4</v>
      </c>
      <c r="DX157" s="5">
        <f t="shared" si="442"/>
        <v>539.4</v>
      </c>
      <c r="DY157" s="5">
        <f t="shared" si="443"/>
        <v>539.4</v>
      </c>
      <c r="DZ157" s="5">
        <f t="shared" si="444"/>
        <v>539.4</v>
      </c>
      <c r="EA157" s="5"/>
    </row>
    <row r="158" spans="7:131" x14ac:dyDescent="0.25">
      <c r="G158" t="s">
        <v>14</v>
      </c>
      <c r="H158">
        <f>Index!$C$69</f>
        <v>11.9580460758</v>
      </c>
      <c r="I158">
        <f>Index!$C$69</f>
        <v>11.9580460758</v>
      </c>
      <c r="J158">
        <f>Index!$C$69</f>
        <v>11.9580460758</v>
      </c>
      <c r="K158">
        <f>Index!$C$69</f>
        <v>11.9580460758</v>
      </c>
      <c r="L158">
        <f>Index!$C$69</f>
        <v>11.9580460758</v>
      </c>
      <c r="M158">
        <f>Index!$C$69</f>
        <v>11.9580460758</v>
      </c>
      <c r="N158">
        <f>Index!$C$69</f>
        <v>11.9580460758</v>
      </c>
      <c r="O158">
        <f>Index!$C$69</f>
        <v>11.9580460758</v>
      </c>
      <c r="P158">
        <f>Index!$C$69</f>
        <v>11.9580460758</v>
      </c>
      <c r="Q158">
        <f>Index!$C$69</f>
        <v>11.9580460758</v>
      </c>
      <c r="U158" t="s">
        <v>14</v>
      </c>
      <c r="V158">
        <f>Index!$C$69</f>
        <v>11.9580460758</v>
      </c>
      <c r="W158">
        <f>Index!$C$69</f>
        <v>11.9580460758</v>
      </c>
      <c r="X158">
        <f>Index!$C$69</f>
        <v>11.9580460758</v>
      </c>
      <c r="Y158">
        <f>Index!$C$69</f>
        <v>11.9580460758</v>
      </c>
      <c r="Z158">
        <f>Index!$C$69</f>
        <v>11.9580460758</v>
      </c>
      <c r="AA158">
        <f>Index!$C$69</f>
        <v>11.9580460758</v>
      </c>
      <c r="AB158">
        <f>Index!$C$69</f>
        <v>11.9580460758</v>
      </c>
      <c r="AC158">
        <f>Index!$C$69</f>
        <v>11.9580460758</v>
      </c>
      <c r="AD158">
        <f>Index!$C$69</f>
        <v>11.9580460758</v>
      </c>
      <c r="AE158">
        <f>Index!$C$69</f>
        <v>11.9580460758</v>
      </c>
      <c r="AJ158" t="s">
        <v>14</v>
      </c>
      <c r="AK158">
        <f>Index!$C$69</f>
        <v>11.9580460758</v>
      </c>
      <c r="AL158">
        <f>Index!$C$69</f>
        <v>11.9580460758</v>
      </c>
      <c r="AM158">
        <f>Index!$C$69</f>
        <v>11.9580460758</v>
      </c>
      <c r="AN158">
        <f>Index!$C$69</f>
        <v>11.9580460758</v>
      </c>
      <c r="AO158">
        <f>Index!$C$69</f>
        <v>11.9580460758</v>
      </c>
      <c r="AP158">
        <f>Index!$C$69</f>
        <v>11.9580460758</v>
      </c>
      <c r="AQ158">
        <f>Index!$C$69</f>
        <v>11.9580460758</v>
      </c>
      <c r="AR158">
        <f>Index!$C$69</f>
        <v>11.9580460758</v>
      </c>
      <c r="AS158">
        <f>Index!$C$69</f>
        <v>11.9580460758</v>
      </c>
      <c r="AT158">
        <f>Index!$C$69</f>
        <v>11.9580460758</v>
      </c>
      <c r="AV158" t="s">
        <v>14</v>
      </c>
      <c r="AW158">
        <f>Index!$C$69</f>
        <v>11.9580460758</v>
      </c>
      <c r="AX158">
        <f>Index!$C$69</f>
        <v>11.9580460758</v>
      </c>
      <c r="AY158">
        <f>Index!$C$69</f>
        <v>11.9580460758</v>
      </c>
      <c r="AZ158">
        <f>Index!$C$69</f>
        <v>11.9580460758</v>
      </c>
      <c r="BA158">
        <f>Index!$C$69</f>
        <v>11.9580460758</v>
      </c>
      <c r="BB158">
        <f>Index!$C$69</f>
        <v>11.9580460758</v>
      </c>
      <c r="BC158">
        <f>Index!$C$69</f>
        <v>11.9580460758</v>
      </c>
      <c r="BD158">
        <f>Index!$C$69</f>
        <v>11.9580460758</v>
      </c>
      <c r="BE158">
        <f>Index!$C$69</f>
        <v>11.9580460758</v>
      </c>
      <c r="BF158">
        <f>Index!$C$69</f>
        <v>11.9580460758</v>
      </c>
      <c r="BL158" t="s">
        <v>14</v>
      </c>
      <c r="BM158">
        <f>Index!$C$69</f>
        <v>11.9580460758</v>
      </c>
      <c r="BN158">
        <f>Index!$C$69</f>
        <v>11.9580460758</v>
      </c>
      <c r="BO158">
        <f>Index!$C$69</f>
        <v>11.9580460758</v>
      </c>
      <c r="BP158">
        <f>Index!$C$69</f>
        <v>11.9580460758</v>
      </c>
      <c r="BQ158">
        <f>Index!$C$69</f>
        <v>11.9580460758</v>
      </c>
      <c r="BR158">
        <f>Index!$C$69</f>
        <v>11.9580460758</v>
      </c>
      <c r="BS158">
        <f>Index!$C$69</f>
        <v>11.9580460758</v>
      </c>
      <c r="BT158">
        <f>Index!$C$69</f>
        <v>11.9580460758</v>
      </c>
      <c r="BU158">
        <f>Index!$C$69</f>
        <v>11.9580460758</v>
      </c>
      <c r="BV158">
        <f>Index!$C$69</f>
        <v>11.9580460758</v>
      </c>
      <c r="CB158" t="s">
        <v>14</v>
      </c>
      <c r="CC158">
        <f>Index!$C$69</f>
        <v>11.9580460758</v>
      </c>
      <c r="CD158">
        <f>Index!$C$69</f>
        <v>11.9580460758</v>
      </c>
      <c r="CE158">
        <f>Index!$C$69</f>
        <v>11.9580460758</v>
      </c>
      <c r="CF158">
        <f>Index!$C$69</f>
        <v>11.9580460758</v>
      </c>
      <c r="CG158">
        <f>Index!$C$69</f>
        <v>11.9580460758</v>
      </c>
      <c r="CH158">
        <f>Index!$C$69</f>
        <v>11.9580460758</v>
      </c>
      <c r="CI158">
        <f>Index!$C$69</f>
        <v>11.9580460758</v>
      </c>
      <c r="CJ158">
        <f>Index!$C$69</f>
        <v>11.9580460758</v>
      </c>
      <c r="CK158">
        <f>Index!$C$69</f>
        <v>11.9580460758</v>
      </c>
      <c r="CL158">
        <f>Index!$C$69</f>
        <v>11.9580460758</v>
      </c>
      <c r="CP158" t="s">
        <v>14</v>
      </c>
      <c r="CQ158">
        <f>Index!$C$69</f>
        <v>11.9580460758</v>
      </c>
      <c r="CR158">
        <f>Index!$C$69</f>
        <v>11.9580460758</v>
      </c>
      <c r="CS158">
        <f>Index!$C$69</f>
        <v>11.9580460758</v>
      </c>
      <c r="CT158">
        <f>Index!$C$69</f>
        <v>11.9580460758</v>
      </c>
      <c r="CU158">
        <f>Index!$C$69</f>
        <v>11.9580460758</v>
      </c>
      <c r="CV158">
        <f>Index!$C$69</f>
        <v>11.9580460758</v>
      </c>
      <c r="CW158">
        <f>Index!$C$69</f>
        <v>11.9580460758</v>
      </c>
      <c r="CX158">
        <f>Index!$C$69</f>
        <v>11.9580460758</v>
      </c>
      <c r="CY158">
        <f>Index!$C$69</f>
        <v>11.9580460758</v>
      </c>
      <c r="CZ158">
        <f>Index!$C$69</f>
        <v>11.9580460758</v>
      </c>
      <c r="DC158" t="s">
        <v>14</v>
      </c>
      <c r="DD158">
        <f>Index!$C$69</f>
        <v>11.9580460758</v>
      </c>
      <c r="DE158">
        <f>Index!$C$69</f>
        <v>11.9580460758</v>
      </c>
      <c r="DF158">
        <f>Index!$C$69</f>
        <v>11.9580460758</v>
      </c>
      <c r="DG158">
        <f>Index!$C$69</f>
        <v>11.9580460758</v>
      </c>
      <c r="DH158">
        <f>Index!$C$69</f>
        <v>11.9580460758</v>
      </c>
      <c r="DI158">
        <f>Index!$C$69</f>
        <v>11.9580460758</v>
      </c>
      <c r="DJ158">
        <f>Index!$C$69</f>
        <v>11.9580460758</v>
      </c>
      <c r="DK158">
        <f>Index!$C$69</f>
        <v>11.9580460758</v>
      </c>
      <c r="DL158">
        <f>Index!$C$69</f>
        <v>11.9580460758</v>
      </c>
      <c r="DM158">
        <f>Index!$C$69</f>
        <v>11.9580460758</v>
      </c>
      <c r="DP158" t="s">
        <v>14</v>
      </c>
      <c r="DQ158">
        <f>Index!$C$69</f>
        <v>11.9580460758</v>
      </c>
      <c r="DR158">
        <f>Index!$C$69</f>
        <v>11.9580460758</v>
      </c>
      <c r="DS158">
        <f>Index!$C$69</f>
        <v>11.9580460758</v>
      </c>
      <c r="DT158">
        <f>Index!$C$69</f>
        <v>11.9580460758</v>
      </c>
      <c r="DU158">
        <f>Index!$C$69</f>
        <v>11.9580460758</v>
      </c>
      <c r="DV158">
        <f>Index!$C$69</f>
        <v>11.9580460758</v>
      </c>
      <c r="DW158">
        <f>Index!$C$69</f>
        <v>11.9580460758</v>
      </c>
      <c r="DX158">
        <f>Index!$C$69</f>
        <v>11.9580460758</v>
      </c>
      <c r="DY158">
        <f>Index!$C$69</f>
        <v>11.9580460758</v>
      </c>
      <c r="DZ158">
        <f>Index!$C$69</f>
        <v>11.9580460758</v>
      </c>
      <c r="EA158" s="5"/>
    </row>
    <row r="159" spans="7:131" x14ac:dyDescent="0.25">
      <c r="G159" t="s">
        <v>100</v>
      </c>
      <c r="H159" s="5">
        <f>J8</f>
        <v>99.508928571428555</v>
      </c>
      <c r="I159" s="5">
        <f t="shared" si="445"/>
        <v>99.508928571428555</v>
      </c>
      <c r="J159" s="5">
        <f t="shared" si="445"/>
        <v>99.508928571428555</v>
      </c>
      <c r="K159" s="5">
        <f t="shared" si="445"/>
        <v>99.508928571428555</v>
      </c>
      <c r="L159" s="5">
        <f t="shared" si="445"/>
        <v>99.508928571428555</v>
      </c>
      <c r="M159" s="5">
        <f t="shared" si="445"/>
        <v>99.508928571428555</v>
      </c>
      <c r="N159" s="5">
        <f t="shared" si="445"/>
        <v>99.508928571428555</v>
      </c>
      <c r="O159" s="5">
        <f t="shared" si="445"/>
        <v>99.508928571428555</v>
      </c>
      <c r="P159" s="5">
        <f t="shared" si="445"/>
        <v>99.508928571428555</v>
      </c>
      <c r="Q159" s="5">
        <f t="shared" si="445"/>
        <v>99.508928571428555</v>
      </c>
      <c r="U159" t="s">
        <v>100</v>
      </c>
      <c r="V159" s="5">
        <f t="shared" si="446"/>
        <v>99.508928571428555</v>
      </c>
      <c r="W159" s="5">
        <f t="shared" ref="W159:AE159" si="464">V159</f>
        <v>99.508928571428555</v>
      </c>
      <c r="X159" s="5">
        <f t="shared" si="464"/>
        <v>99.508928571428555</v>
      </c>
      <c r="Y159" s="5">
        <f t="shared" si="464"/>
        <v>99.508928571428555</v>
      </c>
      <c r="Z159" s="5">
        <f t="shared" si="464"/>
        <v>99.508928571428555</v>
      </c>
      <c r="AA159" s="5">
        <f t="shared" si="464"/>
        <v>99.508928571428555</v>
      </c>
      <c r="AB159" s="5">
        <f t="shared" si="464"/>
        <v>99.508928571428555</v>
      </c>
      <c r="AC159" s="5">
        <f t="shared" si="464"/>
        <v>99.508928571428555</v>
      </c>
      <c r="AD159" s="5">
        <f t="shared" si="464"/>
        <v>99.508928571428555</v>
      </c>
      <c r="AE159" s="5">
        <f t="shared" si="464"/>
        <v>99.508928571428555</v>
      </c>
      <c r="AJ159" t="s">
        <v>100</v>
      </c>
      <c r="AK159" s="5">
        <f>AE159</f>
        <v>99.508928571428555</v>
      </c>
      <c r="AL159" s="5">
        <f t="shared" ref="AL159:AT159" si="465">AK159</f>
        <v>99.508928571428555</v>
      </c>
      <c r="AM159" s="5">
        <f t="shared" si="465"/>
        <v>99.508928571428555</v>
      </c>
      <c r="AN159" s="5">
        <f t="shared" si="465"/>
        <v>99.508928571428555</v>
      </c>
      <c r="AO159" s="5">
        <f t="shared" si="465"/>
        <v>99.508928571428555</v>
      </c>
      <c r="AP159" s="5">
        <f t="shared" si="465"/>
        <v>99.508928571428555</v>
      </c>
      <c r="AQ159" s="5">
        <f t="shared" si="465"/>
        <v>99.508928571428555</v>
      </c>
      <c r="AR159" s="5">
        <f t="shared" si="465"/>
        <v>99.508928571428555</v>
      </c>
      <c r="AS159" s="5">
        <f t="shared" si="465"/>
        <v>99.508928571428555</v>
      </c>
      <c r="AT159" s="5">
        <f t="shared" si="465"/>
        <v>99.508928571428555</v>
      </c>
      <c r="AV159" t="s">
        <v>100</v>
      </c>
      <c r="AW159" s="5">
        <f t="shared" si="449"/>
        <v>99.508928571428555</v>
      </c>
      <c r="AX159" s="5">
        <f t="shared" ref="AX159:BF159" si="466">AW159</f>
        <v>99.508928571428555</v>
      </c>
      <c r="AY159" s="5">
        <f t="shared" si="466"/>
        <v>99.508928571428555</v>
      </c>
      <c r="AZ159" s="5">
        <f t="shared" si="466"/>
        <v>99.508928571428555</v>
      </c>
      <c r="BA159" s="5">
        <f t="shared" si="466"/>
        <v>99.508928571428555</v>
      </c>
      <c r="BB159" s="5">
        <f t="shared" si="466"/>
        <v>99.508928571428555</v>
      </c>
      <c r="BC159" s="5">
        <f t="shared" si="466"/>
        <v>99.508928571428555</v>
      </c>
      <c r="BD159" s="5">
        <f t="shared" si="466"/>
        <v>99.508928571428555</v>
      </c>
      <c r="BE159" s="5">
        <f t="shared" si="466"/>
        <v>99.508928571428555</v>
      </c>
      <c r="BF159" s="5">
        <f t="shared" si="466"/>
        <v>99.508928571428555</v>
      </c>
      <c r="BL159" t="s">
        <v>100</v>
      </c>
      <c r="BM159" s="5">
        <f t="shared" si="451"/>
        <v>99.508928571428555</v>
      </c>
      <c r="BN159" s="5">
        <f t="shared" si="452"/>
        <v>99.508928571428555</v>
      </c>
      <c r="BO159" s="5">
        <f t="shared" si="405"/>
        <v>99.508928571428555</v>
      </c>
      <c r="BP159" s="5">
        <f t="shared" si="406"/>
        <v>99.508928571428555</v>
      </c>
      <c r="BQ159" s="5">
        <f t="shared" si="407"/>
        <v>99.508928571428555</v>
      </c>
      <c r="BR159" s="5">
        <f t="shared" si="408"/>
        <v>99.508928571428555</v>
      </c>
      <c r="BS159" s="5">
        <f t="shared" si="409"/>
        <v>99.508928571428555</v>
      </c>
      <c r="BT159" s="5">
        <f t="shared" si="410"/>
        <v>99.508928571428555</v>
      </c>
      <c r="BU159" s="5">
        <f t="shared" si="411"/>
        <v>99.508928571428555</v>
      </c>
      <c r="BV159" s="5">
        <f t="shared" si="412"/>
        <v>99.508928571428555</v>
      </c>
      <c r="CB159" t="s">
        <v>100</v>
      </c>
      <c r="CC159" s="5">
        <f t="shared" si="453"/>
        <v>99.508928571428555</v>
      </c>
      <c r="CD159" s="5">
        <f t="shared" si="454"/>
        <v>99.508928571428555</v>
      </c>
      <c r="CE159" s="5">
        <f t="shared" si="413"/>
        <v>99.508928571428555</v>
      </c>
      <c r="CF159" s="5">
        <f t="shared" si="414"/>
        <v>99.508928571428555</v>
      </c>
      <c r="CG159" s="5">
        <f t="shared" si="415"/>
        <v>99.508928571428555</v>
      </c>
      <c r="CH159" s="5">
        <f t="shared" si="416"/>
        <v>99.508928571428555</v>
      </c>
      <c r="CI159" s="5">
        <f t="shared" si="417"/>
        <v>99.508928571428555</v>
      </c>
      <c r="CJ159" s="5">
        <f t="shared" si="418"/>
        <v>99.508928571428555</v>
      </c>
      <c r="CK159" s="5">
        <f t="shared" si="419"/>
        <v>99.508928571428555</v>
      </c>
      <c r="CL159" s="5">
        <f t="shared" si="420"/>
        <v>99.508928571428555</v>
      </c>
      <c r="CP159" t="s">
        <v>100</v>
      </c>
      <c r="CQ159" s="5">
        <f t="shared" si="455"/>
        <v>99.508928571428555</v>
      </c>
      <c r="CR159" s="5">
        <f t="shared" si="456"/>
        <v>99.508928571428555</v>
      </c>
      <c r="CS159" s="5">
        <f t="shared" si="421"/>
        <v>99.508928571428555</v>
      </c>
      <c r="CT159" s="5">
        <f t="shared" si="422"/>
        <v>99.508928571428555</v>
      </c>
      <c r="CU159" s="5">
        <f t="shared" si="423"/>
        <v>99.508928571428555</v>
      </c>
      <c r="CV159" s="5">
        <f t="shared" si="424"/>
        <v>99.508928571428555</v>
      </c>
      <c r="CW159" s="5">
        <f t="shared" si="425"/>
        <v>99.508928571428555</v>
      </c>
      <c r="CX159" s="5">
        <f t="shared" si="426"/>
        <v>99.508928571428555</v>
      </c>
      <c r="CY159" s="5">
        <f t="shared" si="427"/>
        <v>99.508928571428555</v>
      </c>
      <c r="CZ159" s="5">
        <f t="shared" si="428"/>
        <v>99.508928571428555</v>
      </c>
      <c r="DC159" t="s">
        <v>100</v>
      </c>
      <c r="DD159" s="5">
        <f t="shared" si="457"/>
        <v>99.508928571428555</v>
      </c>
      <c r="DE159" s="5">
        <f t="shared" si="458"/>
        <v>99.508928571428555</v>
      </c>
      <c r="DF159" s="5">
        <f t="shared" si="429"/>
        <v>99.508928571428555</v>
      </c>
      <c r="DG159" s="5">
        <f t="shared" si="430"/>
        <v>99.508928571428555</v>
      </c>
      <c r="DH159" s="5">
        <f t="shared" si="431"/>
        <v>99.508928571428555</v>
      </c>
      <c r="DI159" s="5">
        <f t="shared" si="432"/>
        <v>99.508928571428555</v>
      </c>
      <c r="DJ159" s="5">
        <f t="shared" si="433"/>
        <v>99.508928571428555</v>
      </c>
      <c r="DK159" s="5">
        <f t="shared" si="434"/>
        <v>99.508928571428555</v>
      </c>
      <c r="DL159" s="5">
        <f t="shared" si="435"/>
        <v>99.508928571428555</v>
      </c>
      <c r="DM159" s="5">
        <f t="shared" si="436"/>
        <v>99.508928571428555</v>
      </c>
      <c r="DP159" t="s">
        <v>100</v>
      </c>
      <c r="DQ159" s="5">
        <f t="shared" si="459"/>
        <v>99.508928571428555</v>
      </c>
      <c r="DR159" s="5">
        <f t="shared" si="460"/>
        <v>99.508928571428555</v>
      </c>
      <c r="DS159" s="5">
        <f t="shared" si="437"/>
        <v>99.508928571428555</v>
      </c>
      <c r="DT159" s="5">
        <f t="shared" si="438"/>
        <v>99.508928571428555</v>
      </c>
      <c r="DU159" s="5">
        <f t="shared" si="439"/>
        <v>99.508928571428555</v>
      </c>
      <c r="DV159" s="5">
        <f t="shared" si="440"/>
        <v>99.508928571428555</v>
      </c>
      <c r="DW159" s="5">
        <f t="shared" si="441"/>
        <v>99.508928571428555</v>
      </c>
      <c r="DX159" s="5">
        <f t="shared" si="442"/>
        <v>99.508928571428555</v>
      </c>
      <c r="DY159" s="5">
        <f t="shared" si="443"/>
        <v>99.508928571428555</v>
      </c>
      <c r="DZ159" s="5">
        <f t="shared" si="444"/>
        <v>99.508928571428555</v>
      </c>
      <c r="EA159" s="5"/>
    </row>
    <row r="160" spans="7:131" x14ac:dyDescent="0.25">
      <c r="H160" s="5"/>
      <c r="I160" s="5"/>
      <c r="J160" s="5"/>
      <c r="K160" s="5"/>
      <c r="L160" s="5"/>
      <c r="M160" s="5"/>
      <c r="N160" s="5"/>
      <c r="O160" s="5"/>
      <c r="P160" s="5"/>
      <c r="Q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</row>
    <row r="161" spans="6:216" x14ac:dyDescent="0.25">
      <c r="G161" s="10" t="s">
        <v>205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U161" s="10" t="s">
        <v>205</v>
      </c>
      <c r="AJ161" s="10" t="s">
        <v>205</v>
      </c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V161" s="10" t="s">
        <v>205</v>
      </c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L161" s="10" t="s">
        <v>205</v>
      </c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CB161" s="10" t="s">
        <v>205</v>
      </c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P161" s="10" t="s">
        <v>205</v>
      </c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C161" s="10" t="s">
        <v>205</v>
      </c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P161" s="10" t="s">
        <v>205</v>
      </c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</row>
    <row r="162" spans="6:216" x14ac:dyDescent="0.25">
      <c r="G162" t="s">
        <v>261</v>
      </c>
      <c r="H162" s="5">
        <f>H155*H148</f>
        <v>1466.712</v>
      </c>
      <c r="I162" s="5">
        <f t="shared" ref="I162:Q162" si="467">I155*I148</f>
        <v>1466.712</v>
      </c>
      <c r="J162" s="5">
        <f t="shared" si="467"/>
        <v>1692.36</v>
      </c>
      <c r="K162" s="5">
        <f t="shared" si="467"/>
        <v>1918.008</v>
      </c>
      <c r="L162" s="5">
        <f>L155*L148</f>
        <v>2143.6559999999999</v>
      </c>
      <c r="M162" s="5">
        <f t="shared" si="467"/>
        <v>2369.3040000000001</v>
      </c>
      <c r="N162" s="5">
        <f t="shared" si="467"/>
        <v>2594.9519999999998</v>
      </c>
      <c r="O162" s="5">
        <f t="shared" si="467"/>
        <v>2820.6</v>
      </c>
      <c r="P162" s="5">
        <f t="shared" si="467"/>
        <v>3046.248</v>
      </c>
      <c r="Q162" s="5">
        <f t="shared" si="467"/>
        <v>3271.8959999999997</v>
      </c>
      <c r="U162" t="s">
        <v>261</v>
      </c>
      <c r="V162" s="5">
        <f>V155*V148</f>
        <v>1466.712</v>
      </c>
      <c r="W162" s="5">
        <f t="shared" ref="W162:AE162" si="468">W155*W148</f>
        <v>1692.36</v>
      </c>
      <c r="X162" s="5">
        <f t="shared" si="468"/>
        <v>1692.36</v>
      </c>
      <c r="Y162" s="5">
        <f t="shared" si="468"/>
        <v>1918.008</v>
      </c>
      <c r="Z162" s="5">
        <f t="shared" si="468"/>
        <v>2143.6559999999999</v>
      </c>
      <c r="AA162" s="5">
        <f t="shared" si="468"/>
        <v>2369.3040000000001</v>
      </c>
      <c r="AB162" s="5">
        <f t="shared" si="468"/>
        <v>2594.9519999999998</v>
      </c>
      <c r="AC162" s="5">
        <f t="shared" si="468"/>
        <v>2820.6</v>
      </c>
      <c r="AD162" s="5">
        <f t="shared" si="468"/>
        <v>3046.248</v>
      </c>
      <c r="AE162" s="5">
        <f t="shared" si="468"/>
        <v>3271.8959999999997</v>
      </c>
      <c r="AJ162" t="s">
        <v>261</v>
      </c>
      <c r="AK162" s="5">
        <f>AK155*AK148</f>
        <v>1692.36</v>
      </c>
      <c r="AL162" s="5">
        <f t="shared" ref="AL162:AT162" si="469">AL155*AL148</f>
        <v>1918.008</v>
      </c>
      <c r="AM162" s="5">
        <f t="shared" si="469"/>
        <v>2369.3040000000001</v>
      </c>
      <c r="AN162" s="5">
        <f t="shared" si="469"/>
        <v>2820.6</v>
      </c>
      <c r="AO162" s="5">
        <f t="shared" si="469"/>
        <v>2820.6</v>
      </c>
      <c r="AP162" s="5">
        <f t="shared" si="469"/>
        <v>3046.248</v>
      </c>
      <c r="AQ162" s="5">
        <f t="shared" si="469"/>
        <v>3046.248</v>
      </c>
      <c r="AR162" s="5">
        <f t="shared" si="469"/>
        <v>3271.8959999999997</v>
      </c>
      <c r="AS162" s="5">
        <f t="shared" si="469"/>
        <v>3271.8959999999997</v>
      </c>
      <c r="AT162" s="5">
        <f t="shared" si="469"/>
        <v>3497.5439999999999</v>
      </c>
      <c r="AV162" t="s">
        <v>261</v>
      </c>
      <c r="AW162" s="5">
        <f>AW155*AW148</f>
        <v>1918.008</v>
      </c>
      <c r="AX162" s="5">
        <f t="shared" ref="AX162:BF162" si="470">AX155*AX148</f>
        <v>2143.6559999999999</v>
      </c>
      <c r="AY162" s="5">
        <f t="shared" si="470"/>
        <v>2594.9519999999998</v>
      </c>
      <c r="AZ162" s="5">
        <f t="shared" si="470"/>
        <v>2820.6</v>
      </c>
      <c r="BA162" s="5">
        <f t="shared" si="470"/>
        <v>2820.6</v>
      </c>
      <c r="BB162" s="5">
        <f t="shared" si="470"/>
        <v>3046.248</v>
      </c>
      <c r="BC162" s="5">
        <f t="shared" si="470"/>
        <v>3271.8959999999997</v>
      </c>
      <c r="BD162" s="5">
        <f t="shared" si="470"/>
        <v>3271.8959999999997</v>
      </c>
      <c r="BE162" s="5">
        <f t="shared" si="470"/>
        <v>3497.5439999999999</v>
      </c>
      <c r="BF162" s="5">
        <f t="shared" si="470"/>
        <v>3497.5439999999999</v>
      </c>
      <c r="BL162" t="s">
        <v>261</v>
      </c>
      <c r="BM162" s="5">
        <f>BM155*BM148</f>
        <v>2594.9519999999998</v>
      </c>
      <c r="BN162" s="5">
        <f t="shared" ref="BN162:BV162" si="471">BN155*BN148</f>
        <v>3046.248</v>
      </c>
      <c r="BO162" s="5">
        <f t="shared" si="471"/>
        <v>3271.8959999999997</v>
      </c>
      <c r="BP162" s="5">
        <f t="shared" si="471"/>
        <v>3497.5439999999999</v>
      </c>
      <c r="BQ162" s="5">
        <f t="shared" si="471"/>
        <v>3723.192</v>
      </c>
      <c r="BR162" s="5">
        <f t="shared" si="471"/>
        <v>3948.84</v>
      </c>
      <c r="BS162" s="5">
        <f t="shared" si="471"/>
        <v>4174.4880000000003</v>
      </c>
      <c r="BT162" s="5">
        <f t="shared" si="471"/>
        <v>4400.1359999999995</v>
      </c>
      <c r="BU162" s="5">
        <f t="shared" si="471"/>
        <v>4625.7839999999997</v>
      </c>
      <c r="BV162" s="5">
        <f t="shared" si="471"/>
        <v>4851.4319999999998</v>
      </c>
      <c r="CB162" t="s">
        <v>261</v>
      </c>
      <c r="CC162" s="5">
        <f>CC155*CC148</f>
        <v>3046.248</v>
      </c>
      <c r="CD162" s="5">
        <f t="shared" ref="CD162:CL162" si="472">CD155*CD148</f>
        <v>3046.248</v>
      </c>
      <c r="CE162" s="5">
        <f t="shared" si="472"/>
        <v>3497.5439999999999</v>
      </c>
      <c r="CF162" s="5">
        <f t="shared" si="472"/>
        <v>3723.192</v>
      </c>
      <c r="CG162" s="5">
        <f t="shared" si="472"/>
        <v>4174.4880000000003</v>
      </c>
      <c r="CH162" s="5">
        <f t="shared" si="472"/>
        <v>4400.1359999999995</v>
      </c>
      <c r="CI162" s="5">
        <f t="shared" si="472"/>
        <v>4625.7839999999997</v>
      </c>
      <c r="CJ162" s="5">
        <f t="shared" si="472"/>
        <v>4851.4319999999998</v>
      </c>
      <c r="CK162" s="5">
        <f t="shared" si="472"/>
        <v>5302.7280000000001</v>
      </c>
      <c r="CL162" s="5">
        <f t="shared" si="472"/>
        <v>5528.3760000000002</v>
      </c>
      <c r="CP162" t="s">
        <v>261</v>
      </c>
      <c r="CQ162" s="5">
        <f>CQ155*CQ148</f>
        <v>3723.192</v>
      </c>
      <c r="CR162" s="5">
        <f t="shared" ref="CR162:CZ162" si="473">CR155*CR148</f>
        <v>3723.192</v>
      </c>
      <c r="CS162" s="5">
        <f t="shared" si="473"/>
        <v>4174.4880000000003</v>
      </c>
      <c r="CT162" s="5">
        <f t="shared" si="473"/>
        <v>4851.4319999999998</v>
      </c>
      <c r="CU162" s="5">
        <f t="shared" si="473"/>
        <v>5302.7280000000001</v>
      </c>
      <c r="CV162" s="5">
        <f t="shared" si="473"/>
        <v>5754.0240000000003</v>
      </c>
      <c r="CW162" s="5">
        <f t="shared" si="473"/>
        <v>6430.9679999999998</v>
      </c>
      <c r="CX162" s="5">
        <f t="shared" si="473"/>
        <v>6882.2640000000001</v>
      </c>
      <c r="CY162" s="5">
        <f t="shared" si="473"/>
        <v>7333.5599999999995</v>
      </c>
      <c r="CZ162" s="5">
        <f t="shared" si="473"/>
        <v>7784.8559999999998</v>
      </c>
      <c r="DC162" t="s">
        <v>261</v>
      </c>
      <c r="DD162" s="5">
        <f>DD155*DD148</f>
        <v>3948.84</v>
      </c>
      <c r="DE162" s="5">
        <f t="shared" ref="DE162:DM162" si="474">DE155*DE148</f>
        <v>4400.1359999999995</v>
      </c>
      <c r="DF162" s="5">
        <f t="shared" si="474"/>
        <v>5077.08</v>
      </c>
      <c r="DG162" s="5">
        <f t="shared" si="474"/>
        <v>5754.0240000000003</v>
      </c>
      <c r="DH162" s="5">
        <f t="shared" si="474"/>
        <v>6656.616</v>
      </c>
      <c r="DI162" s="5">
        <f t="shared" si="474"/>
        <v>7333.5599999999995</v>
      </c>
      <c r="DJ162" s="5">
        <f t="shared" si="474"/>
        <v>8236.152</v>
      </c>
      <c r="DK162" s="5">
        <f t="shared" si="474"/>
        <v>8913.0959999999995</v>
      </c>
      <c r="DL162" s="5">
        <f t="shared" si="474"/>
        <v>9590.0399999999991</v>
      </c>
      <c r="DM162" s="5">
        <f t="shared" si="474"/>
        <v>10492.632</v>
      </c>
      <c r="DP162" t="s">
        <v>261</v>
      </c>
      <c r="DQ162" s="5">
        <f>DQ155*DQ148</f>
        <v>4400.1359999999995</v>
      </c>
      <c r="DR162" s="5">
        <f t="shared" ref="DR162:DZ162" si="475">DR155*DR148</f>
        <v>4851.4319999999998</v>
      </c>
      <c r="DS162" s="5">
        <f t="shared" si="475"/>
        <v>5754.0240000000003</v>
      </c>
      <c r="DT162" s="5">
        <f t="shared" si="475"/>
        <v>6882.2640000000001</v>
      </c>
      <c r="DU162" s="5">
        <f t="shared" si="475"/>
        <v>7784.8559999999998</v>
      </c>
      <c r="DV162" s="5">
        <f t="shared" si="475"/>
        <v>8913.0959999999995</v>
      </c>
      <c r="DW162" s="5">
        <f t="shared" si="475"/>
        <v>9815.6880000000001</v>
      </c>
      <c r="DX162" s="5">
        <f t="shared" si="475"/>
        <v>10943.928</v>
      </c>
      <c r="DY162" s="5">
        <f t="shared" si="475"/>
        <v>11846.52</v>
      </c>
      <c r="DZ162" s="5">
        <f t="shared" si="475"/>
        <v>12974.76</v>
      </c>
      <c r="EA162" s="5"/>
    </row>
    <row r="163" spans="6:216" x14ac:dyDescent="0.25">
      <c r="G163" t="s">
        <v>231</v>
      </c>
      <c r="H163" s="5">
        <f t="shared" ref="H163:Q166" si="476">H156*H149</f>
        <v>145.536</v>
      </c>
      <c r="I163" s="5">
        <f t="shared" si="476"/>
        <v>145.536</v>
      </c>
      <c r="J163" s="5">
        <f t="shared" si="476"/>
        <v>145.536</v>
      </c>
      <c r="K163" s="5">
        <f t="shared" si="476"/>
        <v>145.536</v>
      </c>
      <c r="L163" s="5">
        <f t="shared" si="476"/>
        <v>145.536</v>
      </c>
      <c r="M163" s="5">
        <f t="shared" si="476"/>
        <v>145.536</v>
      </c>
      <c r="N163" s="5">
        <f t="shared" si="476"/>
        <v>145.536</v>
      </c>
      <c r="O163" s="5">
        <f t="shared" si="476"/>
        <v>145.536</v>
      </c>
      <c r="P163" s="5">
        <f t="shared" si="476"/>
        <v>145.536</v>
      </c>
      <c r="Q163" s="5">
        <f t="shared" si="476"/>
        <v>145.536</v>
      </c>
      <c r="U163" t="s">
        <v>231</v>
      </c>
      <c r="V163" s="5">
        <f t="shared" ref="V163:AE163" si="477">V156*V149</f>
        <v>145.536</v>
      </c>
      <c r="W163" s="5">
        <f t="shared" si="477"/>
        <v>145.536</v>
      </c>
      <c r="X163" s="5">
        <f t="shared" si="477"/>
        <v>145.536</v>
      </c>
      <c r="Y163" s="5">
        <f t="shared" si="477"/>
        <v>145.536</v>
      </c>
      <c r="Z163" s="5">
        <f t="shared" si="477"/>
        <v>145.536</v>
      </c>
      <c r="AA163" s="5">
        <f t="shared" si="477"/>
        <v>145.536</v>
      </c>
      <c r="AB163" s="5">
        <f t="shared" si="477"/>
        <v>145.536</v>
      </c>
      <c r="AC163" s="5">
        <f t="shared" si="477"/>
        <v>145.536</v>
      </c>
      <c r="AD163" s="5">
        <f t="shared" si="477"/>
        <v>145.536</v>
      </c>
      <c r="AE163" s="5">
        <f t="shared" si="477"/>
        <v>145.536</v>
      </c>
      <c r="AJ163" t="s">
        <v>231</v>
      </c>
      <c r="AK163" s="5">
        <f>AK156*AK149</f>
        <v>145.536</v>
      </c>
      <c r="AL163" s="5">
        <f t="shared" ref="AL163:AT163" si="478">AL156*AL149</f>
        <v>145.536</v>
      </c>
      <c r="AM163" s="5">
        <f t="shared" si="478"/>
        <v>145.536</v>
      </c>
      <c r="AN163" s="5">
        <f t="shared" si="478"/>
        <v>145.536</v>
      </c>
      <c r="AO163" s="5">
        <f t="shared" si="478"/>
        <v>145.536</v>
      </c>
      <c r="AP163" s="5">
        <f t="shared" si="478"/>
        <v>145.536</v>
      </c>
      <c r="AQ163" s="5">
        <f t="shared" si="478"/>
        <v>145.536</v>
      </c>
      <c r="AR163" s="5">
        <f t="shared" si="478"/>
        <v>145.536</v>
      </c>
      <c r="AS163" s="5">
        <f t="shared" si="478"/>
        <v>145.536</v>
      </c>
      <c r="AT163" s="5">
        <f t="shared" si="478"/>
        <v>145.536</v>
      </c>
      <c r="AV163" t="s">
        <v>231</v>
      </c>
      <c r="AW163" s="5">
        <f>AW156*AW149</f>
        <v>145.536</v>
      </c>
      <c r="AX163" s="5">
        <f t="shared" ref="AX163:BF163" si="479">AX156*AX149</f>
        <v>145.536</v>
      </c>
      <c r="AY163" s="5">
        <f t="shared" si="479"/>
        <v>145.536</v>
      </c>
      <c r="AZ163" s="5">
        <f t="shared" si="479"/>
        <v>145.536</v>
      </c>
      <c r="BA163" s="5">
        <f t="shared" si="479"/>
        <v>145.536</v>
      </c>
      <c r="BB163" s="5">
        <f t="shared" si="479"/>
        <v>145.536</v>
      </c>
      <c r="BC163" s="5">
        <f t="shared" si="479"/>
        <v>145.536</v>
      </c>
      <c r="BD163" s="5">
        <f t="shared" si="479"/>
        <v>145.536</v>
      </c>
      <c r="BE163" s="5">
        <f t="shared" si="479"/>
        <v>145.536</v>
      </c>
      <c r="BF163" s="5">
        <f t="shared" si="479"/>
        <v>145.536</v>
      </c>
      <c r="BL163" t="s">
        <v>231</v>
      </c>
      <c r="BM163" s="5">
        <f>BM156*BM149</f>
        <v>145.536</v>
      </c>
      <c r="BN163" s="5">
        <f t="shared" ref="BN163:BV163" si="480">BN156*BN149</f>
        <v>145.536</v>
      </c>
      <c r="BO163" s="5">
        <f t="shared" si="480"/>
        <v>145.536</v>
      </c>
      <c r="BP163" s="5">
        <f t="shared" si="480"/>
        <v>145.536</v>
      </c>
      <c r="BQ163" s="5">
        <f t="shared" si="480"/>
        <v>145.536</v>
      </c>
      <c r="BR163" s="5">
        <f t="shared" si="480"/>
        <v>145.536</v>
      </c>
      <c r="BS163" s="5">
        <f t="shared" si="480"/>
        <v>145.536</v>
      </c>
      <c r="BT163" s="5">
        <f t="shared" si="480"/>
        <v>145.536</v>
      </c>
      <c r="BU163" s="5">
        <f t="shared" si="480"/>
        <v>145.536</v>
      </c>
      <c r="BV163" s="5">
        <f t="shared" si="480"/>
        <v>145.536</v>
      </c>
      <c r="CB163" t="s">
        <v>231</v>
      </c>
      <c r="CC163" s="5">
        <f>CC156*CC149</f>
        <v>145.536</v>
      </c>
      <c r="CD163" s="5">
        <f t="shared" ref="CD163:CL163" si="481">CD156*CD149</f>
        <v>145.536</v>
      </c>
      <c r="CE163" s="5">
        <f t="shared" si="481"/>
        <v>145.536</v>
      </c>
      <c r="CF163" s="5">
        <f t="shared" si="481"/>
        <v>145.536</v>
      </c>
      <c r="CG163" s="5">
        <f t="shared" si="481"/>
        <v>145.536</v>
      </c>
      <c r="CH163" s="5">
        <f t="shared" si="481"/>
        <v>145.536</v>
      </c>
      <c r="CI163" s="5">
        <f t="shared" si="481"/>
        <v>145.536</v>
      </c>
      <c r="CJ163" s="5">
        <f t="shared" si="481"/>
        <v>145.536</v>
      </c>
      <c r="CK163" s="5">
        <f t="shared" si="481"/>
        <v>145.536</v>
      </c>
      <c r="CL163" s="5">
        <f t="shared" si="481"/>
        <v>145.536</v>
      </c>
      <c r="CP163" t="s">
        <v>231</v>
      </c>
      <c r="CQ163" s="5">
        <f>CQ156*CQ149</f>
        <v>145.536</v>
      </c>
      <c r="CR163" s="5">
        <f t="shared" ref="CR163:CZ163" si="482">CR156*CR149</f>
        <v>145.536</v>
      </c>
      <c r="CS163" s="5">
        <f t="shared" si="482"/>
        <v>145.536</v>
      </c>
      <c r="CT163" s="5">
        <f t="shared" si="482"/>
        <v>145.536</v>
      </c>
      <c r="CU163" s="5">
        <f t="shared" si="482"/>
        <v>145.536</v>
      </c>
      <c r="CV163" s="5">
        <f t="shared" si="482"/>
        <v>145.536</v>
      </c>
      <c r="CW163" s="5">
        <f t="shared" si="482"/>
        <v>145.536</v>
      </c>
      <c r="CX163" s="5">
        <f t="shared" si="482"/>
        <v>145.536</v>
      </c>
      <c r="CY163" s="5">
        <f t="shared" si="482"/>
        <v>145.536</v>
      </c>
      <c r="CZ163" s="5">
        <f t="shared" si="482"/>
        <v>145.536</v>
      </c>
      <c r="DC163" t="s">
        <v>231</v>
      </c>
      <c r="DD163" s="5">
        <f>DD156*DD149</f>
        <v>145.536</v>
      </c>
      <c r="DE163" s="5">
        <f t="shared" ref="DE163:DM163" si="483">DE156*DE149</f>
        <v>145.536</v>
      </c>
      <c r="DF163" s="5">
        <f t="shared" si="483"/>
        <v>145.536</v>
      </c>
      <c r="DG163" s="5">
        <f t="shared" si="483"/>
        <v>145.536</v>
      </c>
      <c r="DH163" s="5">
        <f t="shared" si="483"/>
        <v>145.536</v>
      </c>
      <c r="DI163" s="5">
        <f t="shared" si="483"/>
        <v>145.536</v>
      </c>
      <c r="DJ163" s="5">
        <f t="shared" si="483"/>
        <v>145.536</v>
      </c>
      <c r="DK163" s="5">
        <f t="shared" si="483"/>
        <v>145.536</v>
      </c>
      <c r="DL163" s="5">
        <f t="shared" si="483"/>
        <v>145.536</v>
      </c>
      <c r="DM163" s="5">
        <f t="shared" si="483"/>
        <v>145.536</v>
      </c>
      <c r="DP163" t="s">
        <v>231</v>
      </c>
      <c r="DQ163" s="5">
        <f>DQ156*DQ149</f>
        <v>145.536</v>
      </c>
      <c r="DR163" s="5">
        <f t="shared" ref="DR163:DZ163" si="484">DR156*DR149</f>
        <v>145.536</v>
      </c>
      <c r="DS163" s="5">
        <f t="shared" si="484"/>
        <v>145.536</v>
      </c>
      <c r="DT163" s="5">
        <f t="shared" si="484"/>
        <v>145.536</v>
      </c>
      <c r="DU163" s="5">
        <f t="shared" si="484"/>
        <v>145.536</v>
      </c>
      <c r="DV163" s="5">
        <f t="shared" si="484"/>
        <v>145.536</v>
      </c>
      <c r="DW163" s="5">
        <f t="shared" si="484"/>
        <v>145.536</v>
      </c>
      <c r="DX163" s="5">
        <f t="shared" si="484"/>
        <v>145.536</v>
      </c>
      <c r="DY163" s="5">
        <f t="shared" si="484"/>
        <v>145.536</v>
      </c>
      <c r="DZ163" s="5">
        <f t="shared" si="484"/>
        <v>145.536</v>
      </c>
      <c r="EA163" s="5"/>
    </row>
    <row r="164" spans="6:216" x14ac:dyDescent="0.25">
      <c r="G164" t="s">
        <v>262</v>
      </c>
      <c r="H164" s="5">
        <f t="shared" si="476"/>
        <v>539.4</v>
      </c>
      <c r="I164" s="5">
        <f t="shared" si="476"/>
        <v>539.4</v>
      </c>
      <c r="J164" s="5">
        <f t="shared" si="476"/>
        <v>539.4</v>
      </c>
      <c r="K164" s="5">
        <f t="shared" si="476"/>
        <v>539.4</v>
      </c>
      <c r="L164" s="5">
        <f t="shared" si="476"/>
        <v>539.4</v>
      </c>
      <c r="M164" s="5">
        <f t="shared" si="476"/>
        <v>539.4</v>
      </c>
      <c r="N164" s="5">
        <f t="shared" si="476"/>
        <v>539.4</v>
      </c>
      <c r="O164" s="5">
        <f t="shared" si="476"/>
        <v>539.4</v>
      </c>
      <c r="P164" s="5">
        <f t="shared" si="476"/>
        <v>539.4</v>
      </c>
      <c r="Q164" s="5">
        <f t="shared" si="476"/>
        <v>539.4</v>
      </c>
      <c r="U164" t="s">
        <v>262</v>
      </c>
      <c r="V164" s="5">
        <f t="shared" ref="V164:AE164" si="485">V157*V150</f>
        <v>539.4</v>
      </c>
      <c r="W164" s="5">
        <f t="shared" si="485"/>
        <v>539.4</v>
      </c>
      <c r="X164" s="5">
        <f t="shared" si="485"/>
        <v>539.4</v>
      </c>
      <c r="Y164" s="5">
        <f t="shared" si="485"/>
        <v>539.4</v>
      </c>
      <c r="Z164" s="5">
        <f t="shared" si="485"/>
        <v>539.4</v>
      </c>
      <c r="AA164" s="5">
        <f t="shared" si="485"/>
        <v>539.4</v>
      </c>
      <c r="AB164" s="5">
        <f t="shared" si="485"/>
        <v>539.4</v>
      </c>
      <c r="AC164" s="5">
        <f t="shared" si="485"/>
        <v>539.4</v>
      </c>
      <c r="AD164" s="5">
        <f t="shared" si="485"/>
        <v>539.4</v>
      </c>
      <c r="AE164" s="5">
        <f t="shared" si="485"/>
        <v>539.4</v>
      </c>
      <c r="AJ164" t="s">
        <v>262</v>
      </c>
      <c r="AK164" s="5">
        <f>AK157*AK150</f>
        <v>539.4</v>
      </c>
      <c r="AL164" s="5">
        <f t="shared" ref="AL164:AT164" si="486">AL157*AL150</f>
        <v>539.4</v>
      </c>
      <c r="AM164" s="5">
        <f t="shared" si="486"/>
        <v>539.4</v>
      </c>
      <c r="AN164" s="5">
        <f t="shared" si="486"/>
        <v>539.4</v>
      </c>
      <c r="AO164" s="5">
        <f t="shared" si="486"/>
        <v>539.4</v>
      </c>
      <c r="AP164" s="5">
        <f t="shared" si="486"/>
        <v>539.4</v>
      </c>
      <c r="AQ164" s="5">
        <f t="shared" si="486"/>
        <v>539.4</v>
      </c>
      <c r="AR164" s="5">
        <f t="shared" si="486"/>
        <v>539.4</v>
      </c>
      <c r="AS164" s="5">
        <f t="shared" si="486"/>
        <v>539.4</v>
      </c>
      <c r="AT164" s="5">
        <f t="shared" si="486"/>
        <v>539.4</v>
      </c>
      <c r="AV164" t="s">
        <v>262</v>
      </c>
      <c r="AW164" s="5">
        <f>AW157*AW150</f>
        <v>539.4</v>
      </c>
      <c r="AX164" s="5">
        <f t="shared" ref="AX164:BF164" si="487">AX157*AX150</f>
        <v>539.4</v>
      </c>
      <c r="AY164" s="5">
        <f t="shared" si="487"/>
        <v>539.4</v>
      </c>
      <c r="AZ164" s="5">
        <f t="shared" si="487"/>
        <v>539.4</v>
      </c>
      <c r="BA164" s="5">
        <f t="shared" si="487"/>
        <v>539.4</v>
      </c>
      <c r="BB164" s="5">
        <f t="shared" si="487"/>
        <v>539.4</v>
      </c>
      <c r="BC164" s="5">
        <f t="shared" si="487"/>
        <v>539.4</v>
      </c>
      <c r="BD164" s="5">
        <f t="shared" si="487"/>
        <v>539.4</v>
      </c>
      <c r="BE164" s="5">
        <f t="shared" si="487"/>
        <v>539.4</v>
      </c>
      <c r="BF164" s="5">
        <f t="shared" si="487"/>
        <v>539.4</v>
      </c>
      <c r="BL164" t="s">
        <v>262</v>
      </c>
      <c r="BM164" s="5">
        <f>BM157*BM150</f>
        <v>539.4</v>
      </c>
      <c r="BN164" s="5">
        <f t="shared" ref="BN164:BV164" si="488">BN157*BN150</f>
        <v>539.4</v>
      </c>
      <c r="BO164" s="5">
        <f t="shared" si="488"/>
        <v>539.4</v>
      </c>
      <c r="BP164" s="5">
        <f t="shared" si="488"/>
        <v>539.4</v>
      </c>
      <c r="BQ164" s="5">
        <f t="shared" si="488"/>
        <v>539.4</v>
      </c>
      <c r="BR164" s="5">
        <f t="shared" si="488"/>
        <v>539.4</v>
      </c>
      <c r="BS164" s="5">
        <f t="shared" si="488"/>
        <v>539.4</v>
      </c>
      <c r="BT164" s="5">
        <f t="shared" si="488"/>
        <v>539.4</v>
      </c>
      <c r="BU164" s="5">
        <f t="shared" si="488"/>
        <v>539.4</v>
      </c>
      <c r="BV164" s="5">
        <f t="shared" si="488"/>
        <v>539.4</v>
      </c>
      <c r="CB164" t="s">
        <v>262</v>
      </c>
      <c r="CC164" s="5">
        <f>CC157*CC150</f>
        <v>539.4</v>
      </c>
      <c r="CD164" s="5">
        <f t="shared" ref="CD164:CL164" si="489">CD157*CD150</f>
        <v>539.4</v>
      </c>
      <c r="CE164" s="5">
        <f t="shared" si="489"/>
        <v>539.4</v>
      </c>
      <c r="CF164" s="5">
        <f t="shared" si="489"/>
        <v>539.4</v>
      </c>
      <c r="CG164" s="5">
        <f t="shared" si="489"/>
        <v>539.4</v>
      </c>
      <c r="CH164" s="5">
        <f t="shared" si="489"/>
        <v>539.4</v>
      </c>
      <c r="CI164" s="5">
        <f t="shared" si="489"/>
        <v>539.4</v>
      </c>
      <c r="CJ164" s="5">
        <f t="shared" si="489"/>
        <v>539.4</v>
      </c>
      <c r="CK164" s="5">
        <f t="shared" si="489"/>
        <v>539.4</v>
      </c>
      <c r="CL164" s="5">
        <f t="shared" si="489"/>
        <v>539.4</v>
      </c>
      <c r="CP164" t="s">
        <v>262</v>
      </c>
      <c r="CQ164" s="5">
        <f>CQ157*CQ150</f>
        <v>539.4</v>
      </c>
      <c r="CR164" s="5">
        <f t="shared" ref="CR164:CZ164" si="490">CR157*CR150</f>
        <v>539.4</v>
      </c>
      <c r="CS164" s="5">
        <f t="shared" si="490"/>
        <v>539.4</v>
      </c>
      <c r="CT164" s="5">
        <f t="shared" si="490"/>
        <v>539.4</v>
      </c>
      <c r="CU164" s="5">
        <f t="shared" si="490"/>
        <v>539.4</v>
      </c>
      <c r="CV164" s="5">
        <f t="shared" si="490"/>
        <v>539.4</v>
      </c>
      <c r="CW164" s="5">
        <f t="shared" si="490"/>
        <v>539.4</v>
      </c>
      <c r="CX164" s="5">
        <f t="shared" si="490"/>
        <v>539.4</v>
      </c>
      <c r="CY164" s="5">
        <f t="shared" si="490"/>
        <v>539.4</v>
      </c>
      <c r="CZ164" s="5">
        <f t="shared" si="490"/>
        <v>539.4</v>
      </c>
      <c r="DC164" t="s">
        <v>262</v>
      </c>
      <c r="DD164" s="5">
        <f>DD157*DD150</f>
        <v>539.4</v>
      </c>
      <c r="DE164" s="5">
        <f t="shared" ref="DE164:DM164" si="491">DE157*DE150</f>
        <v>539.4</v>
      </c>
      <c r="DF164" s="5">
        <f t="shared" si="491"/>
        <v>539.4</v>
      </c>
      <c r="DG164" s="5">
        <f t="shared" si="491"/>
        <v>539.4</v>
      </c>
      <c r="DH164" s="5">
        <f t="shared" si="491"/>
        <v>539.4</v>
      </c>
      <c r="DI164" s="5">
        <f t="shared" si="491"/>
        <v>539.4</v>
      </c>
      <c r="DJ164" s="5">
        <f t="shared" si="491"/>
        <v>539.4</v>
      </c>
      <c r="DK164" s="5">
        <f t="shared" si="491"/>
        <v>539.4</v>
      </c>
      <c r="DL164" s="5">
        <f t="shared" si="491"/>
        <v>539.4</v>
      </c>
      <c r="DM164" s="5">
        <f t="shared" si="491"/>
        <v>539.4</v>
      </c>
      <c r="DP164" t="s">
        <v>262</v>
      </c>
      <c r="DQ164" s="5">
        <f>DQ157*DQ150</f>
        <v>539.4</v>
      </c>
      <c r="DR164" s="5">
        <f t="shared" ref="DR164:DZ164" si="492">DR157*DR150</f>
        <v>539.4</v>
      </c>
      <c r="DS164" s="5">
        <f t="shared" si="492"/>
        <v>539.4</v>
      </c>
      <c r="DT164" s="5">
        <f t="shared" si="492"/>
        <v>539.4</v>
      </c>
      <c r="DU164" s="5">
        <f t="shared" si="492"/>
        <v>539.4</v>
      </c>
      <c r="DV164" s="5">
        <f t="shared" si="492"/>
        <v>539.4</v>
      </c>
      <c r="DW164" s="5">
        <f t="shared" si="492"/>
        <v>539.4</v>
      </c>
      <c r="DX164" s="5">
        <f t="shared" si="492"/>
        <v>539.4</v>
      </c>
      <c r="DY164" s="5">
        <f t="shared" si="492"/>
        <v>539.4</v>
      </c>
      <c r="DZ164" s="5">
        <f t="shared" si="492"/>
        <v>539.4</v>
      </c>
      <c r="EA164" s="5"/>
    </row>
    <row r="165" spans="6:216" x14ac:dyDescent="0.25">
      <c r="G165" t="s">
        <v>14</v>
      </c>
      <c r="H165" s="5">
        <f t="shared" si="476"/>
        <v>41.407724048976462</v>
      </c>
      <c r="I165" s="5">
        <f t="shared" si="476"/>
        <v>41.407724048976462</v>
      </c>
      <c r="J165" s="5">
        <f t="shared" si="476"/>
        <v>45.766431843605552</v>
      </c>
      <c r="K165" s="5">
        <f t="shared" si="476"/>
        <v>50.125139638234664</v>
      </c>
      <c r="L165" s="5">
        <f t="shared" si="476"/>
        <v>54.483847432863755</v>
      </c>
      <c r="M165" s="5">
        <f t="shared" si="476"/>
        <v>58.842555227492859</v>
      </c>
      <c r="N165" s="5">
        <f t="shared" si="476"/>
        <v>63.201263022121957</v>
      </c>
      <c r="O165" s="5">
        <f t="shared" si="476"/>
        <v>67.559970816751061</v>
      </c>
      <c r="P165" s="5">
        <f t="shared" si="476"/>
        <v>71.918678611380159</v>
      </c>
      <c r="Q165" s="5">
        <f t="shared" si="476"/>
        <v>76.277386406009271</v>
      </c>
      <c r="U165" t="s">
        <v>14</v>
      </c>
      <c r="V165" s="5">
        <f>V158*V151</f>
        <v>41.407724048976462</v>
      </c>
      <c r="W165" s="5">
        <f t="shared" ref="W165:AE165" si="493">W158*W151</f>
        <v>45.766431843605552</v>
      </c>
      <c r="X165" s="5">
        <f t="shared" si="493"/>
        <v>45.766431843605552</v>
      </c>
      <c r="Y165" s="5">
        <f t="shared" si="493"/>
        <v>50.125139638234664</v>
      </c>
      <c r="Z165" s="5">
        <f t="shared" si="493"/>
        <v>54.483847432863755</v>
      </c>
      <c r="AA165" s="5">
        <f t="shared" si="493"/>
        <v>58.842555227492859</v>
      </c>
      <c r="AB165" s="5">
        <f t="shared" si="493"/>
        <v>63.201263022121957</v>
      </c>
      <c r="AC165" s="5">
        <f t="shared" si="493"/>
        <v>67.559970816751061</v>
      </c>
      <c r="AD165" s="5">
        <f t="shared" si="493"/>
        <v>71.918678611380159</v>
      </c>
      <c r="AE165" s="5">
        <f t="shared" si="493"/>
        <v>76.277386406009271</v>
      </c>
      <c r="AJ165" t="s">
        <v>14</v>
      </c>
      <c r="AK165" s="5">
        <f>AK158*AK151</f>
        <v>45.766431843605552</v>
      </c>
      <c r="AL165" s="5">
        <f t="shared" ref="AL165:AT165" si="494">AL158*AL151</f>
        <v>50.125139638234664</v>
      </c>
      <c r="AM165" s="5">
        <f t="shared" si="494"/>
        <v>58.842555227492859</v>
      </c>
      <c r="AN165" s="5">
        <f t="shared" si="494"/>
        <v>67.559970816751061</v>
      </c>
      <c r="AO165" s="5">
        <f t="shared" si="494"/>
        <v>67.559970816751061</v>
      </c>
      <c r="AP165" s="5">
        <f t="shared" si="494"/>
        <v>71.918678611380159</v>
      </c>
      <c r="AQ165" s="5">
        <f t="shared" si="494"/>
        <v>71.918678611380159</v>
      </c>
      <c r="AR165" s="5">
        <f t="shared" si="494"/>
        <v>76.277386406009271</v>
      </c>
      <c r="AS165" s="5">
        <f t="shared" si="494"/>
        <v>76.277386406009271</v>
      </c>
      <c r="AT165" s="5">
        <f t="shared" si="494"/>
        <v>80.636094200638354</v>
      </c>
      <c r="AV165" t="s">
        <v>14</v>
      </c>
      <c r="AW165" s="5">
        <f>AW158*AW151</f>
        <v>50.125139638234664</v>
      </c>
      <c r="AX165" s="5">
        <f t="shared" ref="AX165:BF165" si="495">AX158*AX151</f>
        <v>54.483847432863755</v>
      </c>
      <c r="AY165" s="5">
        <f t="shared" si="495"/>
        <v>63.201263022121957</v>
      </c>
      <c r="AZ165" s="5">
        <f t="shared" si="495"/>
        <v>67.559970816751061</v>
      </c>
      <c r="BA165" s="5">
        <f t="shared" si="495"/>
        <v>67.559970816751061</v>
      </c>
      <c r="BB165" s="5">
        <f t="shared" si="495"/>
        <v>71.918678611380159</v>
      </c>
      <c r="BC165" s="5">
        <f t="shared" si="495"/>
        <v>76.277386406009271</v>
      </c>
      <c r="BD165" s="5">
        <f t="shared" si="495"/>
        <v>76.277386406009271</v>
      </c>
      <c r="BE165" s="5">
        <f t="shared" si="495"/>
        <v>80.636094200638354</v>
      </c>
      <c r="BF165" s="5">
        <f t="shared" si="495"/>
        <v>80.636094200638354</v>
      </c>
      <c r="BL165" t="s">
        <v>14</v>
      </c>
      <c r="BM165" s="5">
        <f>BM158*BM151</f>
        <v>63.201263022121957</v>
      </c>
      <c r="BN165" s="5">
        <f t="shared" ref="BN165:BV165" si="496">BN158*BN151</f>
        <v>71.918678611380159</v>
      </c>
      <c r="BO165" s="5">
        <f t="shared" si="496"/>
        <v>76.277386406009271</v>
      </c>
      <c r="BP165" s="5">
        <f t="shared" si="496"/>
        <v>80.636094200638354</v>
      </c>
      <c r="BQ165" s="5">
        <f t="shared" si="496"/>
        <v>84.994801995267466</v>
      </c>
      <c r="BR165" s="5">
        <f t="shared" si="496"/>
        <v>89.353509789896563</v>
      </c>
      <c r="BS165" s="5">
        <f t="shared" si="496"/>
        <v>93.712217584525675</v>
      </c>
      <c r="BT165" s="5">
        <f t="shared" si="496"/>
        <v>98.070925379154772</v>
      </c>
      <c r="BU165" s="5">
        <f t="shared" si="496"/>
        <v>102.42963317378387</v>
      </c>
      <c r="BV165" s="5">
        <f t="shared" si="496"/>
        <v>106.78834096841297</v>
      </c>
      <c r="CB165" t="s">
        <v>14</v>
      </c>
      <c r="CC165" s="5">
        <f>CC158*CC151</f>
        <v>71.918678611380159</v>
      </c>
      <c r="CD165" s="5">
        <f t="shared" ref="CD165:CL165" si="497">CD158*CD151</f>
        <v>71.918678611380159</v>
      </c>
      <c r="CE165" s="5">
        <f t="shared" si="497"/>
        <v>80.636094200638354</v>
      </c>
      <c r="CF165" s="5">
        <f t="shared" si="497"/>
        <v>84.994801995267466</v>
      </c>
      <c r="CG165" s="5">
        <f t="shared" si="497"/>
        <v>93.712217584525675</v>
      </c>
      <c r="CH165" s="5">
        <f t="shared" si="497"/>
        <v>98.070925379154772</v>
      </c>
      <c r="CI165" s="5">
        <f t="shared" si="497"/>
        <v>102.42963317378387</v>
      </c>
      <c r="CJ165" s="5">
        <f t="shared" si="497"/>
        <v>106.78834096841297</v>
      </c>
      <c r="CK165" s="5">
        <f t="shared" si="497"/>
        <v>115.50575655767118</v>
      </c>
      <c r="CL165" s="5">
        <f t="shared" si="497"/>
        <v>119.86446435230027</v>
      </c>
      <c r="CP165" t="s">
        <v>14</v>
      </c>
      <c r="CQ165" s="5">
        <f>CQ158*CQ151</f>
        <v>84.994801995267466</v>
      </c>
      <c r="CR165" s="5">
        <f t="shared" ref="CR165:CZ165" si="498">CR158*CR151</f>
        <v>84.994801995267466</v>
      </c>
      <c r="CS165" s="5">
        <f t="shared" si="498"/>
        <v>93.712217584525675</v>
      </c>
      <c r="CT165" s="5">
        <f t="shared" si="498"/>
        <v>106.78834096841297</v>
      </c>
      <c r="CU165" s="5">
        <f t="shared" si="498"/>
        <v>115.50575655767118</v>
      </c>
      <c r="CV165" s="5">
        <f t="shared" si="498"/>
        <v>124.22317214692937</v>
      </c>
      <c r="CW165" s="5">
        <f t="shared" si="498"/>
        <v>137.29929553081666</v>
      </c>
      <c r="CX165" s="5">
        <f t="shared" si="498"/>
        <v>146.01671112007486</v>
      </c>
      <c r="CY165" s="5">
        <f t="shared" si="498"/>
        <v>154.73412670933308</v>
      </c>
      <c r="CZ165" s="5">
        <f t="shared" si="498"/>
        <v>163.45154229859128</v>
      </c>
      <c r="DC165" t="s">
        <v>14</v>
      </c>
      <c r="DD165" s="5">
        <f>DD158*DD151</f>
        <v>89.353509789896563</v>
      </c>
      <c r="DE165" s="5">
        <f t="shared" ref="DE165:DM165" si="499">DE158*DE151</f>
        <v>98.070925379154772</v>
      </c>
      <c r="DF165" s="5">
        <f t="shared" si="499"/>
        <v>111.14704876304206</v>
      </c>
      <c r="DG165" s="5">
        <f t="shared" si="499"/>
        <v>124.22317214692937</v>
      </c>
      <c r="DH165" s="5">
        <f t="shared" si="499"/>
        <v>141.65800332544578</v>
      </c>
      <c r="DI165" s="5">
        <f t="shared" si="499"/>
        <v>154.73412670933308</v>
      </c>
      <c r="DJ165" s="5">
        <f t="shared" si="499"/>
        <v>172.16895788784947</v>
      </c>
      <c r="DK165" s="5">
        <f t="shared" si="499"/>
        <v>185.24508127173678</v>
      </c>
      <c r="DL165" s="5">
        <f t="shared" si="499"/>
        <v>198.32120465562409</v>
      </c>
      <c r="DM165" s="5">
        <f t="shared" si="499"/>
        <v>215.75603583414048</v>
      </c>
      <c r="DP165" t="s">
        <v>14</v>
      </c>
      <c r="DQ165" s="5">
        <f>DQ158*DQ151</f>
        <v>98.070925379154772</v>
      </c>
      <c r="DR165" s="5">
        <f t="shared" ref="DR165:DZ165" si="500">DR158*DR151</f>
        <v>106.78834096841297</v>
      </c>
      <c r="DS165" s="5">
        <f t="shared" si="500"/>
        <v>124.22317214692937</v>
      </c>
      <c r="DT165" s="5">
        <f t="shared" si="500"/>
        <v>146.01671112007486</v>
      </c>
      <c r="DU165" s="5">
        <f t="shared" si="500"/>
        <v>163.45154229859128</v>
      </c>
      <c r="DV165" s="5">
        <f t="shared" si="500"/>
        <v>185.24508127173678</v>
      </c>
      <c r="DW165" s="5">
        <f t="shared" si="500"/>
        <v>202.6799124502532</v>
      </c>
      <c r="DX165" s="5">
        <f t="shared" si="500"/>
        <v>224.47345142339867</v>
      </c>
      <c r="DY165" s="5">
        <f t="shared" si="500"/>
        <v>241.90828260191509</v>
      </c>
      <c r="DZ165" s="5">
        <f t="shared" si="500"/>
        <v>263.70182157506059</v>
      </c>
      <c r="EA165" s="5"/>
    </row>
    <row r="166" spans="6:216" x14ac:dyDescent="0.25">
      <c r="G166" t="s">
        <v>100</v>
      </c>
      <c r="H166" s="5">
        <f t="shared" si="476"/>
        <v>344.57454241071429</v>
      </c>
      <c r="I166" s="5">
        <f t="shared" si="476"/>
        <v>344.57454241071429</v>
      </c>
      <c r="J166" s="5">
        <f t="shared" si="476"/>
        <v>380.84554687499997</v>
      </c>
      <c r="K166" s="5">
        <f t="shared" si="476"/>
        <v>417.11655133928571</v>
      </c>
      <c r="L166" s="5">
        <f t="shared" si="476"/>
        <v>453.38755580357139</v>
      </c>
      <c r="M166" s="5">
        <f t="shared" si="476"/>
        <v>489.65856026785713</v>
      </c>
      <c r="N166" s="5">
        <f t="shared" si="476"/>
        <v>525.92956473214281</v>
      </c>
      <c r="O166" s="5">
        <f t="shared" si="476"/>
        <v>562.20056919642855</v>
      </c>
      <c r="P166" s="5">
        <f t="shared" si="476"/>
        <v>598.47157366071428</v>
      </c>
      <c r="Q166" s="5">
        <f t="shared" si="476"/>
        <v>634.74257812500002</v>
      </c>
      <c r="U166" t="s">
        <v>100</v>
      </c>
      <c r="V166" s="5">
        <f t="shared" ref="V166:AE166" si="501">V159*V152</f>
        <v>344.57454241071429</v>
      </c>
      <c r="W166" s="5">
        <f t="shared" si="501"/>
        <v>380.84554687499997</v>
      </c>
      <c r="X166" s="5">
        <f t="shared" si="501"/>
        <v>380.84554687499997</v>
      </c>
      <c r="Y166" s="5">
        <f t="shared" si="501"/>
        <v>417.11655133928571</v>
      </c>
      <c r="Z166" s="5">
        <f t="shared" si="501"/>
        <v>453.38755580357139</v>
      </c>
      <c r="AA166" s="5">
        <f t="shared" si="501"/>
        <v>489.65856026785713</v>
      </c>
      <c r="AB166" s="5">
        <f t="shared" si="501"/>
        <v>525.92956473214281</v>
      </c>
      <c r="AC166" s="5">
        <f t="shared" si="501"/>
        <v>562.20056919642855</v>
      </c>
      <c r="AD166" s="5">
        <f t="shared" si="501"/>
        <v>598.47157366071428</v>
      </c>
      <c r="AE166" s="5">
        <f t="shared" si="501"/>
        <v>634.74257812500002</v>
      </c>
      <c r="AJ166" t="s">
        <v>100</v>
      </c>
      <c r="AK166" s="5">
        <f>AK159*AK152</f>
        <v>380.84554687499997</v>
      </c>
      <c r="AL166" s="5">
        <f t="shared" ref="AL166:AT166" si="502">AL159*AL152</f>
        <v>417.11655133928571</v>
      </c>
      <c r="AM166" s="5">
        <f t="shared" si="502"/>
        <v>489.65856026785713</v>
      </c>
      <c r="AN166" s="5">
        <f t="shared" si="502"/>
        <v>562.20056919642855</v>
      </c>
      <c r="AO166" s="5">
        <f t="shared" si="502"/>
        <v>562.20056919642855</v>
      </c>
      <c r="AP166" s="5">
        <f t="shared" si="502"/>
        <v>598.47157366071428</v>
      </c>
      <c r="AQ166" s="5">
        <f t="shared" si="502"/>
        <v>598.47157366071428</v>
      </c>
      <c r="AR166" s="5">
        <f t="shared" si="502"/>
        <v>634.74257812500002</v>
      </c>
      <c r="AS166" s="5">
        <f t="shared" si="502"/>
        <v>634.74257812500002</v>
      </c>
      <c r="AT166" s="5">
        <f t="shared" si="502"/>
        <v>671.01358258928565</v>
      </c>
      <c r="AV166" t="s">
        <v>100</v>
      </c>
      <c r="AW166" s="5">
        <f>AW159*AW152</f>
        <v>417.11655133928571</v>
      </c>
      <c r="AX166" s="5">
        <f t="shared" ref="AX166:BF166" si="503">AX159*AX152</f>
        <v>453.38755580357139</v>
      </c>
      <c r="AY166" s="5">
        <f t="shared" si="503"/>
        <v>525.92956473214281</v>
      </c>
      <c r="AZ166" s="5">
        <f t="shared" si="503"/>
        <v>562.20056919642855</v>
      </c>
      <c r="BA166" s="5">
        <f t="shared" si="503"/>
        <v>562.20056919642855</v>
      </c>
      <c r="BB166" s="5">
        <f t="shared" si="503"/>
        <v>598.47157366071428</v>
      </c>
      <c r="BC166" s="5">
        <f t="shared" si="503"/>
        <v>634.74257812500002</v>
      </c>
      <c r="BD166" s="5">
        <f t="shared" si="503"/>
        <v>634.74257812500002</v>
      </c>
      <c r="BE166" s="5">
        <f t="shared" si="503"/>
        <v>671.01358258928565</v>
      </c>
      <c r="BF166" s="5">
        <f t="shared" si="503"/>
        <v>671.01358258928565</v>
      </c>
      <c r="BL166" t="s">
        <v>100</v>
      </c>
      <c r="BM166" s="5">
        <f>BM159*BM152</f>
        <v>525.92956473214281</v>
      </c>
      <c r="BN166" s="5">
        <f t="shared" ref="BN166:BV166" si="504">BN159*BN152</f>
        <v>598.47157366071428</v>
      </c>
      <c r="BO166" s="5">
        <f t="shared" si="504"/>
        <v>634.74257812500002</v>
      </c>
      <c r="BP166" s="5">
        <f t="shared" si="504"/>
        <v>671.01358258928565</v>
      </c>
      <c r="BQ166" s="5">
        <f t="shared" si="504"/>
        <v>707.28458705357139</v>
      </c>
      <c r="BR166" s="5">
        <f t="shared" si="504"/>
        <v>743.55559151785712</v>
      </c>
      <c r="BS166" s="5">
        <f t="shared" si="504"/>
        <v>779.82659598214286</v>
      </c>
      <c r="BT166" s="5">
        <f t="shared" si="504"/>
        <v>816.0976004464286</v>
      </c>
      <c r="BU166" s="5">
        <f t="shared" si="504"/>
        <v>852.36860491071423</v>
      </c>
      <c r="BV166" s="5">
        <f t="shared" si="504"/>
        <v>888.63960937499996</v>
      </c>
      <c r="CB166" t="s">
        <v>100</v>
      </c>
      <c r="CC166" s="5">
        <f>CC159*CC152</f>
        <v>598.47157366071428</v>
      </c>
      <c r="CD166" s="5">
        <f t="shared" ref="CD166:CL166" si="505">CD159*CD152</f>
        <v>598.47157366071428</v>
      </c>
      <c r="CE166" s="5">
        <f t="shared" si="505"/>
        <v>671.01358258928565</v>
      </c>
      <c r="CF166" s="5">
        <f t="shared" si="505"/>
        <v>707.28458705357139</v>
      </c>
      <c r="CG166" s="5">
        <f t="shared" si="505"/>
        <v>779.82659598214286</v>
      </c>
      <c r="CH166" s="5">
        <f t="shared" si="505"/>
        <v>816.0976004464286</v>
      </c>
      <c r="CI166" s="5">
        <f t="shared" si="505"/>
        <v>852.36860491071423</v>
      </c>
      <c r="CJ166" s="5">
        <f t="shared" si="505"/>
        <v>888.63960937499996</v>
      </c>
      <c r="CK166" s="5">
        <f t="shared" si="505"/>
        <v>961.18161830357144</v>
      </c>
      <c r="CL166" s="5">
        <f t="shared" si="505"/>
        <v>997.45262276785718</v>
      </c>
      <c r="CP166" t="s">
        <v>100</v>
      </c>
      <c r="CQ166" s="5">
        <f>CQ159*CQ152</f>
        <v>707.28458705357139</v>
      </c>
      <c r="CR166" s="5">
        <f t="shared" ref="CR166:CZ166" si="506">CR159*CR152</f>
        <v>707.28458705357139</v>
      </c>
      <c r="CS166" s="5">
        <f t="shared" si="506"/>
        <v>779.82659598214286</v>
      </c>
      <c r="CT166" s="5">
        <f t="shared" si="506"/>
        <v>888.63960937499996</v>
      </c>
      <c r="CU166" s="5">
        <f t="shared" si="506"/>
        <v>961.18161830357144</v>
      </c>
      <c r="CV166" s="5">
        <f t="shared" si="506"/>
        <v>1033.7236272321427</v>
      </c>
      <c r="CW166" s="5">
        <f t="shared" si="506"/>
        <v>1142.536640625</v>
      </c>
      <c r="CX166" s="5">
        <f t="shared" si="506"/>
        <v>1215.0786495535713</v>
      </c>
      <c r="CY166" s="5">
        <f t="shared" si="506"/>
        <v>1287.6206584821427</v>
      </c>
      <c r="CZ166" s="5">
        <f t="shared" si="506"/>
        <v>1360.1626674107142</v>
      </c>
      <c r="DC166" t="s">
        <v>100</v>
      </c>
      <c r="DD166" s="5">
        <f>DD159*DD152</f>
        <v>743.55559151785712</v>
      </c>
      <c r="DE166" s="5">
        <f t="shared" ref="DE166:DM166" si="507">DE159*DE152</f>
        <v>816.0976004464286</v>
      </c>
      <c r="DF166" s="5">
        <f t="shared" si="507"/>
        <v>924.91061383928559</v>
      </c>
      <c r="DG166" s="5">
        <f t="shared" si="507"/>
        <v>1033.7236272321427</v>
      </c>
      <c r="DH166" s="5">
        <f t="shared" si="507"/>
        <v>1178.8076450892856</v>
      </c>
      <c r="DI166" s="5">
        <f t="shared" si="507"/>
        <v>1287.6206584821427</v>
      </c>
      <c r="DJ166" s="5">
        <f t="shared" si="507"/>
        <v>1432.7046763392857</v>
      </c>
      <c r="DK166" s="5">
        <f t="shared" si="507"/>
        <v>1541.5176897321428</v>
      </c>
      <c r="DL166" s="5">
        <f t="shared" si="507"/>
        <v>1650.3307031250001</v>
      </c>
      <c r="DM166" s="5">
        <f t="shared" si="507"/>
        <v>1795.4147209821426</v>
      </c>
      <c r="DP166" t="s">
        <v>100</v>
      </c>
      <c r="DQ166" s="5">
        <f>DQ159*DQ152</f>
        <v>816.0976004464286</v>
      </c>
      <c r="DR166" s="5">
        <f t="shared" ref="DR166:DZ166" si="508">DR159*DR152</f>
        <v>888.63960937499996</v>
      </c>
      <c r="DS166" s="5">
        <f t="shared" si="508"/>
        <v>1033.7236272321427</v>
      </c>
      <c r="DT166" s="5">
        <f t="shared" si="508"/>
        <v>1215.0786495535713</v>
      </c>
      <c r="DU166" s="5">
        <f t="shared" si="508"/>
        <v>1360.1626674107142</v>
      </c>
      <c r="DV166" s="5">
        <f t="shared" si="508"/>
        <v>1541.5176897321428</v>
      </c>
      <c r="DW166" s="5">
        <f t="shared" si="508"/>
        <v>1686.6017075892858</v>
      </c>
      <c r="DX166" s="5">
        <f t="shared" si="508"/>
        <v>1867.9567299107141</v>
      </c>
      <c r="DY166" s="5">
        <f t="shared" si="508"/>
        <v>2013.0407477678571</v>
      </c>
      <c r="DZ166" s="5">
        <f t="shared" si="508"/>
        <v>2194.3957700892856</v>
      </c>
      <c r="EA166" s="5"/>
    </row>
    <row r="168" spans="6:216" x14ac:dyDescent="0.25">
      <c r="G168" t="s">
        <v>58</v>
      </c>
      <c r="H168" s="5">
        <f>SUM(H162:H166)</f>
        <v>2537.630266459691</v>
      </c>
      <c r="I168" s="5">
        <f t="shared" ref="I168:Q168" si="509">SUM(I162:I166)</f>
        <v>2537.630266459691</v>
      </c>
      <c r="J168" s="5">
        <f t="shared" si="509"/>
        <v>2803.9079787186051</v>
      </c>
      <c r="K168" s="5">
        <f t="shared" si="509"/>
        <v>3070.1856909775202</v>
      </c>
      <c r="L168" s="5">
        <f t="shared" si="509"/>
        <v>3336.4634032364356</v>
      </c>
      <c r="M168" s="5">
        <f t="shared" si="509"/>
        <v>3602.7411154953502</v>
      </c>
      <c r="N168" s="5">
        <f t="shared" si="509"/>
        <v>3869.0188277542647</v>
      </c>
      <c r="O168" s="5">
        <f t="shared" si="509"/>
        <v>4135.2965400131798</v>
      </c>
      <c r="P168" s="5">
        <f t="shared" si="509"/>
        <v>4401.5742522720948</v>
      </c>
      <c r="Q168" s="5">
        <f t="shared" si="509"/>
        <v>4667.8519645310089</v>
      </c>
      <c r="U168" t="s">
        <v>58</v>
      </c>
      <c r="V168" s="5">
        <f>SUM(V162:V166)</f>
        <v>2537.630266459691</v>
      </c>
      <c r="W168" s="5">
        <f t="shared" ref="W168:AE168" si="510">SUM(W162:W166)</f>
        <v>2803.9079787186051</v>
      </c>
      <c r="X168" s="5">
        <f t="shared" si="510"/>
        <v>2803.9079787186051</v>
      </c>
      <c r="Y168" s="5">
        <f t="shared" si="510"/>
        <v>3070.1856909775202</v>
      </c>
      <c r="Z168" s="5">
        <f t="shared" si="510"/>
        <v>3336.4634032364356</v>
      </c>
      <c r="AA168" s="5">
        <f t="shared" si="510"/>
        <v>3602.7411154953502</v>
      </c>
      <c r="AB168" s="5">
        <f t="shared" si="510"/>
        <v>3869.0188277542647</v>
      </c>
      <c r="AC168" s="5">
        <f t="shared" si="510"/>
        <v>4135.2965400131798</v>
      </c>
      <c r="AD168" s="5">
        <f t="shared" si="510"/>
        <v>4401.5742522720948</v>
      </c>
      <c r="AE168" s="5">
        <f t="shared" si="510"/>
        <v>4667.8519645310089</v>
      </c>
      <c r="AJ168" t="s">
        <v>58</v>
      </c>
      <c r="AK168" s="5">
        <f>SUM(AK162:AK166)</f>
        <v>2803.9079787186051</v>
      </c>
      <c r="AL168" s="5">
        <f t="shared" ref="AL168:AT168" si="511">SUM(AL162:AL166)</f>
        <v>3070.1856909775202</v>
      </c>
      <c r="AM168" s="5">
        <f t="shared" si="511"/>
        <v>3602.7411154953502</v>
      </c>
      <c r="AN168" s="5">
        <f t="shared" si="511"/>
        <v>4135.2965400131798</v>
      </c>
      <c r="AO168" s="5">
        <f t="shared" si="511"/>
        <v>4135.2965400131798</v>
      </c>
      <c r="AP168" s="5">
        <f t="shared" si="511"/>
        <v>4401.5742522720948</v>
      </c>
      <c r="AQ168" s="5">
        <f t="shared" si="511"/>
        <v>4401.5742522720948</v>
      </c>
      <c r="AR168" s="5">
        <f t="shared" si="511"/>
        <v>4667.8519645310089</v>
      </c>
      <c r="AS168" s="5">
        <f t="shared" si="511"/>
        <v>4667.8519645310089</v>
      </c>
      <c r="AT168" s="5">
        <f t="shared" si="511"/>
        <v>4934.1296767899239</v>
      </c>
      <c r="AV168" t="s">
        <v>58</v>
      </c>
      <c r="AW168" s="5">
        <f>SUM(AW162:AW166)</f>
        <v>3070.1856909775202</v>
      </c>
      <c r="AX168" s="5">
        <f t="shared" ref="AX168:BF168" si="512">SUM(AX162:AX166)</f>
        <v>3336.4634032364356</v>
      </c>
      <c r="AY168" s="5">
        <f t="shared" si="512"/>
        <v>3869.0188277542647</v>
      </c>
      <c r="AZ168" s="5">
        <f t="shared" si="512"/>
        <v>4135.2965400131798</v>
      </c>
      <c r="BA168" s="5">
        <f t="shared" si="512"/>
        <v>4135.2965400131798</v>
      </c>
      <c r="BB168" s="5">
        <f t="shared" si="512"/>
        <v>4401.5742522720948</v>
      </c>
      <c r="BC168" s="5">
        <f t="shared" si="512"/>
        <v>4667.8519645310089</v>
      </c>
      <c r="BD168" s="5">
        <f t="shared" si="512"/>
        <v>4667.8519645310089</v>
      </c>
      <c r="BE168" s="5">
        <f t="shared" si="512"/>
        <v>4934.1296767899239</v>
      </c>
      <c r="BF168" s="5">
        <f t="shared" si="512"/>
        <v>4934.1296767899239</v>
      </c>
      <c r="BL168" t="s">
        <v>58</v>
      </c>
      <c r="BM168" s="5">
        <f>SUM(BM162:BM166)</f>
        <v>3869.0188277542647</v>
      </c>
      <c r="BN168" s="5">
        <f t="shared" ref="BN168:BV168" si="513">SUM(BN162:BN166)</f>
        <v>4401.5742522720948</v>
      </c>
      <c r="BO168" s="5">
        <f t="shared" si="513"/>
        <v>4667.8519645310089</v>
      </c>
      <c r="BP168" s="5">
        <f t="shared" si="513"/>
        <v>4934.1296767899239</v>
      </c>
      <c r="BQ168" s="5">
        <f t="shared" si="513"/>
        <v>5200.407389048838</v>
      </c>
      <c r="BR168" s="5">
        <f t="shared" si="513"/>
        <v>5466.6851013077539</v>
      </c>
      <c r="BS168" s="5">
        <f t="shared" si="513"/>
        <v>5732.962813566669</v>
      </c>
      <c r="BT168" s="5">
        <f t="shared" si="513"/>
        <v>5999.2405258255822</v>
      </c>
      <c r="BU168" s="5">
        <f t="shared" si="513"/>
        <v>6265.5182380844981</v>
      </c>
      <c r="BV168" s="5">
        <f t="shared" si="513"/>
        <v>6531.7959503434122</v>
      </c>
      <c r="CB168" t="s">
        <v>58</v>
      </c>
      <c r="CC168" s="5">
        <f>SUM(CC162:CC166)</f>
        <v>4401.5742522720948</v>
      </c>
      <c r="CD168" s="5">
        <f t="shared" ref="CD168:CL168" si="514">SUM(CD162:CD166)</f>
        <v>4401.5742522720948</v>
      </c>
      <c r="CE168" s="5">
        <f t="shared" si="514"/>
        <v>4934.1296767899239</v>
      </c>
      <c r="CF168" s="5">
        <f t="shared" si="514"/>
        <v>5200.407389048838</v>
      </c>
      <c r="CG168" s="5">
        <f t="shared" si="514"/>
        <v>5732.962813566669</v>
      </c>
      <c r="CH168" s="5">
        <f t="shared" si="514"/>
        <v>5999.2405258255822</v>
      </c>
      <c r="CI168" s="5">
        <f t="shared" si="514"/>
        <v>6265.5182380844981</v>
      </c>
      <c r="CJ168" s="5">
        <f t="shared" si="514"/>
        <v>6531.7959503434122</v>
      </c>
      <c r="CK168" s="5">
        <f t="shared" si="514"/>
        <v>7064.3513748612422</v>
      </c>
      <c r="CL168" s="5">
        <f t="shared" si="514"/>
        <v>7330.6290871201572</v>
      </c>
      <c r="CP168" t="s">
        <v>58</v>
      </c>
      <c r="CQ168" s="5">
        <f>SUM(CQ162:CQ166)</f>
        <v>5200.407389048838</v>
      </c>
      <c r="CR168" s="5">
        <f t="shared" ref="CR168:CZ168" si="515">SUM(CR162:CR166)</f>
        <v>5200.407389048838</v>
      </c>
      <c r="CS168" s="5">
        <f t="shared" si="515"/>
        <v>5732.962813566669</v>
      </c>
      <c r="CT168" s="5">
        <f t="shared" si="515"/>
        <v>6531.7959503434122</v>
      </c>
      <c r="CU168" s="5">
        <f t="shared" si="515"/>
        <v>7064.3513748612422</v>
      </c>
      <c r="CV168" s="5">
        <f t="shared" si="515"/>
        <v>7596.9067993790723</v>
      </c>
      <c r="CW168" s="5">
        <f t="shared" si="515"/>
        <v>8395.7399361558164</v>
      </c>
      <c r="CX168" s="5">
        <f t="shared" si="515"/>
        <v>8928.2953606736446</v>
      </c>
      <c r="CY168" s="5">
        <f t="shared" si="515"/>
        <v>9460.8507851914746</v>
      </c>
      <c r="CZ168" s="5">
        <f t="shared" si="515"/>
        <v>9993.4062097093047</v>
      </c>
      <c r="DC168" t="s">
        <v>58</v>
      </c>
      <c r="DD168" s="5">
        <f>SUM(DD162:DD166)</f>
        <v>5466.6851013077539</v>
      </c>
      <c r="DE168" s="5">
        <f t="shared" ref="DE168:DM168" si="516">SUM(DE162:DE166)</f>
        <v>5999.2405258255822</v>
      </c>
      <c r="DF168" s="5">
        <f t="shared" si="516"/>
        <v>6798.0736626023272</v>
      </c>
      <c r="DG168" s="5">
        <f t="shared" si="516"/>
        <v>7596.9067993790723</v>
      </c>
      <c r="DH168" s="5">
        <f t="shared" si="516"/>
        <v>8662.0176484147305</v>
      </c>
      <c r="DI168" s="5">
        <f t="shared" si="516"/>
        <v>9460.8507851914746</v>
      </c>
      <c r="DJ168" s="5">
        <f t="shared" si="516"/>
        <v>10525.961634227135</v>
      </c>
      <c r="DK168" s="5">
        <f t="shared" si="516"/>
        <v>11324.794771003879</v>
      </c>
      <c r="DL168" s="5">
        <f t="shared" si="516"/>
        <v>12123.627907780623</v>
      </c>
      <c r="DM168" s="5">
        <f t="shared" si="516"/>
        <v>13188.738756816281</v>
      </c>
      <c r="DP168" t="s">
        <v>58</v>
      </c>
      <c r="DQ168" s="5">
        <f>SUM(DQ162:DQ166)</f>
        <v>5999.2405258255822</v>
      </c>
      <c r="DR168" s="5">
        <f t="shared" ref="DR168:DZ168" si="517">SUM(DR162:DR166)</f>
        <v>6531.7959503434122</v>
      </c>
      <c r="DS168" s="5">
        <f t="shared" si="517"/>
        <v>7596.9067993790723</v>
      </c>
      <c r="DT168" s="5">
        <f t="shared" si="517"/>
        <v>8928.2953606736446</v>
      </c>
      <c r="DU168" s="5">
        <f t="shared" si="517"/>
        <v>9993.4062097093047</v>
      </c>
      <c r="DV168" s="5">
        <f t="shared" si="517"/>
        <v>11324.794771003879</v>
      </c>
      <c r="DW168" s="5">
        <f t="shared" si="517"/>
        <v>12389.905620039539</v>
      </c>
      <c r="DX168" s="5">
        <f t="shared" si="517"/>
        <v>13721.294181334113</v>
      </c>
      <c r="DY168" s="5">
        <f t="shared" si="517"/>
        <v>14786.405030369771</v>
      </c>
      <c r="DZ168" s="5">
        <f t="shared" si="517"/>
        <v>16117.793591664347</v>
      </c>
      <c r="EA168" s="5"/>
    </row>
    <row r="170" spans="6:216" x14ac:dyDescent="0.25">
      <c r="G170" t="s">
        <v>265</v>
      </c>
      <c r="H170" s="5">
        <f>H168+H105</f>
        <v>2894.6718657078336</v>
      </c>
      <c r="I170" s="5">
        <f t="shared" ref="I170:Q170" si="518">I168+I105</f>
        <v>2962.9513980289003</v>
      </c>
      <c r="J170" s="5">
        <f t="shared" si="518"/>
        <v>3365.7881749299477</v>
      </c>
      <c r="K170" s="5">
        <f t="shared" si="518"/>
        <v>3768.624951830996</v>
      </c>
      <c r="L170" s="5">
        <f t="shared" si="518"/>
        <v>4171.4617287320452</v>
      </c>
      <c r="M170" s="5">
        <f t="shared" si="518"/>
        <v>4574.2985056330926</v>
      </c>
      <c r="N170" s="5">
        <f t="shared" si="518"/>
        <v>4977.135282534141</v>
      </c>
      <c r="O170" s="5">
        <f t="shared" si="518"/>
        <v>5379.9720594351893</v>
      </c>
      <c r="P170" s="5">
        <f t="shared" si="518"/>
        <v>5782.8088363362376</v>
      </c>
      <c r="Q170" s="5">
        <f t="shared" si="518"/>
        <v>6185.645613237285</v>
      </c>
      <c r="U170" t="s">
        <v>265</v>
      </c>
      <c r="V170" s="5">
        <f>V168+H105</f>
        <v>2894.6718657078336</v>
      </c>
      <c r="W170" s="5">
        <f t="shared" ref="W170:AE170" si="519">W168+I105</f>
        <v>3229.2291102878144</v>
      </c>
      <c r="X170" s="5">
        <f t="shared" si="519"/>
        <v>3365.7881749299477</v>
      </c>
      <c r="Y170" s="5">
        <f t="shared" si="519"/>
        <v>3768.624951830996</v>
      </c>
      <c r="Z170" s="5">
        <f t="shared" si="519"/>
        <v>4171.4617287320452</v>
      </c>
      <c r="AA170" s="5">
        <f t="shared" si="519"/>
        <v>4574.2985056330926</v>
      </c>
      <c r="AB170" s="5">
        <f t="shared" si="519"/>
        <v>4977.135282534141</v>
      </c>
      <c r="AC170" s="5">
        <f t="shared" si="519"/>
        <v>5379.9720594351893</v>
      </c>
      <c r="AD170" s="5">
        <f t="shared" si="519"/>
        <v>5782.8088363362376</v>
      </c>
      <c r="AE170" s="5">
        <f t="shared" si="519"/>
        <v>6185.645613237285</v>
      </c>
      <c r="AJ170" t="s">
        <v>265</v>
      </c>
      <c r="AK170" s="5">
        <f>AK168+AK107</f>
        <v>3358.7360128051878</v>
      </c>
      <c r="AL170" s="5">
        <f t="shared" ref="AL170:AT170" si="520">AL168+AL107</f>
        <v>3759.8386514788363</v>
      </c>
      <c r="AM170" s="5">
        <f t="shared" si="520"/>
        <v>4562.0439288261332</v>
      </c>
      <c r="AN170" s="5">
        <f t="shared" si="520"/>
        <v>5364.2492061734292</v>
      </c>
      <c r="AO170" s="5">
        <f t="shared" si="520"/>
        <v>5504.7702126299391</v>
      </c>
      <c r="AP170" s="5">
        <f t="shared" si="520"/>
        <v>5999.8366829594906</v>
      </c>
      <c r="AQ170" s="5">
        <f t="shared" si="520"/>
        <v>6160.7882367954153</v>
      </c>
      <c r="AR170" s="5">
        <f t="shared" si="520"/>
        <v>6635.4241597455521</v>
      </c>
      <c r="AS170" s="5">
        <f t="shared" si="520"/>
        <v>6808.6340420091256</v>
      </c>
      <c r="AT170" s="5">
        <f t="shared" si="520"/>
        <v>7271.0116365316135</v>
      </c>
      <c r="AV170" t="s">
        <v>265</v>
      </c>
      <c r="AW170" s="5">
        <f>AW168+AW107</f>
        <v>3625.0137250641028</v>
      </c>
      <c r="AX170" s="5">
        <f t="shared" ref="AX170:BF170" si="521">AX168+AX107</f>
        <v>4026.1163637377513</v>
      </c>
      <c r="AY170" s="5">
        <f t="shared" si="521"/>
        <v>4828.3216410850473</v>
      </c>
      <c r="AZ170" s="5">
        <f t="shared" si="521"/>
        <v>5364.2492061734292</v>
      </c>
      <c r="BA170" s="5">
        <f t="shared" si="521"/>
        <v>5504.7702126299391</v>
      </c>
      <c r="BB170" s="5">
        <f t="shared" si="521"/>
        <v>5999.8366829594906</v>
      </c>
      <c r="BC170" s="5">
        <f t="shared" si="521"/>
        <v>6427.0659490543294</v>
      </c>
      <c r="BD170" s="5">
        <f t="shared" si="521"/>
        <v>6635.4241597455521</v>
      </c>
      <c r="BE170" s="5">
        <f t="shared" si="521"/>
        <v>7074.9117542680406</v>
      </c>
      <c r="BF170" s="5">
        <f t="shared" si="521"/>
        <v>7271.0116365316135</v>
      </c>
      <c r="BL170" t="s">
        <v>265</v>
      </c>
      <c r="BM170" s="5">
        <f>BM168+BM107</f>
        <v>4828.3216410850473</v>
      </c>
      <c r="BN170" s="5">
        <f t="shared" ref="BN170:BV170" si="522">BN168+BN107</f>
        <v>5630.5269184323442</v>
      </c>
      <c r="BO170" s="5">
        <f t="shared" si="522"/>
        <v>6266.1143952184048</v>
      </c>
      <c r="BP170" s="5">
        <f t="shared" si="522"/>
        <v>6901.7018720044671</v>
      </c>
      <c r="BQ170" s="5">
        <f t="shared" si="522"/>
        <v>7537.2893487905276</v>
      </c>
      <c r="BR170" s="5">
        <f t="shared" si="522"/>
        <v>8172.8768255765908</v>
      </c>
      <c r="BS170" s="5">
        <f t="shared" si="522"/>
        <v>8808.4643023626522</v>
      </c>
      <c r="BT170" s="5">
        <f t="shared" si="522"/>
        <v>9444.0517791487127</v>
      </c>
      <c r="BU170" s="5">
        <f t="shared" si="522"/>
        <v>10079.639255934777</v>
      </c>
      <c r="BV170" s="5">
        <f t="shared" si="522"/>
        <v>10715.226732720836</v>
      </c>
      <c r="CB170" t="s">
        <v>265</v>
      </c>
      <c r="CC170" s="5">
        <f>CC168+CC107</f>
        <v>5765.3518448470777</v>
      </c>
      <c r="CD170" s="5">
        <f t="shared" ref="CD170:CL170" si="523">CD168+CD107</f>
        <v>5999.8366829594906</v>
      </c>
      <c r="CE170" s="5">
        <f t="shared" si="523"/>
        <v>7074.9117542680406</v>
      </c>
      <c r="CF170" s="5">
        <f t="shared" si="523"/>
        <v>7906.5991133176749</v>
      </c>
      <c r="CG170" s="5">
        <f t="shared" si="523"/>
        <v>9000.0616772676985</v>
      </c>
      <c r="CH170" s="5">
        <f t="shared" si="523"/>
        <v>9813.3615436758591</v>
      </c>
      <c r="CI170" s="5">
        <f t="shared" si="523"/>
        <v>10648.90434656764</v>
      </c>
      <c r="CJ170" s="5">
        <f t="shared" si="523"/>
        <v>11453.846261775132</v>
      </c>
      <c r="CK170" s="5">
        <f t="shared" si="523"/>
        <v>12560.442749040492</v>
      </c>
      <c r="CL170" s="5">
        <f t="shared" si="523"/>
        <v>13360.608692133315</v>
      </c>
      <c r="CP170" t="s">
        <v>265</v>
      </c>
      <c r="CQ170" s="5">
        <f>CQ168+CQ107</f>
        <v>7141.85295684219</v>
      </c>
      <c r="CR170" s="5">
        <f t="shared" ref="CR170:CZ170" si="524">CR168+CR107</f>
        <v>7537.2893487905276</v>
      </c>
      <c r="CS170" s="5">
        <f t="shared" si="524"/>
        <v>9000.0616772676985</v>
      </c>
      <c r="CT170" s="5">
        <f t="shared" si="524"/>
        <v>10715.226732720836</v>
      </c>
      <c r="CU170" s="5">
        <f t="shared" si="524"/>
        <v>12189.785915455363</v>
      </c>
      <c r="CV170" s="5">
        <f t="shared" si="524"/>
        <v>13626.886404392231</v>
      </c>
      <c r="CW170" s="5">
        <f t="shared" si="524"/>
        <v>15372.961901277828</v>
      </c>
      <c r="CX170" s="5">
        <f t="shared" si="524"/>
        <v>16804.823788322537</v>
      </c>
      <c r="CY170" s="5">
        <f t="shared" si="524"/>
        <v>18287.582521844786</v>
      </c>
      <c r="CZ170" s="5">
        <f t="shared" si="524"/>
        <v>19716.483459993931</v>
      </c>
      <c r="DC170" t="s">
        <v>265</v>
      </c>
      <c r="DD170" s="5">
        <f>DD168+DD107</f>
        <v>8048.6919138789108</v>
      </c>
      <c r="DE170" s="5">
        <f t="shared" ref="DE170:DM170" si="525">DE168+DE107</f>
        <v>9266.3393895266126</v>
      </c>
      <c r="DF170" s="5">
        <f t="shared" si="525"/>
        <v>11468.878300135457</v>
      </c>
      <c r="DG170" s="5">
        <f t="shared" si="525"/>
        <v>13626.886404392231</v>
      </c>
      <c r="DH170" s="5">
        <f t="shared" si="525"/>
        <v>16089.251275455961</v>
      </c>
      <c r="DI170" s="5">
        <f t="shared" si="525"/>
        <v>18287.582521844786</v>
      </c>
      <c r="DJ170" s="5">
        <f t="shared" si="525"/>
        <v>20753.438195816976</v>
      </c>
      <c r="DK170" s="5">
        <f t="shared" si="525"/>
        <v>22894.420843924243</v>
      </c>
      <c r="DL170" s="5">
        <f t="shared" si="525"/>
        <v>25093.354363819068</v>
      </c>
      <c r="DM170" s="5">
        <f t="shared" si="525"/>
        <v>27559.324625596815</v>
      </c>
      <c r="DP170" t="s">
        <v>265</v>
      </c>
      <c r="DQ170" s="5">
        <f>DQ168+DQ107</f>
        <v>9269.2152400298419</v>
      </c>
      <c r="DR170" s="5">
        <f t="shared" ref="DR170:DZ170" si="526">DR168+DR107</f>
        <v>10715.226732720836</v>
      </c>
      <c r="DS170" s="5">
        <f t="shared" si="526"/>
        <v>13626.886404392231</v>
      </c>
      <c r="DT170" s="5">
        <f t="shared" si="526"/>
        <v>16804.823788322537</v>
      </c>
      <c r="DU170" s="5">
        <f>DU168+DU107</f>
        <v>19716.483459993931</v>
      </c>
      <c r="DV170" s="5">
        <f t="shared" si="526"/>
        <v>22894.420843924243</v>
      </c>
      <c r="DW170" s="5">
        <f t="shared" si="526"/>
        <v>25806.080515595633</v>
      </c>
      <c r="DX170" s="5">
        <f t="shared" si="526"/>
        <v>28984.017899525941</v>
      </c>
      <c r="DY170" s="5">
        <f t="shared" si="526"/>
        <v>31895.677571197339</v>
      </c>
      <c r="DZ170" s="5">
        <f t="shared" si="526"/>
        <v>35073.614955127647</v>
      </c>
      <c r="EA170" s="5"/>
    </row>
    <row r="174" spans="6:216" s="3" customFormat="1" ht="21" x14ac:dyDescent="0.35">
      <c r="F174" s="20"/>
      <c r="G174" s="16" t="s">
        <v>103</v>
      </c>
      <c r="AI174" s="20"/>
      <c r="BK174" s="20"/>
      <c r="BZ174" s="20"/>
      <c r="CN174" s="20"/>
      <c r="DA174" s="20"/>
      <c r="DN174" s="20"/>
      <c r="EB174" s="20"/>
      <c r="EP174" s="20"/>
      <c r="FD174" s="20"/>
      <c r="FR174" s="20"/>
      <c r="GF174" s="20"/>
      <c r="GT174" s="20"/>
      <c r="HH174" s="20"/>
    </row>
    <row r="176" spans="6:216" x14ac:dyDescent="0.25">
      <c r="G176" t="s">
        <v>205</v>
      </c>
      <c r="H176" t="s">
        <v>2</v>
      </c>
      <c r="I176" t="s">
        <v>81</v>
      </c>
      <c r="J176" t="s">
        <v>82</v>
      </c>
      <c r="K176" t="s">
        <v>59</v>
      </c>
      <c r="AJ176" t="s">
        <v>205</v>
      </c>
      <c r="AK176" t="s">
        <v>2</v>
      </c>
      <c r="AL176" t="s">
        <v>81</v>
      </c>
      <c r="AM176" t="s">
        <v>82</v>
      </c>
      <c r="AN176" t="s">
        <v>59</v>
      </c>
      <c r="BL176" t="s">
        <v>205</v>
      </c>
      <c r="BM176" t="s">
        <v>2</v>
      </c>
      <c r="BN176" t="s">
        <v>81</v>
      </c>
      <c r="BO176" t="s">
        <v>82</v>
      </c>
      <c r="BP176" t="s">
        <v>59</v>
      </c>
      <c r="CA176" t="s">
        <v>205</v>
      </c>
      <c r="CB176" t="s">
        <v>2</v>
      </c>
      <c r="CC176" t="s">
        <v>81</v>
      </c>
      <c r="CD176" t="s">
        <v>82</v>
      </c>
      <c r="CE176" t="s">
        <v>59</v>
      </c>
      <c r="CO176" t="s">
        <v>205</v>
      </c>
      <c r="CP176" t="s">
        <v>2</v>
      </c>
      <c r="CQ176" t="s">
        <v>81</v>
      </c>
      <c r="CR176" t="s">
        <v>82</v>
      </c>
      <c r="CS176" t="s">
        <v>59</v>
      </c>
      <c r="DB176" t="s">
        <v>205</v>
      </c>
      <c r="DC176" t="s">
        <v>2</v>
      </c>
      <c r="DD176" t="s">
        <v>81</v>
      </c>
      <c r="DE176" t="s">
        <v>82</v>
      </c>
      <c r="DF176" t="s">
        <v>59</v>
      </c>
      <c r="DO176" t="s">
        <v>205</v>
      </c>
      <c r="DP176" t="s">
        <v>2</v>
      </c>
      <c r="DQ176" t="s">
        <v>81</v>
      </c>
      <c r="DR176" t="s">
        <v>82</v>
      </c>
      <c r="DS176" t="s">
        <v>59</v>
      </c>
    </row>
    <row r="177" spans="7:131" x14ac:dyDescent="0.25">
      <c r="G177" t="s">
        <v>103</v>
      </c>
      <c r="I177">
        <f>Index!C65</f>
        <v>193.5</v>
      </c>
      <c r="J177">
        <f>I177</f>
        <v>193.5</v>
      </c>
      <c r="AJ177" t="s">
        <v>103</v>
      </c>
      <c r="AL177">
        <f>Index!C65</f>
        <v>193.5</v>
      </c>
      <c r="AM177">
        <f>AL177</f>
        <v>193.5</v>
      </c>
      <c r="BL177" t="s">
        <v>103</v>
      </c>
      <c r="BN177">
        <v>193.5</v>
      </c>
      <c r="BO177">
        <v>193.5</v>
      </c>
      <c r="CA177" t="s">
        <v>103</v>
      </c>
      <c r="CC177">
        <f>Index!$C$66</f>
        <v>211.7</v>
      </c>
      <c r="CD177">
        <f>CC177</f>
        <v>211.7</v>
      </c>
      <c r="CI177" t="s">
        <v>361</v>
      </c>
      <c r="CO177" t="s">
        <v>103</v>
      </c>
      <c r="CQ177">
        <f>Index!$C$66</f>
        <v>211.7</v>
      </c>
      <c r="CR177">
        <f>CQ177</f>
        <v>211.7</v>
      </c>
      <c r="DB177" t="s">
        <v>103</v>
      </c>
      <c r="DD177">
        <f>Index!$C$66</f>
        <v>211.7</v>
      </c>
      <c r="DE177">
        <f>DD177</f>
        <v>211.7</v>
      </c>
      <c r="DO177" t="s">
        <v>103</v>
      </c>
      <c r="DQ177">
        <f>Index!$C$66</f>
        <v>211.7</v>
      </c>
      <c r="DR177">
        <f>DQ177</f>
        <v>211.7</v>
      </c>
      <c r="DY177">
        <f>Index!$C$66</f>
        <v>211.7</v>
      </c>
      <c r="DZ177">
        <f>DY177</f>
        <v>211.7</v>
      </c>
    </row>
    <row r="178" spans="7:131" x14ac:dyDescent="0.25">
      <c r="CP178">
        <v>12</v>
      </c>
      <c r="CQ178">
        <f>Index!$C$67</f>
        <v>20.399999999999999</v>
      </c>
      <c r="CR178">
        <f>CQ178</f>
        <v>20.399999999999999</v>
      </c>
      <c r="CS178">
        <f>CR178*CP178</f>
        <v>244.79999999999998</v>
      </c>
      <c r="DC178">
        <v>15</v>
      </c>
      <c r="DD178">
        <f>Index!$C$67</f>
        <v>20.399999999999999</v>
      </c>
      <c r="DE178">
        <f>DD178</f>
        <v>20.399999999999999</v>
      </c>
      <c r="DF178">
        <f>DE178*DC178</f>
        <v>306</v>
      </c>
      <c r="DP178">
        <v>22</v>
      </c>
      <c r="DQ178">
        <f>Index!$C$67</f>
        <v>20.399999999999999</v>
      </c>
      <c r="DR178">
        <f>DQ178</f>
        <v>20.399999999999999</v>
      </c>
      <c r="DS178">
        <f>DR178*DP178</f>
        <v>448.79999999999995</v>
      </c>
      <c r="DX178">
        <v>20</v>
      </c>
      <c r="DY178">
        <f>Index!$C$67</f>
        <v>20.399999999999999</v>
      </c>
      <c r="DZ178">
        <f>DY178</f>
        <v>20.399999999999999</v>
      </c>
      <c r="EA178">
        <f>DZ178*DX178</f>
        <v>408</v>
      </c>
    </row>
    <row r="179" spans="7:131" x14ac:dyDescent="0.25">
      <c r="CI179" t="s">
        <v>362</v>
      </c>
      <c r="CS179">
        <f>CS178+CR177</f>
        <v>456.5</v>
      </c>
      <c r="DF179">
        <f>DF178+DE177</f>
        <v>517.70000000000005</v>
      </c>
      <c r="DS179">
        <f>DS178+DR177</f>
        <v>660.5</v>
      </c>
      <c r="EA179">
        <f>EA178+DZ177</f>
        <v>619.70000000000005</v>
      </c>
    </row>
    <row r="180" spans="7:131" x14ac:dyDescent="0.25">
      <c r="H180" t="s">
        <v>325</v>
      </c>
      <c r="AK180" t="s">
        <v>325</v>
      </c>
      <c r="AP180" t="s">
        <v>326</v>
      </c>
      <c r="BM180" t="s">
        <v>325</v>
      </c>
      <c r="BR180" t="s">
        <v>326</v>
      </c>
      <c r="CB180" t="s">
        <v>325</v>
      </c>
      <c r="CG180" t="s">
        <v>326</v>
      </c>
      <c r="CP180" t="s">
        <v>325</v>
      </c>
      <c r="CU180" t="s">
        <v>326</v>
      </c>
      <c r="DC180" t="s">
        <v>325</v>
      </c>
      <c r="DH180" t="s">
        <v>326</v>
      </c>
    </row>
    <row r="181" spans="7:131" x14ac:dyDescent="0.25">
      <c r="G181" t="s">
        <v>324</v>
      </c>
      <c r="H181" s="10">
        <v>5</v>
      </c>
      <c r="I181" s="10">
        <v>10</v>
      </c>
      <c r="J181" s="10">
        <v>25</v>
      </c>
      <c r="K181" s="10">
        <v>40</v>
      </c>
      <c r="N181" t="s">
        <v>326</v>
      </c>
      <c r="AJ181" t="s">
        <v>324</v>
      </c>
      <c r="AK181" s="10">
        <v>5</v>
      </c>
      <c r="AL181" s="10">
        <v>10</v>
      </c>
      <c r="AM181" s="10">
        <v>25</v>
      </c>
      <c r="BL181" t="s">
        <v>324</v>
      </c>
      <c r="BM181" s="10">
        <v>5</v>
      </c>
      <c r="BN181" s="10">
        <v>10</v>
      </c>
      <c r="BO181" s="10">
        <v>25</v>
      </c>
      <c r="CA181" t="s">
        <v>324</v>
      </c>
      <c r="CB181" s="10">
        <v>5</v>
      </c>
      <c r="CC181" s="10">
        <v>10</v>
      </c>
      <c r="CD181" s="10">
        <v>25</v>
      </c>
      <c r="CO181" t="s">
        <v>324</v>
      </c>
      <c r="CP181" s="10">
        <v>5</v>
      </c>
      <c r="CQ181" s="10">
        <v>10</v>
      </c>
      <c r="CR181" s="10">
        <v>25</v>
      </c>
      <c r="DB181" t="s">
        <v>324</v>
      </c>
      <c r="DC181" s="10">
        <v>5</v>
      </c>
      <c r="DD181" s="10">
        <v>10</v>
      </c>
      <c r="DE181" s="10">
        <v>25</v>
      </c>
      <c r="DG181" t="s">
        <v>327</v>
      </c>
      <c r="DH181" s="10">
        <v>25</v>
      </c>
      <c r="DS181" t="s">
        <v>326</v>
      </c>
      <c r="EA181" t="s">
        <v>326</v>
      </c>
    </row>
    <row r="182" spans="7:131" x14ac:dyDescent="0.25">
      <c r="G182" s="10">
        <v>4</v>
      </c>
      <c r="H182" s="5">
        <f t="shared" ref="H182:K186" si="527">ROUNDDOWN($G182*H$181,0)</f>
        <v>20</v>
      </c>
      <c r="I182" s="5">
        <f t="shared" si="527"/>
        <v>40</v>
      </c>
      <c r="J182" s="5">
        <f t="shared" si="527"/>
        <v>100</v>
      </c>
      <c r="K182" s="5">
        <f t="shared" si="527"/>
        <v>160</v>
      </c>
      <c r="M182" s="10"/>
      <c r="N182" s="10">
        <f t="shared" ref="N182:N188" si="528">J182*$J$177</f>
        <v>19350</v>
      </c>
      <c r="O182" s="10"/>
      <c r="Q182">
        <f>12/G182</f>
        <v>3</v>
      </c>
      <c r="AJ182" s="10">
        <v>4</v>
      </c>
      <c r="AK182" s="5">
        <f t="shared" ref="AK182:AM186" si="529">ROUNDDOWN($G182*AK$181,0)</f>
        <v>20</v>
      </c>
      <c r="AL182" s="5">
        <f t="shared" si="529"/>
        <v>40</v>
      </c>
      <c r="AM182" s="5">
        <f t="shared" si="529"/>
        <v>100</v>
      </c>
      <c r="AP182" s="10">
        <f>AM182*$J$177</f>
        <v>19350</v>
      </c>
      <c r="BL182" s="10">
        <v>4</v>
      </c>
      <c r="BM182" s="5">
        <f t="shared" ref="BM182:BO186" si="530">ROUNDDOWN($G182*BM$181,0)</f>
        <v>20</v>
      </c>
      <c r="BN182" s="5">
        <f t="shared" si="530"/>
        <v>40</v>
      </c>
      <c r="BO182" s="5">
        <f t="shared" si="530"/>
        <v>100</v>
      </c>
      <c r="BR182" s="10">
        <f t="shared" ref="BR182:BR188" si="531">BO182*$BO$177</f>
        <v>19350</v>
      </c>
      <c r="CA182" s="10">
        <v>4</v>
      </c>
      <c r="CB182" s="5">
        <f t="shared" ref="CB182:CD186" si="532">ROUNDDOWN($G182*CB$181,0)</f>
        <v>20</v>
      </c>
      <c r="CC182" s="5">
        <f t="shared" si="532"/>
        <v>40</v>
      </c>
      <c r="CD182" s="5">
        <f t="shared" si="532"/>
        <v>100</v>
      </c>
      <c r="CG182" s="10">
        <f>CD182*$BO$177</f>
        <v>19350</v>
      </c>
      <c r="CO182" s="10">
        <v>4</v>
      </c>
      <c r="CP182" s="5">
        <f t="shared" ref="CP182:CR186" si="533">ROUNDDOWN($G182*CP$181,0)</f>
        <v>20</v>
      </c>
      <c r="CQ182" s="5">
        <f t="shared" si="533"/>
        <v>40</v>
      </c>
      <c r="CR182" s="5">
        <f t="shared" si="533"/>
        <v>100</v>
      </c>
      <c r="CU182" s="10">
        <f>CR182*$CS$179</f>
        <v>45650</v>
      </c>
      <c r="DB182" s="10">
        <v>4</v>
      </c>
      <c r="DC182" s="5">
        <f t="shared" ref="DC182:DE186" si="534">ROUNDDOWN($G182*DC$181,0)</f>
        <v>20</v>
      </c>
      <c r="DD182" s="5">
        <f t="shared" si="534"/>
        <v>40</v>
      </c>
      <c r="DE182" s="5">
        <f>ROUNDDOWN($G182*DE$181,0)</f>
        <v>100</v>
      </c>
      <c r="DH182" s="10">
        <f>DE182*$DF$179</f>
        <v>51770.000000000007</v>
      </c>
      <c r="DR182" t="s">
        <v>327</v>
      </c>
      <c r="DS182" s="10">
        <v>25</v>
      </c>
      <c r="DZ182" t="s">
        <v>327</v>
      </c>
      <c r="EA182" s="10">
        <v>25</v>
      </c>
    </row>
    <row r="183" spans="7:131" x14ac:dyDescent="0.25">
      <c r="G183" s="10">
        <v>2</v>
      </c>
      <c r="H183" s="5">
        <f t="shared" si="527"/>
        <v>10</v>
      </c>
      <c r="I183" s="5">
        <f t="shared" si="527"/>
        <v>20</v>
      </c>
      <c r="J183" s="5">
        <f t="shared" si="527"/>
        <v>50</v>
      </c>
      <c r="K183" s="5">
        <f t="shared" si="527"/>
        <v>80</v>
      </c>
      <c r="M183" s="10"/>
      <c r="N183" s="10">
        <f t="shared" si="528"/>
        <v>9675</v>
      </c>
      <c r="O183" s="10"/>
      <c r="Q183">
        <f t="shared" ref="Q183:Q188" si="535">12/G183</f>
        <v>6</v>
      </c>
      <c r="AJ183" s="10">
        <v>2</v>
      </c>
      <c r="AK183" s="5">
        <f t="shared" si="529"/>
        <v>10</v>
      </c>
      <c r="AL183" s="5">
        <f t="shared" si="529"/>
        <v>20</v>
      </c>
      <c r="AM183" s="5">
        <f t="shared" si="529"/>
        <v>50</v>
      </c>
      <c r="AP183" s="10">
        <f>AM183*$J$177</f>
        <v>9675</v>
      </c>
      <c r="BL183" s="10">
        <v>2</v>
      </c>
      <c r="BM183" s="5">
        <f t="shared" si="530"/>
        <v>10</v>
      </c>
      <c r="BN183" s="5">
        <f t="shared" si="530"/>
        <v>20</v>
      </c>
      <c r="BO183" s="5">
        <f t="shared" si="530"/>
        <v>50</v>
      </c>
      <c r="BR183" s="10">
        <f t="shared" si="531"/>
        <v>9675</v>
      </c>
      <c r="CA183" s="10">
        <v>2</v>
      </c>
      <c r="CB183" s="5">
        <f t="shared" si="532"/>
        <v>10</v>
      </c>
      <c r="CC183" s="5">
        <f t="shared" si="532"/>
        <v>20</v>
      </c>
      <c r="CD183" s="5">
        <f t="shared" si="532"/>
        <v>50</v>
      </c>
      <c r="CG183" s="10">
        <f>CD183*$BO$177</f>
        <v>9675</v>
      </c>
      <c r="CO183" s="10">
        <v>2</v>
      </c>
      <c r="CP183" s="5">
        <f t="shared" si="533"/>
        <v>10</v>
      </c>
      <c r="CQ183" s="5">
        <f t="shared" si="533"/>
        <v>20</v>
      </c>
      <c r="CR183" s="5">
        <f t="shared" si="533"/>
        <v>50</v>
      </c>
      <c r="CU183" s="10">
        <f>CR183*$CS$179</f>
        <v>22825</v>
      </c>
      <c r="DB183" s="10">
        <v>2</v>
      </c>
      <c r="DC183" s="5">
        <f t="shared" si="534"/>
        <v>10</v>
      </c>
      <c r="DD183" s="5">
        <f t="shared" si="534"/>
        <v>20</v>
      </c>
      <c r="DE183" s="5">
        <f t="shared" si="534"/>
        <v>50</v>
      </c>
      <c r="DH183" s="10">
        <f>DE183*$DF$179</f>
        <v>25885.000000000004</v>
      </c>
      <c r="DS183" s="10">
        <f>DE182*$DS$179</f>
        <v>66050</v>
      </c>
      <c r="DT183">
        <f>DS183/25</f>
        <v>2642</v>
      </c>
      <c r="EA183" s="10">
        <f>DE182*$EA$179</f>
        <v>61970.000000000007</v>
      </c>
    </row>
    <row r="184" spans="7:131" x14ac:dyDescent="0.25">
      <c r="G184" s="10">
        <v>1</v>
      </c>
      <c r="H184" s="5">
        <f t="shared" si="527"/>
        <v>5</v>
      </c>
      <c r="I184" s="5">
        <f t="shared" si="527"/>
        <v>10</v>
      </c>
      <c r="J184" s="5">
        <f t="shared" si="527"/>
        <v>25</v>
      </c>
      <c r="K184" s="5">
        <f t="shared" si="527"/>
        <v>40</v>
      </c>
      <c r="M184" s="10"/>
      <c r="N184" s="10">
        <f t="shared" si="528"/>
        <v>4837.5</v>
      </c>
      <c r="O184" s="10"/>
      <c r="Q184">
        <f t="shared" si="535"/>
        <v>12</v>
      </c>
      <c r="AJ184" s="10">
        <v>1</v>
      </c>
      <c r="AK184" s="5">
        <f t="shared" si="529"/>
        <v>5</v>
      </c>
      <c r="AL184" s="5">
        <f t="shared" si="529"/>
        <v>10</v>
      </c>
      <c r="AM184" s="5">
        <f t="shared" si="529"/>
        <v>25</v>
      </c>
      <c r="AP184" s="10">
        <f t="shared" ref="AP184:AP188" si="536">AM184*$J$177</f>
        <v>4837.5</v>
      </c>
      <c r="BL184" s="10">
        <v>1</v>
      </c>
      <c r="BM184" s="5">
        <f t="shared" si="530"/>
        <v>5</v>
      </c>
      <c r="BN184" s="5">
        <f t="shared" si="530"/>
        <v>10</v>
      </c>
      <c r="BO184" s="5">
        <f t="shared" si="530"/>
        <v>25</v>
      </c>
      <c r="BR184" s="10">
        <f t="shared" si="531"/>
        <v>4837.5</v>
      </c>
      <c r="CA184" s="10">
        <v>1</v>
      </c>
      <c r="CB184" s="5">
        <f t="shared" si="532"/>
        <v>5</v>
      </c>
      <c r="CC184" s="5">
        <f t="shared" si="532"/>
        <v>10</v>
      </c>
      <c r="CD184" s="5">
        <f t="shared" si="532"/>
        <v>25</v>
      </c>
      <c r="CG184" s="10">
        <f t="shared" ref="CG184:CG188" si="537">CD184*$BO$177</f>
        <v>4837.5</v>
      </c>
      <c r="CO184" s="10">
        <v>1</v>
      </c>
      <c r="CP184" s="5">
        <f t="shared" si="533"/>
        <v>5</v>
      </c>
      <c r="CQ184" s="5">
        <f t="shared" si="533"/>
        <v>10</v>
      </c>
      <c r="CR184" s="5">
        <f t="shared" si="533"/>
        <v>25</v>
      </c>
      <c r="CU184" s="10">
        <f t="shared" ref="CU184:CU188" si="538">CR184*$CS$179</f>
        <v>11412.5</v>
      </c>
      <c r="DB184" s="10">
        <v>1</v>
      </c>
      <c r="DC184" s="5">
        <f t="shared" si="534"/>
        <v>5</v>
      </c>
      <c r="DD184" s="5">
        <f t="shared" si="534"/>
        <v>10</v>
      </c>
      <c r="DE184" s="5">
        <f t="shared" si="534"/>
        <v>25</v>
      </c>
      <c r="DH184" s="10">
        <f t="shared" ref="DH184:DH188" si="539">DE184*$DF$179</f>
        <v>12942.500000000002</v>
      </c>
      <c r="DS184" s="10">
        <f t="shared" ref="DS184:DS188" si="540">DE183*$DS$179</f>
        <v>33025</v>
      </c>
      <c r="DT184">
        <f t="shared" ref="DT184:DT190" si="541">DS184/25</f>
        <v>1321</v>
      </c>
      <c r="EA184" s="10">
        <f t="shared" ref="EA184:EA189" si="542">DE183*$EA$179</f>
        <v>30985.000000000004</v>
      </c>
    </row>
    <row r="185" spans="7:131" x14ac:dyDescent="0.25">
      <c r="G185" s="22">
        <f>12/18</f>
        <v>0.66666666666666663</v>
      </c>
      <c r="H185" s="5">
        <f t="shared" si="527"/>
        <v>3</v>
      </c>
      <c r="I185" s="5">
        <f t="shared" si="527"/>
        <v>6</v>
      </c>
      <c r="J185" s="5">
        <f t="shared" si="527"/>
        <v>16</v>
      </c>
      <c r="K185" s="5">
        <f t="shared" si="527"/>
        <v>26</v>
      </c>
      <c r="M185" s="10"/>
      <c r="N185" s="10">
        <f t="shared" si="528"/>
        <v>3096</v>
      </c>
      <c r="O185" s="10"/>
      <c r="Q185">
        <f t="shared" si="535"/>
        <v>18</v>
      </c>
      <c r="AJ185" s="22">
        <f>12/18</f>
        <v>0.66666666666666663</v>
      </c>
      <c r="AK185" s="5">
        <f t="shared" si="529"/>
        <v>3</v>
      </c>
      <c r="AL185" s="5">
        <f t="shared" si="529"/>
        <v>6</v>
      </c>
      <c r="AM185" s="5">
        <f t="shared" si="529"/>
        <v>16</v>
      </c>
      <c r="AP185" s="10">
        <f t="shared" si="536"/>
        <v>3096</v>
      </c>
      <c r="BL185" s="22">
        <f>12/18</f>
        <v>0.66666666666666663</v>
      </c>
      <c r="BM185" s="5">
        <f t="shared" si="530"/>
        <v>3</v>
      </c>
      <c r="BN185" s="5">
        <f t="shared" si="530"/>
        <v>6</v>
      </c>
      <c r="BO185" s="5">
        <f t="shared" si="530"/>
        <v>16</v>
      </c>
      <c r="BR185" s="10">
        <f t="shared" si="531"/>
        <v>3096</v>
      </c>
      <c r="CA185" s="22">
        <f>12/18</f>
        <v>0.66666666666666663</v>
      </c>
      <c r="CB185" s="5">
        <f t="shared" si="532"/>
        <v>3</v>
      </c>
      <c r="CC185" s="5">
        <f t="shared" si="532"/>
        <v>6</v>
      </c>
      <c r="CD185" s="5">
        <f t="shared" si="532"/>
        <v>16</v>
      </c>
      <c r="CG185" s="10">
        <f t="shared" si="537"/>
        <v>3096</v>
      </c>
      <c r="CO185" s="22">
        <f>12/18</f>
        <v>0.66666666666666663</v>
      </c>
      <c r="CP185" s="5">
        <f t="shared" si="533"/>
        <v>3</v>
      </c>
      <c r="CQ185" s="5">
        <f t="shared" si="533"/>
        <v>6</v>
      </c>
      <c r="CR185" s="5">
        <f t="shared" si="533"/>
        <v>16</v>
      </c>
      <c r="CU185" s="10">
        <f t="shared" si="538"/>
        <v>7304</v>
      </c>
      <c r="DB185" s="22">
        <f>12/18</f>
        <v>0.66666666666666663</v>
      </c>
      <c r="DC185" s="5">
        <f t="shared" si="534"/>
        <v>3</v>
      </c>
      <c r="DD185" s="5">
        <f t="shared" si="534"/>
        <v>6</v>
      </c>
      <c r="DE185" s="5">
        <f t="shared" si="534"/>
        <v>16</v>
      </c>
      <c r="DH185" s="10">
        <f t="shared" si="539"/>
        <v>8283.2000000000007</v>
      </c>
      <c r="DS185" s="10">
        <f t="shared" si="540"/>
        <v>16512.5</v>
      </c>
      <c r="DT185">
        <f t="shared" si="541"/>
        <v>660.5</v>
      </c>
      <c r="EA185" s="10">
        <f t="shared" si="542"/>
        <v>15492.500000000002</v>
      </c>
    </row>
    <row r="186" spans="7:131" x14ac:dyDescent="0.25">
      <c r="G186" s="10">
        <v>0.5</v>
      </c>
      <c r="H186" s="5">
        <f t="shared" si="527"/>
        <v>2</v>
      </c>
      <c r="I186" s="5">
        <f t="shared" si="527"/>
        <v>5</v>
      </c>
      <c r="J186" s="5">
        <f t="shared" si="527"/>
        <v>12</v>
      </c>
      <c r="K186" s="5">
        <f t="shared" si="527"/>
        <v>20</v>
      </c>
      <c r="M186" s="10"/>
      <c r="N186" s="10">
        <f t="shared" si="528"/>
        <v>2322</v>
      </c>
      <c r="O186" s="10"/>
      <c r="Q186">
        <f t="shared" si="535"/>
        <v>24</v>
      </c>
      <c r="AJ186" s="10">
        <v>0.5</v>
      </c>
      <c r="AK186" s="5">
        <f t="shared" si="529"/>
        <v>2</v>
      </c>
      <c r="AL186" s="5">
        <f t="shared" si="529"/>
        <v>5</v>
      </c>
      <c r="AM186" s="5">
        <f t="shared" si="529"/>
        <v>12</v>
      </c>
      <c r="AP186" s="10">
        <f t="shared" si="536"/>
        <v>2322</v>
      </c>
      <c r="BL186" s="10">
        <v>0.5</v>
      </c>
      <c r="BM186" s="5">
        <f t="shared" si="530"/>
        <v>2</v>
      </c>
      <c r="BN186" s="5">
        <f t="shared" si="530"/>
        <v>5</v>
      </c>
      <c r="BO186" s="5">
        <f t="shared" si="530"/>
        <v>12</v>
      </c>
      <c r="BR186" s="10">
        <f t="shared" si="531"/>
        <v>2322</v>
      </c>
      <c r="CA186" s="10">
        <v>0.5</v>
      </c>
      <c r="CB186" s="5">
        <f t="shared" si="532"/>
        <v>2</v>
      </c>
      <c r="CC186" s="5">
        <f t="shared" si="532"/>
        <v>5</v>
      </c>
      <c r="CD186" s="5">
        <f t="shared" si="532"/>
        <v>12</v>
      </c>
      <c r="CG186" s="10">
        <f t="shared" si="537"/>
        <v>2322</v>
      </c>
      <c r="CO186" s="10">
        <v>0.5</v>
      </c>
      <c r="CP186" s="5">
        <f t="shared" si="533"/>
        <v>2</v>
      </c>
      <c r="CQ186" s="5">
        <f t="shared" si="533"/>
        <v>5</v>
      </c>
      <c r="CR186" s="5">
        <f t="shared" si="533"/>
        <v>12</v>
      </c>
      <c r="CU186" s="10">
        <f t="shared" si="538"/>
        <v>5478</v>
      </c>
      <c r="DB186" s="10">
        <v>0.5</v>
      </c>
      <c r="DC186" s="5">
        <f t="shared" si="534"/>
        <v>2</v>
      </c>
      <c r="DD186" s="5">
        <f t="shared" si="534"/>
        <v>5</v>
      </c>
      <c r="DE186" s="5">
        <f t="shared" si="534"/>
        <v>12</v>
      </c>
      <c r="DH186" s="10">
        <f t="shared" si="539"/>
        <v>6212.4000000000005</v>
      </c>
      <c r="DS186" s="10">
        <f t="shared" si="540"/>
        <v>10568</v>
      </c>
      <c r="DT186">
        <f t="shared" si="541"/>
        <v>422.72</v>
      </c>
      <c r="EA186" s="10">
        <f t="shared" si="542"/>
        <v>9915.2000000000007</v>
      </c>
    </row>
    <row r="187" spans="7:131" x14ac:dyDescent="0.25">
      <c r="G187" s="1">
        <f>0.25</f>
        <v>0.25</v>
      </c>
      <c r="H187" s="5">
        <f t="shared" ref="H187:K188" si="543">ROUNDDOWN($G187*H$181,0)</f>
        <v>1</v>
      </c>
      <c r="I187" s="5">
        <f t="shared" si="543"/>
        <v>2</v>
      </c>
      <c r="J187" s="5">
        <f t="shared" si="543"/>
        <v>6</v>
      </c>
      <c r="K187" s="5">
        <f t="shared" si="543"/>
        <v>10</v>
      </c>
      <c r="M187" s="10"/>
      <c r="N187" s="10">
        <f t="shared" si="528"/>
        <v>1161</v>
      </c>
      <c r="O187" s="10"/>
      <c r="Q187">
        <f t="shared" si="535"/>
        <v>48</v>
      </c>
      <c r="AJ187" s="1">
        <f>0.25</f>
        <v>0.25</v>
      </c>
      <c r="AK187" s="5">
        <f t="shared" ref="AK187:AM188" si="544">ROUNDDOWN($G187*AK$181,0)</f>
        <v>1</v>
      </c>
      <c r="AL187" s="5">
        <f t="shared" si="544"/>
        <v>2</v>
      </c>
      <c r="AM187" s="5">
        <f t="shared" si="544"/>
        <v>6</v>
      </c>
      <c r="AP187" s="10">
        <f t="shared" si="536"/>
        <v>1161</v>
      </c>
      <c r="BL187" s="1">
        <f>0.25</f>
        <v>0.25</v>
      </c>
      <c r="BM187" s="5">
        <f t="shared" ref="BM187:BO188" si="545">ROUNDDOWN($G187*BM$181,0)</f>
        <v>1</v>
      </c>
      <c r="BN187" s="5">
        <f t="shared" si="545"/>
        <v>2</v>
      </c>
      <c r="BO187" s="5">
        <f t="shared" si="545"/>
        <v>6</v>
      </c>
      <c r="BR187" s="10">
        <f t="shared" si="531"/>
        <v>1161</v>
      </c>
      <c r="CA187" s="1">
        <f>0.25</f>
        <v>0.25</v>
      </c>
      <c r="CB187" s="5">
        <f t="shared" ref="CB187:CD188" si="546">ROUNDDOWN($G187*CB$181,0)</f>
        <v>1</v>
      </c>
      <c r="CC187" s="5">
        <f t="shared" si="546"/>
        <v>2</v>
      </c>
      <c r="CD187" s="5">
        <f t="shared" si="546"/>
        <v>6</v>
      </c>
      <c r="CG187" s="10">
        <f t="shared" si="537"/>
        <v>1161</v>
      </c>
      <c r="CO187" s="22">
        <f>0.25</f>
        <v>0.25</v>
      </c>
      <c r="CP187" s="5">
        <f t="shared" ref="CP187:CR188" si="547">ROUNDDOWN($G187*CP$181,0)</f>
        <v>1</v>
      </c>
      <c r="CQ187" s="5">
        <f t="shared" si="547"/>
        <v>2</v>
      </c>
      <c r="CR187" s="5">
        <f t="shared" si="547"/>
        <v>6</v>
      </c>
      <c r="CU187" s="10">
        <f t="shared" si="538"/>
        <v>2739</v>
      </c>
      <c r="DB187" s="22">
        <f>0.25</f>
        <v>0.25</v>
      </c>
      <c r="DC187" s="5">
        <f t="shared" ref="DC187:DE189" si="548">ROUNDDOWN($G187*DC$181,0)</f>
        <v>1</v>
      </c>
      <c r="DD187" s="5">
        <f t="shared" si="548"/>
        <v>2</v>
      </c>
      <c r="DE187" s="5">
        <f t="shared" si="548"/>
        <v>6</v>
      </c>
      <c r="DH187" s="10">
        <f t="shared" si="539"/>
        <v>3106.2000000000003</v>
      </c>
      <c r="DS187" s="10">
        <f t="shared" si="540"/>
        <v>7926</v>
      </c>
      <c r="DT187">
        <f t="shared" si="541"/>
        <v>317.04000000000002</v>
      </c>
      <c r="EA187" s="10">
        <f t="shared" si="542"/>
        <v>7436.4000000000005</v>
      </c>
    </row>
    <row r="188" spans="7:131" x14ac:dyDescent="0.25">
      <c r="G188" s="21">
        <f>12/(12*7)</f>
        <v>0.14285714285714285</v>
      </c>
      <c r="H188" s="5">
        <f t="shared" si="543"/>
        <v>0</v>
      </c>
      <c r="I188" s="5">
        <f t="shared" si="543"/>
        <v>1</v>
      </c>
      <c r="J188" s="5">
        <f t="shared" si="543"/>
        <v>3</v>
      </c>
      <c r="K188" s="5">
        <f t="shared" si="543"/>
        <v>5</v>
      </c>
      <c r="M188" s="10"/>
      <c r="N188" s="10">
        <f t="shared" si="528"/>
        <v>580.5</v>
      </c>
      <c r="O188" s="10"/>
      <c r="Q188">
        <f t="shared" si="535"/>
        <v>84</v>
      </c>
      <c r="AJ188" s="21">
        <f>12/(12*7)</f>
        <v>0.14285714285714285</v>
      </c>
      <c r="AK188" s="5">
        <f t="shared" si="544"/>
        <v>0</v>
      </c>
      <c r="AL188" s="5">
        <f t="shared" si="544"/>
        <v>1</v>
      </c>
      <c r="AM188" s="5">
        <f t="shared" si="544"/>
        <v>3</v>
      </c>
      <c r="AP188" s="10">
        <f t="shared" si="536"/>
        <v>580.5</v>
      </c>
      <c r="BL188" s="21">
        <f>12/(12*7)</f>
        <v>0.14285714285714285</v>
      </c>
      <c r="BM188" s="5">
        <f t="shared" si="545"/>
        <v>0</v>
      </c>
      <c r="BN188" s="5">
        <f t="shared" si="545"/>
        <v>1</v>
      </c>
      <c r="BO188" s="5">
        <f t="shared" si="545"/>
        <v>3</v>
      </c>
      <c r="BR188" s="10">
        <f t="shared" si="531"/>
        <v>580.5</v>
      </c>
      <c r="CA188" s="21">
        <f>12/(12*7)</f>
        <v>0.14285714285714285</v>
      </c>
      <c r="CB188" s="5">
        <f t="shared" si="546"/>
        <v>0</v>
      </c>
      <c r="CC188" s="5">
        <f t="shared" si="546"/>
        <v>1</v>
      </c>
      <c r="CD188" s="5">
        <f t="shared" si="546"/>
        <v>3</v>
      </c>
      <c r="CG188" s="10">
        <f t="shared" si="537"/>
        <v>580.5</v>
      </c>
      <c r="CO188" s="23">
        <f>12/(12*7)</f>
        <v>0.14285714285714285</v>
      </c>
      <c r="CP188" s="5">
        <f t="shared" si="547"/>
        <v>0</v>
      </c>
      <c r="CQ188" s="5">
        <f t="shared" si="547"/>
        <v>1</v>
      </c>
      <c r="CR188" s="5">
        <f t="shared" si="547"/>
        <v>3</v>
      </c>
      <c r="CU188" s="10">
        <f t="shared" si="538"/>
        <v>1369.5</v>
      </c>
      <c r="DB188" s="23">
        <f>12/(12*7)</f>
        <v>0.14285714285714285</v>
      </c>
      <c r="DC188" s="5">
        <f t="shared" si="548"/>
        <v>0</v>
      </c>
      <c r="DD188" s="5">
        <f t="shared" si="548"/>
        <v>1</v>
      </c>
      <c r="DE188" s="5">
        <f t="shared" si="548"/>
        <v>3</v>
      </c>
      <c r="DH188" s="10">
        <f t="shared" si="539"/>
        <v>1553.1000000000001</v>
      </c>
      <c r="DS188" s="10">
        <f t="shared" si="540"/>
        <v>3963</v>
      </c>
      <c r="DT188">
        <f t="shared" si="541"/>
        <v>158.52000000000001</v>
      </c>
      <c r="EA188" s="10">
        <f t="shared" si="542"/>
        <v>3718.2000000000003</v>
      </c>
    </row>
    <row r="189" spans="7:131" x14ac:dyDescent="0.25">
      <c r="G189">
        <v>0.33</v>
      </c>
      <c r="DB189">
        <f>0.33</f>
        <v>0.33</v>
      </c>
      <c r="DC189" s="5">
        <f>ROUNDDOWN($G189*DC$181,0)</f>
        <v>1</v>
      </c>
      <c r="DD189" s="5">
        <f t="shared" si="548"/>
        <v>3</v>
      </c>
      <c r="DE189" s="5">
        <f t="shared" si="548"/>
        <v>8</v>
      </c>
      <c r="DS189" s="10">
        <f>DE188*$DS$179</f>
        <v>1981.5</v>
      </c>
      <c r="DT189">
        <f t="shared" si="541"/>
        <v>79.260000000000005</v>
      </c>
      <c r="EA189" s="10">
        <f t="shared" si="542"/>
        <v>1859.1000000000001</v>
      </c>
    </row>
    <row r="190" spans="7:131" x14ac:dyDescent="0.25">
      <c r="G190">
        <f t="shared" ref="G190:G196" si="549">12/G182</f>
        <v>3</v>
      </c>
      <c r="DB190">
        <v>6</v>
      </c>
      <c r="DE190" s="5">
        <f>ROUNDDOWN(DB190*DE$181,0)</f>
        <v>150</v>
      </c>
      <c r="DS190" s="10">
        <f>DE189*$DS$179</f>
        <v>5284</v>
      </c>
      <c r="DT190">
        <f t="shared" si="541"/>
        <v>211.36</v>
      </c>
    </row>
    <row r="191" spans="7:131" x14ac:dyDescent="0.25">
      <c r="G191">
        <f t="shared" si="549"/>
        <v>6</v>
      </c>
      <c r="DS191" s="10">
        <f>DE190*$DS$179</f>
        <v>99075</v>
      </c>
    </row>
    <row r="192" spans="7:131" x14ac:dyDescent="0.25">
      <c r="G192">
        <f t="shared" si="549"/>
        <v>12</v>
      </c>
    </row>
    <row r="193" spans="7:124" x14ac:dyDescent="0.25">
      <c r="G193">
        <f t="shared" si="549"/>
        <v>18</v>
      </c>
    </row>
    <row r="194" spans="7:124" x14ac:dyDescent="0.25">
      <c r="G194">
        <f t="shared" si="549"/>
        <v>24</v>
      </c>
    </row>
    <row r="195" spans="7:124" x14ac:dyDescent="0.25">
      <c r="G195">
        <f t="shared" si="549"/>
        <v>48</v>
      </c>
    </row>
    <row r="196" spans="7:124" x14ac:dyDescent="0.25">
      <c r="G196">
        <f t="shared" si="549"/>
        <v>84</v>
      </c>
    </row>
    <row r="197" spans="7:124" x14ac:dyDescent="0.25">
      <c r="DS197">
        <v>6</v>
      </c>
      <c r="DT197">
        <f>DS191/25</f>
        <v>3963</v>
      </c>
    </row>
    <row r="198" spans="7:124" x14ac:dyDescent="0.25">
      <c r="DS198">
        <v>4</v>
      </c>
      <c r="DT198">
        <v>2642</v>
      </c>
    </row>
    <row r="199" spans="7:124" x14ac:dyDescent="0.25">
      <c r="DS199">
        <v>2</v>
      </c>
      <c r="DT199">
        <v>1321</v>
      </c>
    </row>
    <row r="200" spans="7:124" x14ac:dyDescent="0.25">
      <c r="DS200">
        <v>1</v>
      </c>
      <c r="DT200">
        <v>660.5</v>
      </c>
    </row>
    <row r="201" spans="7:124" x14ac:dyDescent="0.25">
      <c r="DS201">
        <v>0.66666666666666663</v>
      </c>
      <c r="DT201">
        <v>422.72</v>
      </c>
    </row>
    <row r="202" spans="7:124" x14ac:dyDescent="0.25">
      <c r="DS202">
        <v>0.5</v>
      </c>
      <c r="DT202">
        <v>317.04000000000002</v>
      </c>
    </row>
    <row r="203" spans="7:124" x14ac:dyDescent="0.25">
      <c r="DS203">
        <v>0.25</v>
      </c>
      <c r="DT203">
        <v>158.52000000000001</v>
      </c>
    </row>
    <row r="204" spans="7:124" x14ac:dyDescent="0.25">
      <c r="DS204">
        <v>0.14285714285714285</v>
      </c>
      <c r="DT204">
        <v>79.260000000000005</v>
      </c>
    </row>
    <row r="205" spans="7:124" x14ac:dyDescent="0.25">
      <c r="DS205">
        <v>0.33</v>
      </c>
      <c r="DT205">
        <v>211.36</v>
      </c>
    </row>
  </sheetData>
  <mergeCells count="15">
    <mergeCell ref="DO1:EB1"/>
    <mergeCell ref="CA1:CN1"/>
    <mergeCell ref="BL1:BZ1"/>
    <mergeCell ref="A1:F1"/>
    <mergeCell ref="AJ1:BK1"/>
    <mergeCell ref="G1:AI1"/>
    <mergeCell ref="CO1:DA1"/>
    <mergeCell ref="DB1:DN1"/>
    <mergeCell ref="GU1:HH1"/>
    <mergeCell ref="HI1:HV1"/>
    <mergeCell ref="EC1:EP1"/>
    <mergeCell ref="EQ1:FD1"/>
    <mergeCell ref="FE1:FR1"/>
    <mergeCell ref="FS1:GF1"/>
    <mergeCell ref="GG1:GT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36B49-0D28-474B-B4D8-A6D223166485}">
  <sheetPr>
    <tabColor theme="7"/>
  </sheetPr>
  <dimension ref="A1:HV189"/>
  <sheetViews>
    <sheetView topLeftCell="CK1" zoomScale="70" zoomScaleNormal="70" workbookViewId="0">
      <pane ySplit="1" topLeftCell="A61" activePane="bottomLeft" state="frozen"/>
      <selection pane="bottomLeft" activeCell="CT91" sqref="CT91"/>
    </sheetView>
  </sheetViews>
  <sheetFormatPr defaultRowHeight="15" x14ac:dyDescent="0.25"/>
  <cols>
    <col min="6" max="6" width="9.140625" style="18"/>
    <col min="21" max="21" width="9.140625" style="18"/>
    <col min="35" max="35" width="9.140625" style="18"/>
    <col min="49" max="49" width="9.140625" style="18"/>
    <col min="63" max="63" width="9.140625" style="18"/>
    <col min="77" max="77" width="9.140625" style="18"/>
    <col min="91" max="91" width="9.140625" style="18"/>
    <col min="105" max="105" width="9.140625" style="18"/>
    <col min="119" max="119" width="9.140625" style="18"/>
    <col min="133" max="133" width="9.140625" style="18"/>
    <col min="147" max="147" width="9.140625" style="18"/>
    <col min="161" max="161" width="9.140625" style="18"/>
    <col min="175" max="175" width="9.140625" style="18"/>
    <col min="189" max="189" width="9.140625" style="18"/>
    <col min="195" max="195" width="11.140625" customWidth="1"/>
    <col min="203" max="203" width="9.140625" style="18"/>
    <col min="209" max="209" width="11.140625" customWidth="1"/>
    <col min="217" max="217" width="9.140625" style="18"/>
  </cols>
  <sheetData>
    <row r="1" spans="1:217" s="88" customFormat="1" ht="16.5" thickBot="1" x14ac:dyDescent="0.3">
      <c r="A1" s="86"/>
      <c r="F1" s="90"/>
      <c r="G1" s="124" t="s">
        <v>55</v>
      </c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33"/>
      <c r="V1" s="132" t="s">
        <v>135</v>
      </c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6"/>
      <c r="AJ1" s="132" t="s">
        <v>165</v>
      </c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6"/>
      <c r="AX1" s="132" t="s">
        <v>275</v>
      </c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6"/>
      <c r="BL1" s="132" t="s">
        <v>294</v>
      </c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6"/>
      <c r="BZ1" s="132" t="s">
        <v>303</v>
      </c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6"/>
      <c r="CN1" s="132" t="s">
        <v>311</v>
      </c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6"/>
      <c r="DB1" s="132" t="s">
        <v>740</v>
      </c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6"/>
      <c r="DP1" s="132" t="s">
        <v>741</v>
      </c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6"/>
      <c r="ED1" s="132" t="s">
        <v>742</v>
      </c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6"/>
      <c r="ER1" s="132" t="s">
        <v>743</v>
      </c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6"/>
      <c r="FF1" s="132" t="s">
        <v>744</v>
      </c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6"/>
      <c r="FT1" s="132" t="s">
        <v>745</v>
      </c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6"/>
      <c r="GH1" s="132" t="s">
        <v>746</v>
      </c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26"/>
      <c r="GV1" s="132" t="s">
        <v>747</v>
      </c>
      <c r="GW1" s="125"/>
      <c r="GX1" s="125"/>
      <c r="GY1" s="125"/>
      <c r="GZ1" s="125"/>
      <c r="HA1" s="125"/>
      <c r="HB1" s="125"/>
      <c r="HC1" s="125"/>
      <c r="HD1" s="125"/>
      <c r="HE1" s="125"/>
      <c r="HF1" s="125"/>
      <c r="HG1" s="125"/>
      <c r="HH1" s="125"/>
      <c r="HI1" s="126"/>
    </row>
    <row r="2" spans="1:217" x14ac:dyDescent="0.25">
      <c r="W2" t="s">
        <v>702</v>
      </c>
      <c r="Y2" t="s">
        <v>128</v>
      </c>
      <c r="AA2" t="s">
        <v>1143</v>
      </c>
      <c r="AK2" t="s">
        <v>702</v>
      </c>
      <c r="AM2" t="s">
        <v>128</v>
      </c>
      <c r="AO2" t="s">
        <v>1143</v>
      </c>
      <c r="AY2" t="s">
        <v>702</v>
      </c>
      <c r="BA2" t="s">
        <v>128</v>
      </c>
      <c r="BC2" t="s">
        <v>1143</v>
      </c>
      <c r="BM2" s="10" t="s">
        <v>294</v>
      </c>
      <c r="BN2" t="s">
        <v>56</v>
      </c>
      <c r="BO2" t="s">
        <v>60</v>
      </c>
      <c r="BQ2" t="s">
        <v>83</v>
      </c>
      <c r="BR2">
        <v>0.02</v>
      </c>
      <c r="BS2" t="s">
        <v>37</v>
      </c>
      <c r="BV2" t="s">
        <v>61</v>
      </c>
      <c r="CA2" s="10" t="s">
        <v>303</v>
      </c>
      <c r="CB2" t="s">
        <v>56</v>
      </c>
      <c r="CC2" t="s">
        <v>60</v>
      </c>
      <c r="CE2" t="s">
        <v>83</v>
      </c>
      <c r="CF2">
        <v>0.02</v>
      </c>
      <c r="CG2" t="s">
        <v>37</v>
      </c>
      <c r="CJ2" t="s">
        <v>61</v>
      </c>
      <c r="CO2" s="14" t="s">
        <v>311</v>
      </c>
      <c r="CP2" s="6" t="s">
        <v>56</v>
      </c>
      <c r="CQ2" s="6" t="s">
        <v>60</v>
      </c>
      <c r="CR2" s="6"/>
      <c r="CS2" s="6" t="s">
        <v>83</v>
      </c>
      <c r="CT2" s="6">
        <v>0.02</v>
      </c>
      <c r="CU2" s="6" t="s">
        <v>37</v>
      </c>
      <c r="CV2" s="6"/>
      <c r="CX2" t="s">
        <v>61</v>
      </c>
      <c r="DC2" s="14" t="s">
        <v>311</v>
      </c>
      <c r="DD2" s="6" t="s">
        <v>56</v>
      </c>
      <c r="DE2" s="6" t="s">
        <v>60</v>
      </c>
      <c r="DF2" s="6"/>
      <c r="DG2" s="6" t="s">
        <v>83</v>
      </c>
      <c r="DH2" s="6">
        <v>0.02</v>
      </c>
      <c r="DI2" s="6" t="s">
        <v>37</v>
      </c>
      <c r="DJ2" s="6"/>
      <c r="DL2" t="s">
        <v>61</v>
      </c>
      <c r="DQ2" s="14"/>
      <c r="DR2" s="6"/>
      <c r="DS2" s="6"/>
      <c r="DT2" s="6"/>
      <c r="DU2" s="6"/>
      <c r="DV2" s="6"/>
      <c r="DW2" s="6"/>
      <c r="DX2" s="6"/>
      <c r="DZ2" t="s">
        <v>61</v>
      </c>
      <c r="EE2" s="14" t="s">
        <v>311</v>
      </c>
      <c r="EF2" s="6" t="s">
        <v>56</v>
      </c>
      <c r="EG2" s="6" t="s">
        <v>60</v>
      </c>
      <c r="EH2" s="6"/>
      <c r="EI2" s="6" t="s">
        <v>83</v>
      </c>
      <c r="EJ2" s="6">
        <v>0.02</v>
      </c>
      <c r="EK2" s="6" t="s">
        <v>37</v>
      </c>
      <c r="EL2" s="6"/>
      <c r="EN2" t="s">
        <v>61</v>
      </c>
      <c r="ES2" s="14"/>
      <c r="ET2" s="6"/>
      <c r="EU2" s="6"/>
      <c r="EV2" s="6"/>
      <c r="EW2" s="6"/>
      <c r="EX2" s="6"/>
      <c r="EY2" s="6"/>
      <c r="EZ2" s="6"/>
      <c r="FB2" t="s">
        <v>61</v>
      </c>
      <c r="FG2" s="14"/>
      <c r="FH2" s="6"/>
      <c r="FI2" s="6"/>
      <c r="FJ2" s="6"/>
      <c r="FK2" s="6"/>
      <c r="FL2" s="6"/>
      <c r="FP2" t="s">
        <v>61</v>
      </c>
      <c r="FU2" s="14" t="s">
        <v>311</v>
      </c>
      <c r="FV2" s="6" t="s">
        <v>56</v>
      </c>
      <c r="FW2" s="6" t="s">
        <v>60</v>
      </c>
      <c r="FX2" s="6"/>
      <c r="FY2" s="6" t="s">
        <v>83</v>
      </c>
      <c r="FZ2" s="6">
        <v>0.02</v>
      </c>
      <c r="GA2" s="6" t="s">
        <v>37</v>
      </c>
      <c r="GB2" s="6"/>
      <c r="GD2" t="s">
        <v>61</v>
      </c>
      <c r="GI2" s="14"/>
      <c r="GJ2" s="6"/>
      <c r="GK2" s="6"/>
      <c r="GL2" s="6"/>
      <c r="GM2" s="6"/>
      <c r="GN2" s="6"/>
      <c r="GO2" s="6"/>
      <c r="GP2" s="6"/>
      <c r="GR2" t="s">
        <v>61</v>
      </c>
      <c r="GW2" s="14"/>
      <c r="GX2" s="6"/>
      <c r="GY2" s="6"/>
      <c r="GZ2" s="6"/>
      <c r="HA2" s="6"/>
      <c r="HB2" s="6"/>
      <c r="HC2" s="6"/>
      <c r="HD2" s="6"/>
      <c r="HF2" t="s">
        <v>61</v>
      </c>
    </row>
    <row r="3" spans="1:217" x14ac:dyDescent="0.25">
      <c r="A3" t="s">
        <v>61</v>
      </c>
      <c r="G3" t="str">
        <f>'Septic Tank - BS'!G3</f>
        <v>5 PE</v>
      </c>
      <c r="H3" t="str">
        <f>'Septic Tank - BS'!H3</f>
        <v>Desludging every 6 months</v>
      </c>
      <c r="I3" t="str">
        <f>'Septic Tank - BS'!I3</f>
        <v>Dry Conditions</v>
      </c>
      <c r="K3" t="str">
        <f>'Septic Tank - BS'!K3</f>
        <v>Inflation</v>
      </c>
      <c r="W3" t="s">
        <v>80</v>
      </c>
      <c r="X3" t="s">
        <v>2</v>
      </c>
      <c r="Y3" t="s">
        <v>81</v>
      </c>
      <c r="Z3" t="s">
        <v>82</v>
      </c>
      <c r="AA3" t="s">
        <v>59</v>
      </c>
      <c r="AE3" t="s">
        <v>61</v>
      </c>
      <c r="AK3" t="s">
        <v>80</v>
      </c>
      <c r="AL3" t="s">
        <v>2</v>
      </c>
      <c r="AM3" t="s">
        <v>81</v>
      </c>
      <c r="AN3" t="s">
        <v>82</v>
      </c>
      <c r="AO3" t="s">
        <v>59</v>
      </c>
      <c r="AT3" t="s">
        <v>61</v>
      </c>
      <c r="AY3" t="s">
        <v>80</v>
      </c>
      <c r="AZ3" t="s">
        <v>2</v>
      </c>
      <c r="BA3" t="s">
        <v>81</v>
      </c>
      <c r="BB3" t="s">
        <v>82</v>
      </c>
      <c r="BC3" t="s">
        <v>59</v>
      </c>
      <c r="BH3" t="s">
        <v>61</v>
      </c>
      <c r="BM3" t="s">
        <v>22</v>
      </c>
      <c r="BV3" t="s">
        <v>142</v>
      </c>
      <c r="CA3" t="s">
        <v>22</v>
      </c>
      <c r="CC3" t="s">
        <v>320</v>
      </c>
      <c r="CJ3" t="s">
        <v>142</v>
      </c>
      <c r="CO3" s="6" t="s">
        <v>22</v>
      </c>
      <c r="CP3" s="6"/>
      <c r="CQ3" s="6"/>
      <c r="CR3" s="6"/>
      <c r="CS3" s="6"/>
      <c r="CT3" s="6"/>
      <c r="CU3" s="6"/>
      <c r="CV3" s="6"/>
      <c r="CX3" t="s">
        <v>142</v>
      </c>
      <c r="DC3" s="6" t="s">
        <v>22</v>
      </c>
      <c r="DD3" s="6"/>
      <c r="DE3" s="6"/>
      <c r="DF3" s="6"/>
      <c r="DG3" s="6"/>
      <c r="DH3" s="6"/>
      <c r="DI3" s="6"/>
      <c r="DJ3" s="6"/>
      <c r="DL3" t="s">
        <v>142</v>
      </c>
      <c r="DQ3" t="s">
        <v>144</v>
      </c>
      <c r="DS3" t="s">
        <v>710</v>
      </c>
      <c r="DX3" s="6"/>
      <c r="DZ3" t="s">
        <v>142</v>
      </c>
      <c r="EE3" s="6" t="s">
        <v>22</v>
      </c>
      <c r="EF3" s="6"/>
      <c r="EG3" s="6"/>
      <c r="EH3" s="6"/>
      <c r="EI3" s="6"/>
      <c r="EJ3" s="6"/>
      <c r="EK3" s="6"/>
      <c r="EL3" s="6"/>
      <c r="EN3" t="s">
        <v>142</v>
      </c>
      <c r="ES3" t="s">
        <v>144</v>
      </c>
      <c r="EU3" t="s">
        <v>710</v>
      </c>
      <c r="EZ3" s="6"/>
      <c r="FB3" t="s">
        <v>142</v>
      </c>
      <c r="FG3" t="s">
        <v>144</v>
      </c>
      <c r="FI3" t="s">
        <v>710</v>
      </c>
      <c r="FP3" t="s">
        <v>142</v>
      </c>
      <c r="FU3" s="6" t="s">
        <v>22</v>
      </c>
      <c r="FV3" s="6"/>
      <c r="FW3" s="6"/>
      <c r="FX3" s="6"/>
      <c r="FY3" s="6"/>
      <c r="FZ3" s="6"/>
      <c r="GA3" s="6"/>
      <c r="GB3" s="6"/>
      <c r="GD3" t="s">
        <v>142</v>
      </c>
      <c r="GI3" t="s">
        <v>144</v>
      </c>
      <c r="GK3" t="s">
        <v>710</v>
      </c>
      <c r="GP3" s="6"/>
      <c r="GR3" t="s">
        <v>142</v>
      </c>
      <c r="GW3" t="s">
        <v>144</v>
      </c>
      <c r="GY3" t="s">
        <v>710</v>
      </c>
      <c r="HD3" s="6"/>
      <c r="HF3" t="s">
        <v>142</v>
      </c>
    </row>
    <row r="4" spans="1:217" x14ac:dyDescent="0.25">
      <c r="A4" t="str">
        <f>'Septic Tank Design'!C3</f>
        <v>PE</v>
      </c>
      <c r="B4" t="str">
        <f>'Septic Tank Design'!F3</f>
        <v>Scottish Water Standard</v>
      </c>
      <c r="D4" t="s">
        <v>1155</v>
      </c>
      <c r="G4" t="str">
        <f>'Septic Tank - BS'!G4</f>
        <v>Construction Costs</v>
      </c>
      <c r="W4" t="s">
        <v>1144</v>
      </c>
      <c r="X4">
        <v>1</v>
      </c>
      <c r="Y4">
        <f>Index!C24</f>
        <v>1354.8</v>
      </c>
      <c r="Z4">
        <f>Y4</f>
        <v>1354.8</v>
      </c>
      <c r="AA4">
        <f>X4*Z4</f>
        <v>1354.8</v>
      </c>
      <c r="AE4" t="s">
        <v>142</v>
      </c>
      <c r="AK4" t="s">
        <v>1149</v>
      </c>
      <c r="AL4">
        <v>1</v>
      </c>
      <c r="AM4">
        <f>Index!C25</f>
        <v>1678.8</v>
      </c>
      <c r="AN4">
        <f>AM4</f>
        <v>1678.8</v>
      </c>
      <c r="AO4">
        <f>AN4*AL4</f>
        <v>1678.8</v>
      </c>
      <c r="AT4" t="s">
        <v>142</v>
      </c>
      <c r="AY4" t="s">
        <v>1149</v>
      </c>
      <c r="AZ4">
        <v>1</v>
      </c>
      <c r="BA4">
        <f>Index!C26</f>
        <v>3478.8</v>
      </c>
      <c r="BB4">
        <f>BA4</f>
        <v>3478.8</v>
      </c>
      <c r="BC4">
        <f>AZ4*BB4</f>
        <v>3478.8</v>
      </c>
      <c r="BH4" t="s">
        <v>142</v>
      </c>
      <c r="BM4" t="s">
        <v>80</v>
      </c>
      <c r="BN4" t="s">
        <v>2</v>
      </c>
      <c r="BO4" t="s">
        <v>81</v>
      </c>
      <c r="BP4" t="s">
        <v>82</v>
      </c>
      <c r="BQ4" t="s">
        <v>59</v>
      </c>
      <c r="CA4" t="s">
        <v>80</v>
      </c>
      <c r="CB4" t="s">
        <v>2</v>
      </c>
      <c r="CC4" t="s">
        <v>81</v>
      </c>
      <c r="CD4" t="s">
        <v>82</v>
      </c>
      <c r="CE4" t="s">
        <v>59</v>
      </c>
      <c r="CO4" s="6" t="s">
        <v>80</v>
      </c>
      <c r="CP4" s="6" t="s">
        <v>2</v>
      </c>
      <c r="CQ4" s="6" t="s">
        <v>81</v>
      </c>
      <c r="CR4" s="6" t="s">
        <v>82</v>
      </c>
      <c r="CS4" s="6" t="s">
        <v>59</v>
      </c>
      <c r="CT4" s="6"/>
      <c r="CU4" s="6"/>
      <c r="CV4" s="6"/>
      <c r="DC4" s="6" t="s">
        <v>80</v>
      </c>
      <c r="DD4" s="6" t="s">
        <v>2</v>
      </c>
      <c r="DE4" s="6" t="s">
        <v>81</v>
      </c>
      <c r="DF4" s="6" t="s">
        <v>82</v>
      </c>
      <c r="DG4" s="6" t="s">
        <v>59</v>
      </c>
      <c r="DH4" s="6"/>
      <c r="DI4" s="6"/>
      <c r="DJ4" s="6"/>
      <c r="DQ4">
        <v>59</v>
      </c>
      <c r="DR4" t="s">
        <v>71</v>
      </c>
      <c r="DS4">
        <v>2460</v>
      </c>
      <c r="DX4" s="6"/>
      <c r="EE4" s="6" t="s">
        <v>80</v>
      </c>
      <c r="EF4" s="6" t="s">
        <v>2</v>
      </c>
      <c r="EG4" s="6" t="s">
        <v>81</v>
      </c>
      <c r="EH4" s="6" t="s">
        <v>82</v>
      </c>
      <c r="EI4" s="6" t="s">
        <v>59</v>
      </c>
      <c r="EJ4" s="6"/>
      <c r="EK4" s="6"/>
      <c r="EL4" s="6"/>
      <c r="ES4">
        <v>59</v>
      </c>
      <c r="ET4" t="s">
        <v>71</v>
      </c>
      <c r="EU4">
        <v>2460</v>
      </c>
      <c r="EZ4" s="6"/>
      <c r="FG4">
        <v>38</v>
      </c>
      <c r="FH4" t="s">
        <v>71</v>
      </c>
      <c r="FI4">
        <v>1626</v>
      </c>
      <c r="FU4" s="6" t="s">
        <v>80</v>
      </c>
      <c r="FV4" s="6" t="s">
        <v>2</v>
      </c>
      <c r="FW4" s="6" t="s">
        <v>81</v>
      </c>
      <c r="FX4" s="6" t="s">
        <v>82</v>
      </c>
      <c r="FY4" s="6" t="s">
        <v>59</v>
      </c>
      <c r="FZ4" s="6"/>
      <c r="GA4" s="6"/>
      <c r="GB4" s="6"/>
      <c r="GI4">
        <v>59</v>
      </c>
      <c r="GJ4" t="s">
        <v>71</v>
      </c>
      <c r="GK4">
        <v>2460</v>
      </c>
      <c r="GP4" s="6"/>
      <c r="GW4">
        <v>59</v>
      </c>
      <c r="GX4" t="s">
        <v>71</v>
      </c>
      <c r="GY4">
        <v>2460</v>
      </c>
      <c r="HD4" s="6"/>
    </row>
    <row r="5" spans="1:217" x14ac:dyDescent="0.25">
      <c r="A5">
        <f>'Septic Tank Design'!C4</f>
        <v>5</v>
      </c>
      <c r="B5">
        <f>'Septic Tank Design'!F4</f>
        <v>1.5</v>
      </c>
      <c r="D5">
        <f>'Septic Tank Design'!K4</f>
        <v>1</v>
      </c>
      <c r="G5" t="str">
        <f>'Septic Tank - BS'!G5</f>
        <v>Item</v>
      </c>
      <c r="H5" t="str">
        <f>'Septic Tank - BS'!H5</f>
        <v>Unit</v>
      </c>
      <c r="I5" t="str">
        <f>'Septic Tank - BS'!I5</f>
        <v>Ref</v>
      </c>
      <c r="J5" t="str">
        <f>'Septic Tank - BS'!J5</f>
        <v>Ref (2021)</v>
      </c>
      <c r="K5" t="str">
        <f>'Septic Tank - BS'!K5</f>
        <v>Cost (£)</v>
      </c>
      <c r="W5" t="s">
        <v>152</v>
      </c>
      <c r="X5">
        <f>AF12</f>
        <v>10.110240000000001</v>
      </c>
      <c r="Y5">
        <f>Index!$C$69</f>
        <v>11.9580460758</v>
      </c>
      <c r="Z5">
        <f>Index!$C$69</f>
        <v>11.9580460758</v>
      </c>
      <c r="AA5">
        <f>X5*Z5</f>
        <v>120.8987157573962</v>
      </c>
      <c r="AK5" t="s">
        <v>152</v>
      </c>
      <c r="AL5">
        <f>AU14</f>
        <v>21.105512999999998</v>
      </c>
      <c r="AM5">
        <f>Index!$C$69</f>
        <v>11.9580460758</v>
      </c>
      <c r="AN5">
        <f>Index!$C$69</f>
        <v>11.9580460758</v>
      </c>
      <c r="AO5">
        <f t="shared" ref="AO5:AO7" si="0">AN5*AL5</f>
        <v>252.38069690739587</v>
      </c>
      <c r="AY5" t="s">
        <v>152</v>
      </c>
      <c r="AZ5">
        <f>BI14</f>
        <v>24.522896999999993</v>
      </c>
      <c r="BA5">
        <f>Index!$C$69</f>
        <v>11.9580460758</v>
      </c>
      <c r="BB5">
        <f>Index!$C$69</f>
        <v>11.9580460758</v>
      </c>
      <c r="BC5">
        <f>BB5*AZ5</f>
        <v>293.24593223809751</v>
      </c>
      <c r="BM5" t="s">
        <v>291</v>
      </c>
      <c r="BN5">
        <v>1</v>
      </c>
      <c r="BO5">
        <f>Index!$C$13</f>
        <v>3114</v>
      </c>
      <c r="BP5">
        <f>BO5</f>
        <v>3114</v>
      </c>
      <c r="BQ5">
        <f>BP5*BN5</f>
        <v>3114</v>
      </c>
      <c r="BV5" t="s">
        <v>145</v>
      </c>
      <c r="BW5">
        <v>2650</v>
      </c>
      <c r="CA5" t="s">
        <v>291</v>
      </c>
      <c r="CB5">
        <v>1</v>
      </c>
      <c r="CC5">
        <f>Index!$C$14</f>
        <v>4861</v>
      </c>
      <c r="CD5">
        <f>CC5</f>
        <v>4861</v>
      </c>
      <c r="CE5">
        <f>CD5*CB5</f>
        <v>4861</v>
      </c>
      <c r="CJ5" t="s">
        <v>145</v>
      </c>
      <c r="CK5">
        <v>3710</v>
      </c>
      <c r="CO5" s="6" t="s">
        <v>291</v>
      </c>
      <c r="CP5" s="6">
        <v>1</v>
      </c>
      <c r="CQ5" s="6">
        <f>Index!$C$27</f>
        <v>7726.8</v>
      </c>
      <c r="CR5" s="6">
        <f>CQ5</f>
        <v>7726.8</v>
      </c>
      <c r="CS5" s="6">
        <f>CR5*CP5</f>
        <v>7726.8</v>
      </c>
      <c r="CT5" s="6"/>
      <c r="CU5" s="6"/>
      <c r="CV5" s="6"/>
      <c r="CX5" t="s">
        <v>145</v>
      </c>
      <c r="CY5">
        <v>3710</v>
      </c>
      <c r="DC5" s="6" t="s">
        <v>291</v>
      </c>
      <c r="DD5" s="6">
        <v>1</v>
      </c>
      <c r="DE5" s="6">
        <f>Index!$C$27</f>
        <v>7726.8</v>
      </c>
      <c r="DF5" s="6">
        <f>DE5</f>
        <v>7726.8</v>
      </c>
      <c r="DG5" s="6">
        <f>DF5*DD5</f>
        <v>7726.8</v>
      </c>
      <c r="DH5" s="6"/>
      <c r="DI5" s="6"/>
      <c r="DJ5" s="6"/>
      <c r="DL5" t="s">
        <v>145</v>
      </c>
      <c r="DM5">
        <v>3710</v>
      </c>
      <c r="DX5" s="6"/>
      <c r="DZ5" t="s">
        <v>145</v>
      </c>
      <c r="EA5">
        <v>3710</v>
      </c>
      <c r="EE5" s="6" t="s">
        <v>291</v>
      </c>
      <c r="EF5" s="6">
        <v>1</v>
      </c>
      <c r="EG5" s="6">
        <f>Index!$C$27</f>
        <v>7726.8</v>
      </c>
      <c r="EH5" s="6">
        <f>EG5</f>
        <v>7726.8</v>
      </c>
      <c r="EI5" s="6">
        <f>EH5*EF5</f>
        <v>7726.8</v>
      </c>
      <c r="EJ5" s="6"/>
      <c r="EK5" s="6"/>
      <c r="EL5" s="6"/>
      <c r="EN5" t="s">
        <v>145</v>
      </c>
      <c r="EO5">
        <v>3710</v>
      </c>
      <c r="EZ5" s="6"/>
      <c r="FB5" t="s">
        <v>145</v>
      </c>
      <c r="FC5">
        <v>3710</v>
      </c>
      <c r="FP5" t="s">
        <v>145</v>
      </c>
      <c r="FQ5">
        <v>3710</v>
      </c>
      <c r="FU5" s="6" t="s">
        <v>291</v>
      </c>
      <c r="FV5" s="6">
        <v>1</v>
      </c>
      <c r="FW5" s="6">
        <f>Index!$C$27</f>
        <v>7726.8</v>
      </c>
      <c r="FX5" s="6">
        <f>FW5</f>
        <v>7726.8</v>
      </c>
      <c r="FY5" s="6">
        <f>FX5*FV5</f>
        <v>7726.8</v>
      </c>
      <c r="FZ5" s="6"/>
      <c r="GA5" s="6"/>
      <c r="GB5" s="6"/>
      <c r="GD5" t="s">
        <v>145</v>
      </c>
      <c r="GE5">
        <v>3710</v>
      </c>
      <c r="GP5" s="6"/>
      <c r="GR5" t="s">
        <v>145</v>
      </c>
      <c r="GS5">
        <v>3710</v>
      </c>
      <c r="HD5" s="6"/>
      <c r="HF5" t="s">
        <v>145</v>
      </c>
      <c r="HG5">
        <v>3710</v>
      </c>
    </row>
    <row r="6" spans="1:217" x14ac:dyDescent="0.25">
      <c r="A6">
        <f>'Septic Tank Design'!C5</f>
        <v>10</v>
      </c>
      <c r="B6">
        <f>'Septic Tank Design'!F5</f>
        <v>3</v>
      </c>
      <c r="D6">
        <f>'Septic Tank Design'!K5</f>
        <v>1</v>
      </c>
      <c r="G6" t="str">
        <f>'Septic Tank - BS'!G6</f>
        <v>2800 L Septic Tank (Onion)</v>
      </c>
      <c r="H6">
        <f>'Septic Tank - BS'!H6</f>
        <v>1</v>
      </c>
      <c r="I6">
        <f>'Septic Tank - BS'!I6</f>
        <v>596.4</v>
      </c>
      <c r="J6">
        <f>'Septic Tank - BS'!J6</f>
        <v>596.4</v>
      </c>
      <c r="K6">
        <f>'Septic Tank - BS'!K6</f>
        <v>596.4</v>
      </c>
      <c r="W6" t="s">
        <v>1148</v>
      </c>
      <c r="X6">
        <f>AF12-3</f>
        <v>7.110240000000001</v>
      </c>
      <c r="Y6">
        <v>36.718627421191144</v>
      </c>
      <c r="Z6">
        <v>38.966101168387411</v>
      </c>
      <c r="AA6">
        <f t="shared" ref="AA6" si="1">X6*Z6</f>
        <v>277.05833117151496</v>
      </c>
      <c r="AE6" t="s">
        <v>145</v>
      </c>
      <c r="AF6">
        <v>1.5</v>
      </c>
      <c r="AK6" t="s">
        <v>100</v>
      </c>
      <c r="AL6">
        <f>AU11*(AU7+AU10)*(AU8+AU10)</f>
        <v>1.0047149999999998</v>
      </c>
      <c r="AM6">
        <f>Index!$C$53</f>
        <v>99.508928571428555</v>
      </c>
      <c r="AN6">
        <f>AM6</f>
        <v>99.508928571428555</v>
      </c>
      <c r="AO6">
        <f t="shared" si="0"/>
        <v>99.978113169642825</v>
      </c>
      <c r="AT6" t="s">
        <v>145</v>
      </c>
      <c r="AU6">
        <v>2.38</v>
      </c>
      <c r="AY6" t="s">
        <v>100</v>
      </c>
      <c r="AZ6">
        <f>(BI7+BI10)*(BI8+BI10)*BI11</f>
        <v>2.8404899999999991</v>
      </c>
      <c r="BA6">
        <f>Index!$C$53</f>
        <v>99.508928571428555</v>
      </c>
      <c r="BB6">
        <f>BA6</f>
        <v>99.508928571428555</v>
      </c>
      <c r="BC6">
        <f>BB6*AZ6</f>
        <v>282.65411651785701</v>
      </c>
      <c r="BH6" t="s">
        <v>145</v>
      </c>
      <c r="BI6">
        <v>2.29</v>
      </c>
      <c r="BM6" t="s">
        <v>152</v>
      </c>
      <c r="BN6">
        <f>BW11</f>
        <v>47.372456999999997</v>
      </c>
      <c r="BO6">
        <f>Index!$C$69</f>
        <v>11.9580460758</v>
      </c>
      <c r="BP6">
        <f>Index!$C$69</f>
        <v>11.9580460758</v>
      </c>
      <c r="BQ6">
        <f>BP6*BN6</f>
        <v>566.48202352985425</v>
      </c>
      <c r="BV6" t="s">
        <v>150</v>
      </c>
      <c r="BW6">
        <v>5780</v>
      </c>
      <c r="CA6" t="s">
        <v>152</v>
      </c>
      <c r="CB6">
        <f>CK11</f>
        <v>73.250910599999997</v>
      </c>
      <c r="CC6">
        <f>Index!$C$69</f>
        <v>11.9580460758</v>
      </c>
      <c r="CD6">
        <f>Index!$C$69</f>
        <v>11.9580460758</v>
      </c>
      <c r="CE6">
        <f>CD6*CB6</f>
        <v>875.93776404910659</v>
      </c>
      <c r="CJ6" t="s">
        <v>150</v>
      </c>
      <c r="CK6">
        <v>5073</v>
      </c>
      <c r="CO6" s="6" t="s">
        <v>152</v>
      </c>
      <c r="CP6" s="6">
        <f>CY11</f>
        <v>109.38445919999999</v>
      </c>
      <c r="CQ6">
        <f>Index!$C$69</f>
        <v>11.9580460758</v>
      </c>
      <c r="CR6">
        <f>Index!$C$69</f>
        <v>11.9580460758</v>
      </c>
      <c r="CS6" s="6">
        <f>CR6*CP6</f>
        <v>1308.0244030900651</v>
      </c>
      <c r="CT6" s="6"/>
      <c r="CU6" s="6"/>
      <c r="CV6" s="6"/>
      <c r="CX6" t="s">
        <v>150</v>
      </c>
      <c r="CY6">
        <v>7376</v>
      </c>
      <c r="DC6" s="6" t="s">
        <v>152</v>
      </c>
      <c r="DD6" s="6">
        <f>DM11</f>
        <v>141.03683280000001</v>
      </c>
      <c r="DE6">
        <f>Index!$C$69</f>
        <v>11.9580460758</v>
      </c>
      <c r="DF6">
        <f>Index!$C$69</f>
        <v>11.9580460758</v>
      </c>
      <c r="DG6" s="6">
        <f>DF6*DD6</f>
        <v>1686.5249450073009</v>
      </c>
      <c r="DH6" s="6"/>
      <c r="DI6" s="6"/>
      <c r="DJ6" s="6"/>
      <c r="DL6" t="s">
        <v>150</v>
      </c>
      <c r="DM6">
        <v>9684</v>
      </c>
      <c r="DX6" s="6"/>
      <c r="DZ6" t="s">
        <v>150</v>
      </c>
      <c r="EA6">
        <v>11991</v>
      </c>
      <c r="EE6" s="6" t="s">
        <v>152</v>
      </c>
      <c r="EF6" s="6">
        <f>EO11</f>
        <v>141.03683280000001</v>
      </c>
      <c r="EG6">
        <f>Index!$C$69</f>
        <v>11.9580460758</v>
      </c>
      <c r="EH6">
        <f>Index!$C$69</f>
        <v>11.9580460758</v>
      </c>
      <c r="EI6" s="6">
        <f>EH6*EF6</f>
        <v>1686.5249450073009</v>
      </c>
      <c r="EJ6" s="6"/>
      <c r="EK6" s="6"/>
      <c r="EL6" s="6"/>
      <c r="EN6" t="s">
        <v>150</v>
      </c>
      <c r="EO6">
        <v>9684</v>
      </c>
      <c r="EZ6" s="6"/>
      <c r="FB6" t="s">
        <v>150</v>
      </c>
      <c r="FC6">
        <v>11991</v>
      </c>
      <c r="FP6" t="s">
        <v>150</v>
      </c>
      <c r="FQ6">
        <v>8150</v>
      </c>
      <c r="FU6" s="6" t="s">
        <v>152</v>
      </c>
      <c r="FV6" s="6">
        <f>GE11</f>
        <v>141.03683280000001</v>
      </c>
      <c r="FW6">
        <f>Index!$C$69</f>
        <v>11.9580460758</v>
      </c>
      <c r="FX6">
        <f>Index!$C$69</f>
        <v>11.9580460758</v>
      </c>
      <c r="FY6" s="6">
        <f>FX6*FV6</f>
        <v>1686.5249450073009</v>
      </c>
      <c r="FZ6" s="6"/>
      <c r="GA6" s="6"/>
      <c r="GB6" s="6"/>
      <c r="GD6" t="s">
        <v>150</v>
      </c>
      <c r="GE6">
        <v>9684</v>
      </c>
      <c r="GP6" s="6"/>
      <c r="GR6" t="s">
        <v>150</v>
      </c>
      <c r="GS6">
        <v>11991</v>
      </c>
      <c r="HD6" s="6"/>
      <c r="HF6" t="s">
        <v>150</v>
      </c>
      <c r="HG6">
        <v>11991</v>
      </c>
    </row>
    <row r="7" spans="1:217" x14ac:dyDescent="0.25">
      <c r="A7">
        <f>'Septic Tank Design'!C6</f>
        <v>20</v>
      </c>
      <c r="B7">
        <f>'Septic Tank Design'!F6</f>
        <v>6</v>
      </c>
      <c r="D7">
        <f>'Septic Tank Design'!K6</f>
        <v>1</v>
      </c>
      <c r="G7" t="str">
        <f>'Septic Tank - BS'!G7</f>
        <v>Excation</v>
      </c>
      <c r="H7">
        <f>'Septic Tank - BS'!H7</f>
        <v>18.118749999999999</v>
      </c>
      <c r="I7">
        <f>'Septic Tank - BS'!I7</f>
        <v>11.9580460758</v>
      </c>
      <c r="J7">
        <f>'Septic Tank - BS'!J7</f>
        <v>11.9580460758</v>
      </c>
      <c r="K7">
        <f>'Septic Tank - BS'!K7</f>
        <v>216.66484733590124</v>
      </c>
      <c r="AE7" t="s">
        <v>116</v>
      </c>
      <c r="AF7">
        <v>1.47</v>
      </c>
      <c r="AK7" t="s">
        <v>1148</v>
      </c>
      <c r="AL7">
        <f>AL5-AL6-6.5</f>
        <v>13.600797999999998</v>
      </c>
      <c r="AM7">
        <v>36.718627421191144</v>
      </c>
      <c r="AN7">
        <v>38.966101168387411</v>
      </c>
      <c r="AO7">
        <f t="shared" si="0"/>
        <v>529.97007083880101</v>
      </c>
      <c r="AT7" t="s">
        <v>116</v>
      </c>
      <c r="AU7">
        <v>2.19</v>
      </c>
      <c r="AY7" t="s">
        <v>1148</v>
      </c>
      <c r="AZ7">
        <f>AZ5-AZ6-9.15</f>
        <v>12.532406999999994</v>
      </c>
      <c r="BA7">
        <v>36.718627421191144</v>
      </c>
      <c r="BB7">
        <v>38.966101168387411</v>
      </c>
      <c r="BC7">
        <f t="shared" ref="BC7" si="2">BB7*AZ7</f>
        <v>488.33903904540631</v>
      </c>
      <c r="BH7" t="s">
        <v>116</v>
      </c>
      <c r="BI7">
        <v>1.92</v>
      </c>
      <c r="BM7" t="s">
        <v>100</v>
      </c>
      <c r="BN7">
        <f>BW13</f>
        <v>3.3240780000000001</v>
      </c>
      <c r="BO7">
        <f>Index!$C$53</f>
        <v>99.508928571428555</v>
      </c>
      <c r="BP7">
        <f>BO7</f>
        <v>99.508928571428555</v>
      </c>
      <c r="BQ7">
        <f>BP7*BN7</f>
        <v>330.77544026785711</v>
      </c>
      <c r="BV7" t="s">
        <v>116</v>
      </c>
      <c r="BW7">
        <v>1917</v>
      </c>
      <c r="CA7" t="s">
        <v>100</v>
      </c>
      <c r="CB7">
        <f>CK13</f>
        <v>3.9873780000000001</v>
      </c>
      <c r="CC7">
        <f>Index!$C$53</f>
        <v>99.508928571428555</v>
      </c>
      <c r="CD7">
        <f>CC7</f>
        <v>99.508928571428555</v>
      </c>
      <c r="CE7">
        <f>CD7*CB7</f>
        <v>396.77971258928568</v>
      </c>
      <c r="CJ7" t="s">
        <v>116</v>
      </c>
      <c r="CK7">
        <v>2620</v>
      </c>
      <c r="CO7" s="6" t="s">
        <v>100</v>
      </c>
      <c r="CP7" s="6">
        <f>CY13</f>
        <v>6.2400960000000003</v>
      </c>
      <c r="CQ7" s="6">
        <f>Index!$C$53</f>
        <v>99.508928571428555</v>
      </c>
      <c r="CR7" s="6">
        <f>CQ7</f>
        <v>99.508928571428555</v>
      </c>
      <c r="CS7" s="6">
        <f>CR7*CP7</f>
        <v>620.94526714285712</v>
      </c>
      <c r="CT7" s="6"/>
      <c r="CU7" s="6"/>
      <c r="CV7" s="6"/>
      <c r="CX7" t="s">
        <v>116</v>
      </c>
      <c r="CY7">
        <v>2820</v>
      </c>
      <c r="DC7" s="6" t="s">
        <v>100</v>
      </c>
      <c r="DD7" s="6">
        <f>DM13</f>
        <v>8.1926640000000006</v>
      </c>
      <c r="DE7" s="6">
        <f>Index!$C$53</f>
        <v>99.508928571428555</v>
      </c>
      <c r="DF7" s="6">
        <f>DE7</f>
        <v>99.508928571428555</v>
      </c>
      <c r="DG7" s="6">
        <f>DF7*DD7</f>
        <v>815.24321678571425</v>
      </c>
      <c r="DH7" s="6"/>
      <c r="DI7" s="6"/>
      <c r="DJ7" s="6"/>
      <c r="DL7" t="s">
        <v>116</v>
      </c>
      <c r="DM7">
        <v>2820</v>
      </c>
      <c r="DX7" s="6"/>
      <c r="DZ7" t="s">
        <v>116</v>
      </c>
      <c r="EA7">
        <v>2820</v>
      </c>
      <c r="EE7" s="6" t="s">
        <v>100</v>
      </c>
      <c r="EF7" s="6">
        <f>EO13</f>
        <v>8.1926640000000006</v>
      </c>
      <c r="EG7" s="6">
        <f>Index!$C$53</f>
        <v>99.508928571428555</v>
      </c>
      <c r="EH7" s="6">
        <f>EG7</f>
        <v>99.508928571428555</v>
      </c>
      <c r="EI7" s="6">
        <f>EH7*EF7</f>
        <v>815.24321678571425</v>
      </c>
      <c r="EJ7" s="6"/>
      <c r="EK7" s="6"/>
      <c r="EL7" s="6"/>
      <c r="EN7" t="s">
        <v>116</v>
      </c>
      <c r="EO7">
        <v>2820</v>
      </c>
      <c r="EZ7" s="6"/>
      <c r="FB7" t="s">
        <v>116</v>
      </c>
      <c r="FC7">
        <v>2820</v>
      </c>
      <c r="FP7" t="s">
        <v>116</v>
      </c>
      <c r="FQ7">
        <v>2820</v>
      </c>
      <c r="FU7" s="6" t="s">
        <v>100</v>
      </c>
      <c r="FV7" s="6">
        <f>GE13</f>
        <v>8.1926640000000006</v>
      </c>
      <c r="FW7" s="6">
        <f>Index!$C$53</f>
        <v>99.508928571428555</v>
      </c>
      <c r="FX7" s="6">
        <f>FW7</f>
        <v>99.508928571428555</v>
      </c>
      <c r="FY7" s="6">
        <f>FX7*FV7</f>
        <v>815.24321678571425</v>
      </c>
      <c r="FZ7" s="6"/>
      <c r="GA7" s="6"/>
      <c r="GB7" s="6"/>
      <c r="GD7" t="s">
        <v>116</v>
      </c>
      <c r="GE7">
        <v>2820</v>
      </c>
      <c r="GP7" s="6"/>
      <c r="GR7" t="s">
        <v>116</v>
      </c>
      <c r="GS7">
        <v>2820</v>
      </c>
      <c r="HD7" s="6"/>
      <c r="HF7" t="s">
        <v>116</v>
      </c>
      <c r="HG7">
        <v>2820</v>
      </c>
    </row>
    <row r="8" spans="1:217" x14ac:dyDescent="0.25">
      <c r="A8">
        <f>'Septic Tank Design'!C7</f>
        <v>30</v>
      </c>
      <c r="B8">
        <f>'Septic Tank Design'!F7</f>
        <v>9</v>
      </c>
      <c r="D8">
        <f>'Septic Tank Design'!K7</f>
        <v>1</v>
      </c>
      <c r="G8" t="str">
        <f>'Septic Tank - BS'!G8</f>
        <v xml:space="preserve">Concrete </v>
      </c>
      <c r="H8">
        <f>'Septic Tank - BS'!H8</f>
        <v>1</v>
      </c>
      <c r="I8">
        <f>'Septic Tank - BS'!I8</f>
        <v>99.508928571428555</v>
      </c>
      <c r="J8">
        <f>'Septic Tank - BS'!J8</f>
        <v>99.508928571428555</v>
      </c>
      <c r="K8">
        <f>'Septic Tank - BS'!K8</f>
        <v>99.508928571428555</v>
      </c>
      <c r="W8" t="s">
        <v>736</v>
      </c>
      <c r="AA8">
        <f>SUM(AA4:AA6)</f>
        <v>1752.7570469289112</v>
      </c>
      <c r="AE8" t="s">
        <v>150</v>
      </c>
      <c r="AF8">
        <v>2.42</v>
      </c>
      <c r="AT8" t="s">
        <v>150</v>
      </c>
      <c r="AU8">
        <v>2.39</v>
      </c>
      <c r="BH8" t="s">
        <v>150</v>
      </c>
      <c r="BI8">
        <v>3.9649999999999999</v>
      </c>
      <c r="BM8" t="s">
        <v>101</v>
      </c>
      <c r="BN8">
        <f>BN6-15-BN7</f>
        <v>29.048378999999997</v>
      </c>
      <c r="BO8">
        <f>Index!$C$36</f>
        <v>36.718627421191144</v>
      </c>
      <c r="BP8">
        <v>38.966101168387411</v>
      </c>
      <c r="BQ8">
        <f>BP8*BN8</f>
        <v>1131.9020748916603</v>
      </c>
      <c r="CA8" t="s">
        <v>101</v>
      </c>
      <c r="CB8">
        <f>(CK11)-22</f>
        <v>51.250910599999997</v>
      </c>
      <c r="CC8">
        <f>Index!$C$36</f>
        <v>36.718627421191144</v>
      </c>
      <c r="CD8">
        <v>38.966101168387411</v>
      </c>
      <c r="CE8">
        <f>CD8*CB8</f>
        <v>1997.0481674115786</v>
      </c>
      <c r="CO8" s="6" t="s">
        <v>101</v>
      </c>
      <c r="CP8" s="6">
        <f>(CY11)-CO13</f>
        <v>75.384459199999995</v>
      </c>
      <c r="CQ8" s="6">
        <f>Index!$C$36</f>
        <v>36.718627421191144</v>
      </c>
      <c r="CR8" s="6">
        <f>CQ8*(1+0.02)^3</f>
        <v>38.966101168387411</v>
      </c>
      <c r="CS8" s="6">
        <f>CR8*CP8</f>
        <v>2937.4384637113731</v>
      </c>
      <c r="CT8" s="6"/>
      <c r="CU8" s="6"/>
      <c r="CV8" s="6"/>
      <c r="DC8" s="6" t="s">
        <v>101</v>
      </c>
      <c r="DD8" s="6">
        <f>(DM11)-DC13</f>
        <v>95.036832800000013</v>
      </c>
      <c r="DE8" s="6">
        <f>Index!$C$36</f>
        <v>36.718627421191144</v>
      </c>
      <c r="DF8" s="6">
        <f>DE8*(1+0.02)^3</f>
        <v>38.966101168387411</v>
      </c>
      <c r="DG8" s="6">
        <f>DF8*DD8</f>
        <v>3703.2148416079194</v>
      </c>
      <c r="DH8" s="6"/>
      <c r="DI8" s="6"/>
      <c r="DJ8" s="6"/>
      <c r="DQ8" s="10" t="s">
        <v>311</v>
      </c>
      <c r="DR8" t="s">
        <v>56</v>
      </c>
      <c r="DS8" t="s">
        <v>178</v>
      </c>
      <c r="DU8" t="s">
        <v>83</v>
      </c>
      <c r="DV8">
        <v>0.02</v>
      </c>
      <c r="DW8" t="s">
        <v>37</v>
      </c>
      <c r="DX8" s="6"/>
      <c r="EE8" s="6" t="s">
        <v>101</v>
      </c>
      <c r="EF8" s="6">
        <f>(EO11)-EE13</f>
        <v>95.036832800000013</v>
      </c>
      <c r="EG8" s="6">
        <f>Index!$C$36</f>
        <v>36.718627421191144</v>
      </c>
      <c r="EH8" s="6">
        <f>EG8*(1+0.02)^3</f>
        <v>38.966101168387411</v>
      </c>
      <c r="EI8" s="6">
        <f>EH8*EF8</f>
        <v>3703.2148416079194</v>
      </c>
      <c r="EJ8" s="6"/>
      <c r="EK8" s="6"/>
      <c r="EL8" s="6"/>
      <c r="ES8" s="10" t="s">
        <v>311</v>
      </c>
      <c r="ET8" t="s">
        <v>56</v>
      </c>
      <c r="EU8" t="s">
        <v>178</v>
      </c>
      <c r="EW8" t="s">
        <v>83</v>
      </c>
      <c r="EX8">
        <v>0.02</v>
      </c>
      <c r="EY8" t="s">
        <v>37</v>
      </c>
      <c r="EZ8" s="6"/>
      <c r="FG8" s="10" t="s">
        <v>311</v>
      </c>
      <c r="FH8" t="s">
        <v>56</v>
      </c>
      <c r="FI8" t="s">
        <v>178</v>
      </c>
      <c r="FK8" t="s">
        <v>83</v>
      </c>
      <c r="FU8" s="6" t="s">
        <v>101</v>
      </c>
      <c r="FV8" s="6">
        <f>(GE11)-FU13</f>
        <v>95.036832800000013</v>
      </c>
      <c r="FW8" s="6">
        <f>Index!$C$36</f>
        <v>36.718627421191144</v>
      </c>
      <c r="FX8" s="6">
        <f>FW8*(1+0.02)^3</f>
        <v>38.966101168387411</v>
      </c>
      <c r="FY8" s="6">
        <f>FX8*FV8</f>
        <v>3703.2148416079194</v>
      </c>
      <c r="FZ8" s="6"/>
      <c r="GA8" s="6"/>
      <c r="GB8" s="6"/>
      <c r="GI8" s="10" t="s">
        <v>311</v>
      </c>
      <c r="GJ8" t="s">
        <v>56</v>
      </c>
      <c r="GK8" t="s">
        <v>178</v>
      </c>
      <c r="GM8" t="s">
        <v>83</v>
      </c>
      <c r="GN8">
        <v>0.02</v>
      </c>
      <c r="GO8" t="s">
        <v>37</v>
      </c>
      <c r="GP8" s="6"/>
      <c r="GW8" s="10" t="s">
        <v>311</v>
      </c>
      <c r="GX8" t="s">
        <v>56</v>
      </c>
      <c r="GY8" t="s">
        <v>178</v>
      </c>
      <c r="HA8" t="s">
        <v>83</v>
      </c>
      <c r="HB8">
        <v>0.02</v>
      </c>
      <c r="HC8" t="s">
        <v>37</v>
      </c>
      <c r="HD8" s="6"/>
    </row>
    <row r="9" spans="1:217" x14ac:dyDescent="0.25">
      <c r="A9">
        <f>'Septic Tank Design'!C8</f>
        <v>50</v>
      </c>
      <c r="B9">
        <f>'Septic Tank Design'!F8</f>
        <v>15</v>
      </c>
      <c r="D9">
        <f>'Septic Tank Design'!K8</f>
        <v>1</v>
      </c>
      <c r="G9" t="str">
        <f>'Septic Tank - BS'!G9</f>
        <v>Backfill (pea shingle)</v>
      </c>
      <c r="H9">
        <f>'Septic Tank - BS'!H9</f>
        <v>3</v>
      </c>
      <c r="I9">
        <f>'Septic Tank - BS'!I9</f>
        <v>36.718627421191144</v>
      </c>
      <c r="J9">
        <f>'Septic Tank - BS'!J9</f>
        <v>38.966101168387411</v>
      </c>
      <c r="K9">
        <f>'Septic Tank - BS'!K9</f>
        <v>116.89830350516223</v>
      </c>
      <c r="AK9" t="s">
        <v>736</v>
      </c>
      <c r="AO9">
        <f>SUM(AO4:AO7)</f>
        <v>2561.1288809158395</v>
      </c>
      <c r="AY9" t="s">
        <v>736</v>
      </c>
      <c r="BC9">
        <f>SUM(BC4:BC7)</f>
        <v>4543.0390878013604</v>
      </c>
      <c r="BV9" t="s">
        <v>293</v>
      </c>
      <c r="BW9">
        <v>300</v>
      </c>
      <c r="BX9" t="s">
        <v>64</v>
      </c>
      <c r="CJ9" t="s">
        <v>293</v>
      </c>
      <c r="CK9">
        <v>300</v>
      </c>
      <c r="CL9" t="s">
        <v>64</v>
      </c>
      <c r="CO9" s="6"/>
      <c r="CP9" s="6"/>
      <c r="CQ9" s="6"/>
      <c r="CR9" s="6"/>
      <c r="CS9" s="6"/>
      <c r="CT9" s="6"/>
      <c r="CU9" s="6"/>
      <c r="CV9" s="6"/>
      <c r="CX9" t="s">
        <v>293</v>
      </c>
      <c r="CY9">
        <v>300</v>
      </c>
      <c r="CZ9" t="s">
        <v>64</v>
      </c>
      <c r="DC9" s="6"/>
      <c r="DD9" s="6"/>
      <c r="DE9" s="6"/>
      <c r="DF9" s="6"/>
      <c r="DG9" s="6"/>
      <c r="DH9" s="6"/>
      <c r="DI9" s="6"/>
      <c r="DJ9" s="6"/>
      <c r="DL9" t="s">
        <v>293</v>
      </c>
      <c r="DM9">
        <v>300</v>
      </c>
      <c r="DN9" t="s">
        <v>64</v>
      </c>
      <c r="DQ9" t="s">
        <v>22</v>
      </c>
      <c r="DX9" s="6"/>
      <c r="DZ9" t="s">
        <v>293</v>
      </c>
      <c r="EA9">
        <v>300</v>
      </c>
      <c r="EB9" t="s">
        <v>64</v>
      </c>
      <c r="EE9" s="6"/>
      <c r="EF9" s="6"/>
      <c r="EG9" s="6"/>
      <c r="EH9" s="6"/>
      <c r="EI9" s="6"/>
      <c r="EJ9" s="6"/>
      <c r="EK9" s="6"/>
      <c r="EL9" s="6"/>
      <c r="EN9" t="s">
        <v>293</v>
      </c>
      <c r="EO9">
        <v>300</v>
      </c>
      <c r="EP9" t="s">
        <v>64</v>
      </c>
      <c r="ES9" t="s">
        <v>22</v>
      </c>
      <c r="EZ9" s="6"/>
      <c r="FB9" t="s">
        <v>293</v>
      </c>
      <c r="FC9">
        <v>300</v>
      </c>
      <c r="FD9" t="s">
        <v>64</v>
      </c>
      <c r="FG9" t="s">
        <v>22</v>
      </c>
      <c r="FP9" t="s">
        <v>293</v>
      </c>
      <c r="FQ9">
        <v>300</v>
      </c>
      <c r="FR9" t="s">
        <v>64</v>
      </c>
      <c r="FU9" s="6"/>
      <c r="FV9" s="6"/>
      <c r="FW9" s="6"/>
      <c r="FX9" s="6"/>
      <c r="FY9" s="6"/>
      <c r="FZ9" s="6"/>
      <c r="GA9" s="6"/>
      <c r="GB9" s="6"/>
      <c r="GD9" t="s">
        <v>293</v>
      </c>
      <c r="GE9">
        <v>300</v>
      </c>
      <c r="GF9" t="s">
        <v>64</v>
      </c>
      <c r="GI9" t="s">
        <v>22</v>
      </c>
      <c r="GP9" s="6"/>
      <c r="GR9" t="s">
        <v>293</v>
      </c>
      <c r="GS9">
        <v>300</v>
      </c>
      <c r="GT9" t="s">
        <v>64</v>
      </c>
      <c r="GW9" t="s">
        <v>22</v>
      </c>
      <c r="HD9" s="6"/>
      <c r="HF9" t="s">
        <v>293</v>
      </c>
      <c r="HG9">
        <v>300</v>
      </c>
      <c r="HH9" t="s">
        <v>64</v>
      </c>
    </row>
    <row r="10" spans="1:217" x14ac:dyDescent="0.25">
      <c r="A10">
        <f>'Septic Tank Design'!C9</f>
        <v>75</v>
      </c>
      <c r="B10">
        <f>'Septic Tank Design'!F9</f>
        <v>22.5</v>
      </c>
      <c r="D10">
        <f>'Septic Tank Design'!K9</f>
        <v>1</v>
      </c>
      <c r="AE10" t="s">
        <v>67</v>
      </c>
      <c r="AF10">
        <v>0.3</v>
      </c>
      <c r="AT10" t="s">
        <v>67</v>
      </c>
      <c r="AU10">
        <v>0.3</v>
      </c>
      <c r="BH10" t="s">
        <v>67</v>
      </c>
      <c r="BI10">
        <v>0.3</v>
      </c>
      <c r="BM10" s="3" t="s">
        <v>58</v>
      </c>
      <c r="BN10" s="3"/>
      <c r="BO10" s="3"/>
      <c r="BP10" s="3"/>
      <c r="BQ10" s="3">
        <f>SUM(BQ5:BQ8)</f>
        <v>5143.1595386893714</v>
      </c>
      <c r="CA10" s="3" t="s">
        <v>58</v>
      </c>
      <c r="CB10" s="3"/>
      <c r="CC10" s="3"/>
      <c r="CD10" s="3"/>
      <c r="CE10" s="3">
        <f>SUM(CE5:CE8)</f>
        <v>8130.7656440499704</v>
      </c>
      <c r="CO10" s="102" t="s">
        <v>58</v>
      </c>
      <c r="CP10" s="102"/>
      <c r="CQ10" s="102"/>
      <c r="CR10" s="102"/>
      <c r="CS10" s="102">
        <f>SUM(CS5:CS8)</f>
        <v>12593.208133944296</v>
      </c>
      <c r="CT10" s="6"/>
      <c r="CU10" s="6"/>
      <c r="CV10" s="6"/>
      <c r="DC10" s="102" t="s">
        <v>58</v>
      </c>
      <c r="DD10" s="102"/>
      <c r="DE10" s="102"/>
      <c r="DF10" s="102"/>
      <c r="DG10" s="102">
        <f>SUM(DG5:DG8)</f>
        <v>13931.783003400937</v>
      </c>
      <c r="DH10" s="6"/>
      <c r="DI10" s="6"/>
      <c r="DJ10" s="6"/>
      <c r="DQ10" t="s">
        <v>80</v>
      </c>
      <c r="DR10" t="s">
        <v>2</v>
      </c>
      <c r="DS10" t="s">
        <v>81</v>
      </c>
      <c r="DT10" t="s">
        <v>82</v>
      </c>
      <c r="DU10" t="s">
        <v>59</v>
      </c>
      <c r="DX10" s="6"/>
      <c r="EE10" s="102" t="s">
        <v>58</v>
      </c>
      <c r="EF10" s="102"/>
      <c r="EG10" s="102"/>
      <c r="EH10" s="102"/>
      <c r="EI10" s="102">
        <f>SUM(EI5:EI8)</f>
        <v>13931.783003400937</v>
      </c>
      <c r="EJ10" s="6"/>
      <c r="EK10" s="6"/>
      <c r="EL10" s="6"/>
      <c r="ES10" t="s">
        <v>80</v>
      </c>
      <c r="ET10" t="s">
        <v>2</v>
      </c>
      <c r="EU10" t="s">
        <v>81</v>
      </c>
      <c r="EV10" t="s">
        <v>82</v>
      </c>
      <c r="EW10" t="s">
        <v>59</v>
      </c>
      <c r="EZ10" s="6"/>
      <c r="FG10" t="s">
        <v>80</v>
      </c>
      <c r="FH10" t="s">
        <v>2</v>
      </c>
      <c r="FI10" t="s">
        <v>81</v>
      </c>
      <c r="FJ10" t="s">
        <v>82</v>
      </c>
      <c r="FK10" t="s">
        <v>59</v>
      </c>
      <c r="FU10" s="102" t="s">
        <v>58</v>
      </c>
      <c r="FV10" s="102"/>
      <c r="FW10" s="102"/>
      <c r="FX10" s="102"/>
      <c r="FY10" s="102">
        <f>SUM(FY5:FY8)</f>
        <v>13931.783003400937</v>
      </c>
      <c r="FZ10" s="6"/>
      <c r="GA10" s="6"/>
      <c r="GB10" s="6"/>
      <c r="GI10" t="s">
        <v>80</v>
      </c>
      <c r="GJ10" t="s">
        <v>2</v>
      </c>
      <c r="GK10" t="s">
        <v>81</v>
      </c>
      <c r="GL10" t="s">
        <v>82</v>
      </c>
      <c r="GM10" t="s">
        <v>59</v>
      </c>
      <c r="GP10" s="6"/>
      <c r="GW10" t="s">
        <v>80</v>
      </c>
      <c r="GX10" t="s">
        <v>2</v>
      </c>
      <c r="GY10" t="s">
        <v>81</v>
      </c>
      <c r="GZ10" t="s">
        <v>82</v>
      </c>
      <c r="HA10" t="s">
        <v>59</v>
      </c>
      <c r="HD10" s="6"/>
    </row>
    <row r="11" spans="1:217" x14ac:dyDescent="0.25">
      <c r="A11">
        <f>'Septic Tank Design'!C10</f>
        <v>100</v>
      </c>
      <c r="B11">
        <f>'Septic Tank Design'!F10</f>
        <v>30</v>
      </c>
      <c r="D11">
        <f>'Septic Tank Design'!K10</f>
        <v>1</v>
      </c>
      <c r="AT11" t="s">
        <v>998</v>
      </c>
      <c r="AU11">
        <v>0.15</v>
      </c>
      <c r="BH11" t="s">
        <v>998</v>
      </c>
      <c r="BI11">
        <v>0.3</v>
      </c>
      <c r="BV11" t="s">
        <v>152</v>
      </c>
      <c r="BW11">
        <f>(BW5+BW9)*(BW6+BW9*2)*(BW7+BW9*2)/10^9</f>
        <v>47.372456999999997</v>
      </c>
      <c r="BX11" t="s">
        <v>71</v>
      </c>
      <c r="CJ11" t="s">
        <v>152</v>
      </c>
      <c r="CK11">
        <f>(CK5+CK9)*(CK6+CK9*2)*(CK7+CK9*2)/10^9</f>
        <v>73.250910599999997</v>
      </c>
      <c r="CX11" t="s">
        <v>152</v>
      </c>
      <c r="CY11">
        <f>(CY5+CY9)*(CY6+CY9*2)*(CY7+CY9*2)/10^9</f>
        <v>109.38445919999999</v>
      </c>
      <c r="DL11" t="s">
        <v>152</v>
      </c>
      <c r="DM11">
        <f>(DM5+DM9)*(DM6+DM9*2)*(DM7+DM9*2)/10^9</f>
        <v>141.03683280000001</v>
      </c>
      <c r="DQ11" t="s">
        <v>291</v>
      </c>
      <c r="DR11">
        <v>1</v>
      </c>
      <c r="DS11">
        <f>Index!$C$29</f>
        <v>9786</v>
      </c>
      <c r="DT11">
        <f>DS11</f>
        <v>9786</v>
      </c>
      <c r="DU11">
        <f>DT11*DR11</f>
        <v>9786</v>
      </c>
      <c r="DZ11" t="s">
        <v>152</v>
      </c>
      <c r="EA11">
        <f>(EA5+EA9)*(EA6+EA9*2)*(EA7+EA9*2)/10^9</f>
        <v>172.67549220000001</v>
      </c>
      <c r="EN11" t="s">
        <v>152</v>
      </c>
      <c r="EO11">
        <f>(EO5+EO9)*(EO6+EO9*2)*(EO7+EO9*2)/10^9</f>
        <v>141.03683280000001</v>
      </c>
      <c r="ES11" t="s">
        <v>291</v>
      </c>
      <c r="ET11">
        <v>1</v>
      </c>
      <c r="EU11">
        <f>Index!$C$30</f>
        <v>12194.4</v>
      </c>
      <c r="EV11">
        <f>EU11</f>
        <v>12194.4</v>
      </c>
      <c r="EW11">
        <f>EV11*ET11</f>
        <v>12194.4</v>
      </c>
      <c r="FB11" t="s">
        <v>152</v>
      </c>
      <c r="FC11">
        <f>(FC5+FC9)*(FC6+FC9*2)*(FC7+FC9*2)/10^9</f>
        <v>172.67549220000001</v>
      </c>
      <c r="FG11" t="s">
        <v>291</v>
      </c>
      <c r="FH11">
        <v>1</v>
      </c>
      <c r="FI11">
        <f>Index!$C$28</f>
        <v>8454</v>
      </c>
      <c r="FJ11">
        <f>FI11</f>
        <v>8454</v>
      </c>
      <c r="FK11">
        <f>FJ11*FH11</f>
        <v>8454</v>
      </c>
      <c r="FP11" t="s">
        <v>152</v>
      </c>
      <c r="FQ11">
        <f>(FQ5+FQ9)*(FQ6+FQ9*2)*(FQ7+FQ9*2)/10^9</f>
        <v>119.99925</v>
      </c>
      <c r="GD11" t="s">
        <v>152</v>
      </c>
      <c r="GE11">
        <f>(GE5+GE9)*(GE6+GE9*2)*(GE7+GE9*2)/10^9</f>
        <v>141.03683280000001</v>
      </c>
      <c r="GI11" t="s">
        <v>291</v>
      </c>
      <c r="GJ11">
        <v>1</v>
      </c>
      <c r="GK11">
        <f>Index!$C$30</f>
        <v>12194.4</v>
      </c>
      <c r="GL11">
        <f>GK11</f>
        <v>12194.4</v>
      </c>
      <c r="GM11">
        <f>GL11*GJ11</f>
        <v>12194.4</v>
      </c>
      <c r="GR11" t="s">
        <v>152</v>
      </c>
      <c r="GS11">
        <f>(GS5+GS9)*(GS6+GS9*2)*(GS7+GS9*2)/10^9</f>
        <v>172.67549220000001</v>
      </c>
      <c r="GW11" t="s">
        <v>291</v>
      </c>
      <c r="GX11">
        <v>1</v>
      </c>
      <c r="GY11">
        <f>Index!$C$30</f>
        <v>12194.4</v>
      </c>
      <c r="GZ11">
        <f>GY11</f>
        <v>12194.4</v>
      </c>
      <c r="HA11">
        <f>GZ11*GX11</f>
        <v>12194.4</v>
      </c>
      <c r="HF11" t="s">
        <v>152</v>
      </c>
      <c r="HG11">
        <f>(HG5+HG9)*(HG6+HG9*2)*(HG7+HG9*2)/10^9</f>
        <v>172.67549220000001</v>
      </c>
    </row>
    <row r="12" spans="1:217" x14ac:dyDescent="0.25">
      <c r="A12">
        <f>'Septic Tank Design'!C12</f>
        <v>200</v>
      </c>
      <c r="B12">
        <f>'Septic Tank Design'!F12</f>
        <v>60</v>
      </c>
      <c r="D12">
        <f>'Septic Tank Design'!K12</f>
        <v>1</v>
      </c>
      <c r="G12" t="str">
        <f>'Septic Tank - BS'!G12</f>
        <v>Sub Total</v>
      </c>
      <c r="K12">
        <f>'Septic Tank - BS'!K12</f>
        <v>1029.4720794124921</v>
      </c>
      <c r="W12" t="s">
        <v>702</v>
      </c>
      <c r="Y12" t="s">
        <v>129</v>
      </c>
      <c r="AA12" t="s">
        <v>1143</v>
      </c>
      <c r="AE12" t="s">
        <v>149</v>
      </c>
      <c r="AF12">
        <f>(AF8+AF10)*(AF7+AF10)*(AF6+AF10*2)</f>
        <v>10.110240000000001</v>
      </c>
      <c r="AK12" t="s">
        <v>702</v>
      </c>
      <c r="AM12" t="s">
        <v>129</v>
      </c>
      <c r="AO12" t="s">
        <v>1143</v>
      </c>
      <c r="AY12" t="s">
        <v>702</v>
      </c>
      <c r="BA12" t="s">
        <v>129</v>
      </c>
      <c r="BC12" t="s">
        <v>1143</v>
      </c>
      <c r="CO12" t="s">
        <v>144</v>
      </c>
      <c r="CQ12" t="s">
        <v>710</v>
      </c>
      <c r="DC12" t="s">
        <v>144</v>
      </c>
      <c r="DE12" t="s">
        <v>710</v>
      </c>
      <c r="DQ12" t="s">
        <v>152</v>
      </c>
      <c r="DR12">
        <f>EA11</f>
        <v>172.67549220000001</v>
      </c>
      <c r="DS12">
        <f>Index!$C$69</f>
        <v>11.9580460758</v>
      </c>
      <c r="DT12">
        <f>Index!$C$69</f>
        <v>11.9580460758</v>
      </c>
      <c r="DU12">
        <f>DT12*DR12</f>
        <v>2064.8614918890435</v>
      </c>
      <c r="EE12" t="s">
        <v>144</v>
      </c>
      <c r="EG12" t="s">
        <v>710</v>
      </c>
      <c r="ES12" t="s">
        <v>152</v>
      </c>
      <c r="ET12">
        <f>FC11</f>
        <v>172.67549220000001</v>
      </c>
      <c r="EU12">
        <f>Index!$C$69</f>
        <v>11.9580460758</v>
      </c>
      <c r="EV12">
        <f>Index!$C$69</f>
        <v>11.9580460758</v>
      </c>
      <c r="EW12">
        <f>EV12*ET12</f>
        <v>2064.8614918890435</v>
      </c>
      <c r="FG12" t="s">
        <v>152</v>
      </c>
      <c r="FH12">
        <f>FQ11</f>
        <v>119.99925</v>
      </c>
      <c r="FI12">
        <f>Index!$C$69</f>
        <v>11.9580460758</v>
      </c>
      <c r="FJ12">
        <f>Index!$C$69</f>
        <v>11.9580460758</v>
      </c>
      <c r="FK12">
        <f>FJ12*FH12</f>
        <v>1434.9565605614432</v>
      </c>
      <c r="FU12" t="s">
        <v>144</v>
      </c>
      <c r="FW12" t="s">
        <v>710</v>
      </c>
      <c r="GI12" t="s">
        <v>152</v>
      </c>
      <c r="GJ12">
        <f>GS11</f>
        <v>172.67549220000001</v>
      </c>
      <c r="GK12">
        <f>Index!$C$69</f>
        <v>11.9580460758</v>
      </c>
      <c r="GL12">
        <f>Index!$C$69</f>
        <v>11.9580460758</v>
      </c>
      <c r="GM12">
        <f>GL12*GJ12</f>
        <v>2064.8614918890435</v>
      </c>
      <c r="GW12" t="s">
        <v>152</v>
      </c>
      <c r="GX12">
        <f>HG11</f>
        <v>172.67549220000001</v>
      </c>
      <c r="GY12">
        <f>Index!$C$69</f>
        <v>11.9580460758</v>
      </c>
      <c r="GZ12">
        <f>Index!$C$69</f>
        <v>11.9580460758</v>
      </c>
      <c r="HA12">
        <f>GZ12*GX12</f>
        <v>2064.8614918890435</v>
      </c>
    </row>
    <row r="13" spans="1:217" x14ac:dyDescent="0.25">
      <c r="A13">
        <f>'Septic Tank Design'!C13</f>
        <v>300</v>
      </c>
      <c r="B13">
        <f>'Septic Tank Design'!F13</f>
        <v>90</v>
      </c>
      <c r="D13">
        <f>'Septic Tank Design'!K13</f>
        <v>2</v>
      </c>
      <c r="E13">
        <f>B13/D13</f>
        <v>45</v>
      </c>
      <c r="W13" t="s">
        <v>80</v>
      </c>
      <c r="X13" t="s">
        <v>2</v>
      </c>
      <c r="Y13" t="s">
        <v>81</v>
      </c>
      <c r="Z13" t="s">
        <v>82</v>
      </c>
      <c r="AA13" t="s">
        <v>59</v>
      </c>
      <c r="AK13" t="s">
        <v>80</v>
      </c>
      <c r="AL13" t="s">
        <v>2</v>
      </c>
      <c r="AM13" t="s">
        <v>81</v>
      </c>
      <c r="AN13" t="s">
        <v>82</v>
      </c>
      <c r="AO13" t="s">
        <v>59</v>
      </c>
      <c r="AY13" t="s">
        <v>80</v>
      </c>
      <c r="AZ13" t="s">
        <v>2</v>
      </c>
      <c r="BA13" t="s">
        <v>81</v>
      </c>
      <c r="BB13" t="s">
        <v>82</v>
      </c>
      <c r="BC13" t="s">
        <v>59</v>
      </c>
      <c r="BV13" t="s">
        <v>302</v>
      </c>
      <c r="BW13">
        <f>BW6*BW7*BW9/10^9</f>
        <v>3.3240780000000001</v>
      </c>
      <c r="CJ13" t="s">
        <v>302</v>
      </c>
      <c r="CK13">
        <f>CK6*CK7*CK9/10^9</f>
        <v>3.9873780000000001</v>
      </c>
      <c r="CO13">
        <v>34</v>
      </c>
      <c r="CP13" t="s">
        <v>71</v>
      </c>
      <c r="CQ13">
        <v>1457</v>
      </c>
      <c r="CX13" t="s">
        <v>302</v>
      </c>
      <c r="CY13">
        <f>CY6*CY7*CY9/10^9</f>
        <v>6.2400960000000003</v>
      </c>
      <c r="DC13">
        <v>46</v>
      </c>
      <c r="DD13" t="s">
        <v>71</v>
      </c>
      <c r="DE13">
        <v>2030</v>
      </c>
      <c r="DL13" t="s">
        <v>302</v>
      </c>
      <c r="DM13">
        <f>DM6*DM7*DM9/10^9</f>
        <v>8.1926640000000006</v>
      </c>
      <c r="DQ13" t="s">
        <v>100</v>
      </c>
      <c r="DR13">
        <f>DR12-DQ4</f>
        <v>113.67549220000001</v>
      </c>
      <c r="DS13">
        <f>Index!$C$53</f>
        <v>99.508928571428555</v>
      </c>
      <c r="DT13">
        <f>DS13</f>
        <v>99.508928571428555</v>
      </c>
      <c r="DU13">
        <f>DT13*DR13</f>
        <v>11311.726433651786</v>
      </c>
      <c r="DZ13" t="s">
        <v>302</v>
      </c>
      <c r="EA13">
        <f>EA6*EA7*EA9/10^9</f>
        <v>10.144386000000001</v>
      </c>
      <c r="EE13">
        <v>46</v>
      </c>
      <c r="EF13" t="s">
        <v>71</v>
      </c>
      <c r="EG13">
        <v>2030</v>
      </c>
      <c r="EN13" t="s">
        <v>302</v>
      </c>
      <c r="EO13">
        <f>EO6*EO7*EO9/10^9</f>
        <v>8.1926640000000006</v>
      </c>
      <c r="ES13" t="s">
        <v>100</v>
      </c>
      <c r="ET13">
        <f>ET12-ES4</f>
        <v>113.67549220000001</v>
      </c>
      <c r="EU13">
        <f>Index!$C$53</f>
        <v>99.508928571428555</v>
      </c>
      <c r="EV13">
        <f>EU13</f>
        <v>99.508928571428555</v>
      </c>
      <c r="EW13">
        <f>EV13*ET13</f>
        <v>11311.726433651786</v>
      </c>
      <c r="FB13" t="s">
        <v>302</v>
      </c>
      <c r="FC13">
        <f>FC6*FC7*FC9/10^9</f>
        <v>10.144386000000001</v>
      </c>
      <c r="FG13" t="s">
        <v>100</v>
      </c>
      <c r="FH13">
        <f>FH12-FG4</f>
        <v>81.999250000000004</v>
      </c>
      <c r="FI13">
        <f>Index!$C$53</f>
        <v>99.508928571428555</v>
      </c>
      <c r="FJ13">
        <f>FI13</f>
        <v>99.508928571428555</v>
      </c>
      <c r="FK13">
        <f>FJ13*FH13</f>
        <v>8159.6575111607135</v>
      </c>
      <c r="FP13" t="s">
        <v>302</v>
      </c>
      <c r="FQ13">
        <f>FQ6*FQ7*FQ9/10^9</f>
        <v>6.8948999999999998</v>
      </c>
      <c r="FU13">
        <v>46</v>
      </c>
      <c r="FV13" t="s">
        <v>71</v>
      </c>
      <c r="FW13">
        <v>2030</v>
      </c>
      <c r="GD13" t="s">
        <v>302</v>
      </c>
      <c r="GE13">
        <f>GE6*GE7*GE9/10^9</f>
        <v>8.1926640000000006</v>
      </c>
      <c r="GI13" t="s">
        <v>100</v>
      </c>
      <c r="GJ13">
        <f>GJ12-GI4</f>
        <v>113.67549220000001</v>
      </c>
      <c r="GK13">
        <f>Index!$C$53</f>
        <v>99.508928571428555</v>
      </c>
      <c r="GL13">
        <f>GK13</f>
        <v>99.508928571428555</v>
      </c>
      <c r="GM13">
        <f>GL13*GJ13</f>
        <v>11311.726433651786</v>
      </c>
      <c r="GR13" t="s">
        <v>302</v>
      </c>
      <c r="GS13">
        <f>GS6*GS7*GS9/10^9</f>
        <v>10.144386000000001</v>
      </c>
      <c r="GW13" t="s">
        <v>100</v>
      </c>
      <c r="GX13">
        <f>GX12-GW4</f>
        <v>113.67549220000001</v>
      </c>
      <c r="GY13">
        <f>Index!$C$53</f>
        <v>99.508928571428555</v>
      </c>
      <c r="GZ13">
        <f>GY13</f>
        <v>99.508928571428555</v>
      </c>
      <c r="HA13">
        <f>GZ13*GX13</f>
        <v>11311.726433651786</v>
      </c>
      <c r="HF13" t="s">
        <v>302</v>
      </c>
      <c r="HG13">
        <f>HG6*HG7*HG9/10^9</f>
        <v>10.144386000000001</v>
      </c>
    </row>
    <row r="14" spans="1:217" x14ac:dyDescent="0.25">
      <c r="A14">
        <f>'Septic Tank Design'!C14</f>
        <v>400</v>
      </c>
      <c r="B14">
        <f>'Septic Tank Design'!F14</f>
        <v>120</v>
      </c>
      <c r="D14">
        <f>'Septic Tank Design'!K14</f>
        <v>2</v>
      </c>
      <c r="E14">
        <f t="shared" ref="E14:E16" si="3">B14/D14</f>
        <v>60</v>
      </c>
      <c r="W14" t="s">
        <v>1144</v>
      </c>
      <c r="X14">
        <v>1</v>
      </c>
      <c r="Y14">
        <f>Index!C23</f>
        <v>1230</v>
      </c>
      <c r="Z14">
        <f>Y14</f>
        <v>1230</v>
      </c>
      <c r="AA14">
        <f>X14*Z14</f>
        <v>1230</v>
      </c>
      <c r="AK14" t="s">
        <v>1149</v>
      </c>
      <c r="AL14">
        <v>1</v>
      </c>
      <c r="AM14">
        <f t="shared" ref="AM14:AN14" si="4">AM4</f>
        <v>1678.8</v>
      </c>
      <c r="AN14">
        <f t="shared" si="4"/>
        <v>1678.8</v>
      </c>
      <c r="AO14">
        <f>AN14*AL14</f>
        <v>1678.8</v>
      </c>
      <c r="AT14" t="s">
        <v>149</v>
      </c>
      <c r="AU14">
        <f>(AU8+AU10*2)*(AU7+AU10*2)*(AU6+AU11)</f>
        <v>21.105512999999998</v>
      </c>
      <c r="AY14" t="s">
        <v>1149</v>
      </c>
      <c r="AZ14">
        <v>1</v>
      </c>
      <c r="BA14">
        <f t="shared" ref="BA14:BB14" si="5">BA4</f>
        <v>3478.8</v>
      </c>
      <c r="BB14">
        <f t="shared" si="5"/>
        <v>3478.8</v>
      </c>
      <c r="BC14">
        <f>BB14*AZ14</f>
        <v>3478.8</v>
      </c>
      <c r="BH14" t="s">
        <v>149</v>
      </c>
      <c r="BI14">
        <f>(BI8+BI10)*(BI7+BI10)*(BI6+BI11)</f>
        <v>24.522896999999993</v>
      </c>
    </row>
    <row r="15" spans="1:217" x14ac:dyDescent="0.25">
      <c r="A15">
        <f>'Septic Tank Design'!C15</f>
        <v>500</v>
      </c>
      <c r="B15">
        <f>'Septic Tank Design'!F15</f>
        <v>150</v>
      </c>
      <c r="D15">
        <f>'Septic Tank Design'!K15</f>
        <v>3</v>
      </c>
      <c r="E15">
        <f t="shared" si="3"/>
        <v>50</v>
      </c>
      <c r="W15" t="s">
        <v>152</v>
      </c>
      <c r="X15">
        <f>X5</f>
        <v>10.110240000000001</v>
      </c>
      <c r="Y15">
        <f>Index!$C$69</f>
        <v>11.9580460758</v>
      </c>
      <c r="Z15">
        <f>Index!$C$69</f>
        <v>11.9580460758</v>
      </c>
      <c r="AA15">
        <f t="shared" ref="AA15:AA16" si="6">X15*Z15</f>
        <v>120.8987157573962</v>
      </c>
      <c r="AK15" t="s">
        <v>152</v>
      </c>
      <c r="AL15">
        <f>AL5</f>
        <v>21.105512999999998</v>
      </c>
      <c r="AM15">
        <f>Index!$C$69</f>
        <v>11.9580460758</v>
      </c>
      <c r="AN15">
        <f>Index!$C$69</f>
        <v>11.9580460758</v>
      </c>
      <c r="AO15">
        <f t="shared" ref="AO15:AO16" si="7">AN15*AL15</f>
        <v>252.38069690739587</v>
      </c>
      <c r="AY15" t="s">
        <v>152</v>
      </c>
      <c r="AZ15">
        <f>AZ5</f>
        <v>24.522896999999993</v>
      </c>
      <c r="BA15">
        <f>Index!$C$69</f>
        <v>11.9580460758</v>
      </c>
      <c r="BB15">
        <f>Index!$C$69</f>
        <v>11.9580460758</v>
      </c>
      <c r="BC15">
        <f t="shared" ref="BC15:BC16" si="8">BB15*AZ15</f>
        <v>293.24593223809751</v>
      </c>
      <c r="CJ15" t="s">
        <v>321</v>
      </c>
      <c r="CX15" t="s">
        <v>321</v>
      </c>
      <c r="DL15" t="s">
        <v>321</v>
      </c>
      <c r="DZ15" t="s">
        <v>321</v>
      </c>
      <c r="EN15" t="s">
        <v>321</v>
      </c>
      <c r="FB15" t="s">
        <v>321</v>
      </c>
      <c r="FP15" t="s">
        <v>321</v>
      </c>
      <c r="GD15" t="s">
        <v>321</v>
      </c>
      <c r="GR15" t="s">
        <v>321</v>
      </c>
      <c r="HF15" t="s">
        <v>321</v>
      </c>
    </row>
    <row r="16" spans="1:217" x14ac:dyDescent="0.25">
      <c r="A16">
        <f>'Septic Tank Design'!C16</f>
        <v>600</v>
      </c>
      <c r="B16">
        <f>'Septic Tank Design'!F16</f>
        <v>180</v>
      </c>
      <c r="D16">
        <f>'Septic Tank Design'!K16</f>
        <v>3</v>
      </c>
      <c r="E16">
        <f t="shared" si="3"/>
        <v>60</v>
      </c>
      <c r="G16" t="str">
        <f>'Septic Tank - BS'!G16</f>
        <v>5 PE</v>
      </c>
      <c r="H16" t="str">
        <f>'Septic Tank - BS'!H16</f>
        <v>Desludging every 6 months</v>
      </c>
      <c r="I16" t="str">
        <f>'Septic Tank - BS'!I16</f>
        <v>Wet Conditions</v>
      </c>
      <c r="K16" t="str">
        <f>'Septic Tank - BS'!K16</f>
        <v>Inflation</v>
      </c>
      <c r="W16" t="s">
        <v>100</v>
      </c>
      <c r="X16">
        <f>X6</f>
        <v>7.110240000000001</v>
      </c>
      <c r="Y16">
        <f>Index!$C$53</f>
        <v>99.508928571428555</v>
      </c>
      <c r="Z16">
        <f>Y16</f>
        <v>99.508928571428555</v>
      </c>
      <c r="AA16">
        <f t="shared" si="6"/>
        <v>707.53236428571427</v>
      </c>
      <c r="AK16" t="s">
        <v>100</v>
      </c>
      <c r="AL16">
        <f>AL7+AL6</f>
        <v>14.605512999999997</v>
      </c>
      <c r="AM16">
        <f>Index!$C$53</f>
        <v>99.508928571428555</v>
      </c>
      <c r="AN16">
        <f>AM16</f>
        <v>99.508928571428555</v>
      </c>
      <c r="AO16">
        <f t="shared" si="7"/>
        <v>1453.3789498660708</v>
      </c>
      <c r="AY16" t="s">
        <v>100</v>
      </c>
      <c r="AZ16">
        <f>AZ7+AZ6</f>
        <v>15.372896999999993</v>
      </c>
      <c r="BA16">
        <f>Index!$C$53</f>
        <v>99.508928571428555</v>
      </c>
      <c r="BB16">
        <f>BA16</f>
        <v>99.508928571428555</v>
      </c>
      <c r="BC16">
        <f t="shared" si="8"/>
        <v>1529.7405095089275</v>
      </c>
      <c r="CK16">
        <v>3010</v>
      </c>
      <c r="CL16" t="s">
        <v>64</v>
      </c>
      <c r="CY16">
        <v>3010</v>
      </c>
      <c r="CZ16" t="s">
        <v>64</v>
      </c>
      <c r="DM16">
        <v>3010</v>
      </c>
      <c r="DN16" t="s">
        <v>64</v>
      </c>
      <c r="DQ16" s="3" t="s">
        <v>58</v>
      </c>
      <c r="DR16" s="3"/>
      <c r="DS16" s="3"/>
      <c r="DT16" s="3"/>
      <c r="DU16" s="3">
        <f>SUM(DU11:DU14)</f>
        <v>23162.587925540829</v>
      </c>
      <c r="EA16">
        <v>3010</v>
      </c>
      <c r="EB16" t="s">
        <v>64</v>
      </c>
      <c r="EO16">
        <v>3010</v>
      </c>
      <c r="EP16" t="s">
        <v>64</v>
      </c>
      <c r="ES16" s="3" t="s">
        <v>58</v>
      </c>
      <c r="ET16" s="3"/>
      <c r="EU16" s="3"/>
      <c r="EV16" s="3"/>
      <c r="EW16" s="3">
        <f>SUM(EW11:EW14)</f>
        <v>25570.98792554083</v>
      </c>
      <c r="FC16">
        <v>3010</v>
      </c>
      <c r="FD16" t="s">
        <v>64</v>
      </c>
      <c r="FG16" s="3" t="s">
        <v>58</v>
      </c>
      <c r="FH16" s="3"/>
      <c r="FI16" s="3"/>
      <c r="FJ16" s="3"/>
      <c r="FK16" s="3">
        <f>SUM(FK11:FK14)</f>
        <v>18048.614071722157</v>
      </c>
      <c r="FQ16">
        <v>3010</v>
      </c>
      <c r="FR16" t="s">
        <v>64</v>
      </c>
      <c r="GE16">
        <v>3010</v>
      </c>
      <c r="GF16" t="s">
        <v>64</v>
      </c>
      <c r="GI16" s="3" t="s">
        <v>58</v>
      </c>
      <c r="GJ16" s="3"/>
      <c r="GK16" s="3"/>
      <c r="GL16" s="3"/>
      <c r="GM16" s="3">
        <f>SUM(GM11:GM14)</f>
        <v>25570.98792554083</v>
      </c>
      <c r="GS16">
        <v>3010</v>
      </c>
      <c r="GT16" t="s">
        <v>64</v>
      </c>
      <c r="GW16" s="3" t="s">
        <v>58</v>
      </c>
      <c r="GX16" s="3"/>
      <c r="GY16" s="3"/>
      <c r="GZ16" s="3"/>
      <c r="HA16" s="3">
        <f>SUM(HA11:HA14)</f>
        <v>25570.98792554083</v>
      </c>
      <c r="HG16">
        <v>3010</v>
      </c>
      <c r="HH16" t="s">
        <v>64</v>
      </c>
    </row>
    <row r="17" spans="1:211" x14ac:dyDescent="0.25">
      <c r="A17">
        <f>'Septic Tank Design'!C17</f>
        <v>800</v>
      </c>
      <c r="B17">
        <f>'Septic Tank Design'!F17</f>
        <v>240</v>
      </c>
      <c r="D17">
        <f>'Septic Tank Design'!K17</f>
        <v>4</v>
      </c>
      <c r="E17">
        <f>B17/D17</f>
        <v>60</v>
      </c>
      <c r="CA17" s="10" t="s">
        <v>303</v>
      </c>
      <c r="CB17" t="s">
        <v>56</v>
      </c>
      <c r="CC17" t="s">
        <v>126</v>
      </c>
      <c r="CE17" t="s">
        <v>83</v>
      </c>
      <c r="CF17">
        <v>0.02</v>
      </c>
      <c r="CG17" t="s">
        <v>37</v>
      </c>
      <c r="CO17" s="10" t="s">
        <v>311</v>
      </c>
      <c r="CP17" t="s">
        <v>56</v>
      </c>
      <c r="CQ17" t="s">
        <v>178</v>
      </c>
      <c r="CS17" t="s">
        <v>83</v>
      </c>
      <c r="CT17">
        <v>0.02</v>
      </c>
      <c r="CU17" t="s">
        <v>37</v>
      </c>
      <c r="DC17" s="10" t="s">
        <v>311</v>
      </c>
      <c r="DD17" t="s">
        <v>56</v>
      </c>
      <c r="DE17" t="s">
        <v>178</v>
      </c>
      <c r="DG17" t="s">
        <v>83</v>
      </c>
      <c r="DH17">
        <v>0.02</v>
      </c>
      <c r="DI17" t="s">
        <v>37</v>
      </c>
      <c r="EE17" s="10" t="s">
        <v>311</v>
      </c>
      <c r="EF17" t="s">
        <v>56</v>
      </c>
      <c r="EG17" t="s">
        <v>178</v>
      </c>
      <c r="EI17" t="s">
        <v>83</v>
      </c>
      <c r="EJ17">
        <v>0.02</v>
      </c>
      <c r="EK17" t="s">
        <v>37</v>
      </c>
      <c r="FU17" s="10" t="s">
        <v>311</v>
      </c>
      <c r="FV17" t="s">
        <v>56</v>
      </c>
      <c r="FW17" t="s">
        <v>178</v>
      </c>
      <c r="FY17" t="s">
        <v>83</v>
      </c>
      <c r="FZ17">
        <v>0.02</v>
      </c>
      <c r="GA17" t="s">
        <v>37</v>
      </c>
    </row>
    <row r="18" spans="1:211" x14ac:dyDescent="0.25">
      <c r="A18">
        <f>'Septic Tank Design'!C18</f>
        <v>1000</v>
      </c>
      <c r="B18">
        <f>'Septic Tank Design'!F18</f>
        <v>300</v>
      </c>
      <c r="D18">
        <f>'Septic Tank Design'!K18</f>
        <v>5</v>
      </c>
      <c r="E18">
        <f>B18/D18</f>
        <v>60</v>
      </c>
      <c r="G18" t="str">
        <f>'Septic Tank - BS'!G18</f>
        <v>Construction Costs</v>
      </c>
      <c r="W18" t="s">
        <v>736</v>
      </c>
      <c r="AA18">
        <f>SUM(AA14:AA16)</f>
        <v>2058.4310800431103</v>
      </c>
      <c r="BM18" s="10" t="s">
        <v>294</v>
      </c>
      <c r="BN18" t="s">
        <v>56</v>
      </c>
      <c r="BO18" t="s">
        <v>126</v>
      </c>
      <c r="BQ18" t="s">
        <v>83</v>
      </c>
      <c r="BR18">
        <v>0.02</v>
      </c>
      <c r="BS18" t="s">
        <v>37</v>
      </c>
      <c r="CA18" t="s">
        <v>22</v>
      </c>
      <c r="CC18" t="s">
        <v>320</v>
      </c>
      <c r="CO18" t="s">
        <v>22</v>
      </c>
      <c r="DC18" t="s">
        <v>22</v>
      </c>
      <c r="DQ18" t="s">
        <v>55</v>
      </c>
      <c r="DR18" t="s">
        <v>56</v>
      </c>
      <c r="DS18" t="s">
        <v>60</v>
      </c>
      <c r="DU18" t="s">
        <v>83</v>
      </c>
      <c r="EE18" t="s">
        <v>22</v>
      </c>
      <c r="ES18" t="s">
        <v>55</v>
      </c>
      <c r="ET18" t="s">
        <v>56</v>
      </c>
      <c r="EU18" t="s">
        <v>60</v>
      </c>
      <c r="EW18" t="s">
        <v>83</v>
      </c>
      <c r="FK18" s="10">
        <f>FK16*4</f>
        <v>72194.456286888628</v>
      </c>
      <c r="FU18" t="s">
        <v>22</v>
      </c>
      <c r="GI18" s="25"/>
      <c r="GJ18" s="25" t="s">
        <v>56</v>
      </c>
      <c r="GK18" s="25" t="s">
        <v>60</v>
      </c>
      <c r="GL18" s="25"/>
      <c r="GM18" s="25" t="s">
        <v>83</v>
      </c>
      <c r="GW18" t="s">
        <v>165</v>
      </c>
      <c r="GX18" t="s">
        <v>56</v>
      </c>
      <c r="GY18" t="s">
        <v>129</v>
      </c>
      <c r="HA18" t="s">
        <v>83</v>
      </c>
      <c r="HB18">
        <v>0.02</v>
      </c>
      <c r="HC18" t="s">
        <v>37</v>
      </c>
    </row>
    <row r="19" spans="1:211" x14ac:dyDescent="0.25">
      <c r="G19" t="str">
        <f>'Septic Tank - BS'!G19</f>
        <v>Item</v>
      </c>
      <c r="H19" t="str">
        <f>'Septic Tank - BS'!H19</f>
        <v>Unit</v>
      </c>
      <c r="I19" t="str">
        <f>'Septic Tank - BS'!I19</f>
        <v>Ref</v>
      </c>
      <c r="J19" t="str">
        <f>'Septic Tank - BS'!J19</f>
        <v>Ref (2021)</v>
      </c>
      <c r="K19" t="str">
        <f>'Septic Tank - BS'!K19</f>
        <v>Cost (£)</v>
      </c>
      <c r="AK19" t="s">
        <v>736</v>
      </c>
      <c r="AO19">
        <f>SUM(AO14:AO17)</f>
        <v>3384.5596467734667</v>
      </c>
      <c r="AY19" t="s">
        <v>736</v>
      </c>
      <c r="BC19">
        <f>SUM(BC14:BC17)</f>
        <v>5301.7864417470246</v>
      </c>
      <c r="BM19" t="s">
        <v>80</v>
      </c>
      <c r="BN19" t="s">
        <v>2</v>
      </c>
      <c r="BO19" t="s">
        <v>81</v>
      </c>
      <c r="BP19" t="s">
        <v>82</v>
      </c>
      <c r="BQ19" t="s">
        <v>59</v>
      </c>
      <c r="CA19" t="s">
        <v>80</v>
      </c>
      <c r="CB19" t="s">
        <v>2</v>
      </c>
      <c r="CC19" t="s">
        <v>81</v>
      </c>
      <c r="CD19" t="s">
        <v>82</v>
      </c>
      <c r="CE19" t="s">
        <v>59</v>
      </c>
      <c r="CO19" t="s">
        <v>80</v>
      </c>
      <c r="CP19" t="s">
        <v>2</v>
      </c>
      <c r="CQ19" t="s">
        <v>81</v>
      </c>
      <c r="CR19" t="s">
        <v>82</v>
      </c>
      <c r="CS19" t="s">
        <v>59</v>
      </c>
      <c r="DC19" t="s">
        <v>80</v>
      </c>
      <c r="DD19" t="s">
        <v>2</v>
      </c>
      <c r="DE19" t="s">
        <v>81</v>
      </c>
      <c r="DF19" t="s">
        <v>82</v>
      </c>
      <c r="DG19" t="s">
        <v>59</v>
      </c>
      <c r="DQ19" t="s">
        <v>22</v>
      </c>
      <c r="EE19" t="s">
        <v>80</v>
      </c>
      <c r="EF19" t="s">
        <v>2</v>
      </c>
      <c r="EG19" t="s">
        <v>81</v>
      </c>
      <c r="EH19" t="s">
        <v>82</v>
      </c>
      <c r="EI19" t="s">
        <v>59</v>
      </c>
      <c r="ES19" t="s">
        <v>22</v>
      </c>
      <c r="FU19" t="s">
        <v>80</v>
      </c>
      <c r="FV19" t="s">
        <v>2</v>
      </c>
      <c r="FW19" t="s">
        <v>81</v>
      </c>
      <c r="FX19" t="s">
        <v>82</v>
      </c>
      <c r="FY19" t="s">
        <v>59</v>
      </c>
      <c r="GI19" s="25" t="s">
        <v>22</v>
      </c>
      <c r="GJ19" s="25"/>
      <c r="GK19" s="25"/>
      <c r="GL19" s="25"/>
      <c r="GM19" s="25"/>
    </row>
    <row r="20" spans="1:211" x14ac:dyDescent="0.25">
      <c r="G20" t="str">
        <f>'Septic Tank - BS'!G20</f>
        <v>2800 L Septic Tank (Onion)</v>
      </c>
      <c r="H20">
        <f>'Septic Tank - BS'!H20</f>
        <v>1</v>
      </c>
      <c r="I20">
        <f>'Septic Tank - BS'!I20</f>
        <v>596.4</v>
      </c>
      <c r="J20">
        <f>'Septic Tank - BS'!J20</f>
        <v>596.4</v>
      </c>
      <c r="K20">
        <f>'Septic Tank - BS'!K20</f>
        <v>596.4</v>
      </c>
      <c r="BM20" t="s">
        <v>291</v>
      </c>
      <c r="BN20">
        <v>1</v>
      </c>
      <c r="BO20">
        <f>Index!$C$13</f>
        <v>3114</v>
      </c>
      <c r="BP20">
        <f>BO20</f>
        <v>3114</v>
      </c>
      <c r="BQ20">
        <f>BP20*BN20</f>
        <v>3114</v>
      </c>
      <c r="CA20" t="s">
        <v>291</v>
      </c>
      <c r="CB20">
        <v>1</v>
      </c>
      <c r="CC20">
        <f>Index!$C$14</f>
        <v>4861</v>
      </c>
      <c r="CD20">
        <f>CC20</f>
        <v>4861</v>
      </c>
      <c r="CE20">
        <f>CD20*CB20</f>
        <v>4861</v>
      </c>
      <c r="CO20" t="s">
        <v>291</v>
      </c>
      <c r="CP20">
        <v>1</v>
      </c>
      <c r="CQ20">
        <f>Index!$C$27</f>
        <v>7726.8</v>
      </c>
      <c r="CR20">
        <f>CQ20</f>
        <v>7726.8</v>
      </c>
      <c r="CS20">
        <f>CR20*CP20</f>
        <v>7726.8</v>
      </c>
      <c r="DC20" t="s">
        <v>291</v>
      </c>
      <c r="DD20">
        <v>1</v>
      </c>
      <c r="DE20">
        <f>Index!$C$29</f>
        <v>9786</v>
      </c>
      <c r="DF20">
        <f>DE20</f>
        <v>9786</v>
      </c>
      <c r="DG20">
        <f>DF20*DD20</f>
        <v>9786</v>
      </c>
      <c r="DQ20" t="s">
        <v>80</v>
      </c>
      <c r="DR20" t="s">
        <v>2</v>
      </c>
      <c r="DS20" t="s">
        <v>81</v>
      </c>
      <c r="DT20" t="s">
        <v>82</v>
      </c>
      <c r="DU20" t="s">
        <v>59</v>
      </c>
      <c r="EE20" t="s">
        <v>291</v>
      </c>
      <c r="EF20">
        <v>1</v>
      </c>
      <c r="EG20">
        <f>Index!$C$29</f>
        <v>9786</v>
      </c>
      <c r="EH20">
        <f>EG20</f>
        <v>9786</v>
      </c>
      <c r="EI20">
        <f>EH20*EF20</f>
        <v>9786</v>
      </c>
      <c r="ES20" t="s">
        <v>80</v>
      </c>
      <c r="ET20" t="s">
        <v>2</v>
      </c>
      <c r="EU20" t="s">
        <v>81</v>
      </c>
      <c r="EV20" t="s">
        <v>82</v>
      </c>
      <c r="EW20" t="s">
        <v>59</v>
      </c>
      <c r="FU20" t="s">
        <v>291</v>
      </c>
      <c r="FV20">
        <v>1</v>
      </c>
      <c r="FW20">
        <f>Index!$C$29</f>
        <v>9786</v>
      </c>
      <c r="FX20">
        <f>FW20</f>
        <v>9786</v>
      </c>
      <c r="FY20">
        <f>FX20*FV20</f>
        <v>9786</v>
      </c>
      <c r="GI20" s="25" t="s">
        <v>80</v>
      </c>
      <c r="GJ20" s="25" t="s">
        <v>2</v>
      </c>
      <c r="GK20" s="25" t="s">
        <v>81</v>
      </c>
      <c r="GL20" s="25" t="s">
        <v>82</v>
      </c>
      <c r="GM20" s="25" t="s">
        <v>59</v>
      </c>
      <c r="GR20" t="s">
        <v>145</v>
      </c>
      <c r="GS20">
        <v>1510</v>
      </c>
    </row>
    <row r="21" spans="1:211" x14ac:dyDescent="0.25">
      <c r="G21" t="str">
        <f>'Septic Tank - BS'!G21</f>
        <v>Excation (17.2 m3)</v>
      </c>
      <c r="H21">
        <f>'Septic Tank - BS'!H21</f>
        <v>18.118749999999999</v>
      </c>
      <c r="I21">
        <f>'Septic Tank - BS'!I21</f>
        <v>11.9580460758</v>
      </c>
      <c r="J21">
        <f>'Septic Tank - BS'!J21</f>
        <v>11.9580460758</v>
      </c>
      <c r="K21">
        <f>'Septic Tank - BS'!K21</f>
        <v>216.66484733590124</v>
      </c>
      <c r="BM21" t="s">
        <v>152</v>
      </c>
      <c r="BN21">
        <f>BW11</f>
        <v>47.372456999999997</v>
      </c>
      <c r="BO21">
        <f>Index!$C$69</f>
        <v>11.9580460758</v>
      </c>
      <c r="BP21">
        <f>Index!$C$69</f>
        <v>11.9580460758</v>
      </c>
      <c r="BQ21">
        <f>BP21*BN21</f>
        <v>566.48202352985425</v>
      </c>
      <c r="CA21" t="s">
        <v>152</v>
      </c>
      <c r="CB21">
        <f>CB6</f>
        <v>73.250910599999997</v>
      </c>
      <c r="CC21">
        <f>Index!$C$69</f>
        <v>11.9580460758</v>
      </c>
      <c r="CD21">
        <f>Index!$C$69</f>
        <v>11.9580460758</v>
      </c>
      <c r="CE21">
        <f>CD21*CB21</f>
        <v>875.93776404910659</v>
      </c>
      <c r="CO21" t="s">
        <v>152</v>
      </c>
      <c r="CP21">
        <f>CP6</f>
        <v>109.38445919999999</v>
      </c>
      <c r="CQ21">
        <f>Index!$C$69</f>
        <v>11.9580460758</v>
      </c>
      <c r="CR21">
        <f>Index!$C$69</f>
        <v>11.9580460758</v>
      </c>
      <c r="CS21">
        <f>CR21*CP21</f>
        <v>1308.0244030900651</v>
      </c>
      <c r="DC21" t="s">
        <v>152</v>
      </c>
      <c r="DD21">
        <f>DD6</f>
        <v>141.03683280000001</v>
      </c>
      <c r="DE21">
        <f>Index!$C$69</f>
        <v>11.9580460758</v>
      </c>
      <c r="DF21">
        <f>Index!$C$69</f>
        <v>11.9580460758</v>
      </c>
      <c r="DG21">
        <f>DF21*DD21</f>
        <v>1686.5249450073009</v>
      </c>
      <c r="DQ21" t="s">
        <v>57</v>
      </c>
      <c r="DR21">
        <v>1</v>
      </c>
      <c r="DS21">
        <v>596.4</v>
      </c>
      <c r="DT21">
        <v>596.4</v>
      </c>
      <c r="DU21">
        <v>596.4</v>
      </c>
      <c r="EE21" t="s">
        <v>152</v>
      </c>
      <c r="EF21">
        <f>EF6</f>
        <v>141.03683280000001</v>
      </c>
      <c r="EG21">
        <f>Index!$C$69</f>
        <v>11.9580460758</v>
      </c>
      <c r="EH21">
        <f>Index!$C$69</f>
        <v>11.9580460758</v>
      </c>
      <c r="EI21">
        <f>EH21*EF21</f>
        <v>1686.5249450073009</v>
      </c>
      <c r="ES21" t="s">
        <v>57</v>
      </c>
      <c r="ET21">
        <v>1</v>
      </c>
      <c r="EU21">
        <v>596.4</v>
      </c>
      <c r="EV21">
        <v>596.4</v>
      </c>
      <c r="EW21">
        <v>596.4</v>
      </c>
      <c r="FU21" t="s">
        <v>152</v>
      </c>
      <c r="FV21">
        <f>FV6</f>
        <v>141.03683280000001</v>
      </c>
      <c r="FW21">
        <f>Index!$C$69</f>
        <v>11.9580460758</v>
      </c>
      <c r="FX21">
        <f>Index!$C$69</f>
        <v>11.9580460758</v>
      </c>
      <c r="FY21">
        <f>FX21*FV21</f>
        <v>1686.5249450073009</v>
      </c>
      <c r="GI21" s="25" t="s">
        <v>1418</v>
      </c>
      <c r="GJ21" s="25">
        <v>1</v>
      </c>
      <c r="GK21" s="25">
        <f>Index!$C$18</f>
        <v>1435</v>
      </c>
      <c r="GL21" s="25">
        <f>GK21</f>
        <v>1435</v>
      </c>
      <c r="GM21" s="25">
        <f>GL21*GJ21</f>
        <v>1435</v>
      </c>
      <c r="GR21" t="s">
        <v>150</v>
      </c>
      <c r="GS21">
        <v>2480</v>
      </c>
      <c r="GW21" t="s">
        <v>80</v>
      </c>
      <c r="GX21" t="s">
        <v>2</v>
      </c>
      <c r="GY21" t="s">
        <v>81</v>
      </c>
      <c r="GZ21" t="s">
        <v>82</v>
      </c>
      <c r="HA21" t="s">
        <v>59</v>
      </c>
    </row>
    <row r="22" spans="1:211" x14ac:dyDescent="0.25">
      <c r="G22" t="str">
        <f>'Septic Tank - BS'!G22</f>
        <v>Concrete (1m3)</v>
      </c>
      <c r="H22">
        <f>'Septic Tank - BS'!H22</f>
        <v>4</v>
      </c>
      <c r="I22">
        <f>'Septic Tank - BS'!I22</f>
        <v>99.508928571428555</v>
      </c>
      <c r="J22">
        <f>'Septic Tank - BS'!J22</f>
        <v>99.508928571428555</v>
      </c>
      <c r="K22">
        <f>'Septic Tank - BS'!K22</f>
        <v>398.03571428571422</v>
      </c>
      <c r="BM22" t="s">
        <v>100</v>
      </c>
      <c r="BN22">
        <f>BN21-15</f>
        <v>32.372456999999997</v>
      </c>
      <c r="BO22">
        <f>Index!$C$53</f>
        <v>99.508928571428555</v>
      </c>
      <c r="BP22">
        <f>BO22</f>
        <v>99.508928571428555</v>
      </c>
      <c r="BQ22">
        <f>BP22*BN22</f>
        <v>3221.3485112946419</v>
      </c>
      <c r="CA22" t="s">
        <v>100</v>
      </c>
      <c r="CB22">
        <f>CB21-22</f>
        <v>51.250910599999997</v>
      </c>
      <c r="CC22">
        <f>Index!$C$53</f>
        <v>99.508928571428555</v>
      </c>
      <c r="CD22">
        <f>CC22</f>
        <v>99.508928571428555</v>
      </c>
      <c r="CE22">
        <f>CD22*CB22</f>
        <v>5099.9232021160706</v>
      </c>
      <c r="CO22" t="s">
        <v>100</v>
      </c>
      <c r="CP22">
        <f>CP21-CO13</f>
        <v>75.384459199999995</v>
      </c>
      <c r="CQ22">
        <f>Index!$C$53</f>
        <v>99.508928571428555</v>
      </c>
      <c r="CR22">
        <f>CQ22</f>
        <v>99.508928571428555</v>
      </c>
      <c r="CS22">
        <f>CR22*CP22</f>
        <v>7501.4267659285697</v>
      </c>
      <c r="DC22" t="s">
        <v>100</v>
      </c>
      <c r="DD22">
        <f>DD21-DC13</f>
        <v>95.036832800000013</v>
      </c>
      <c r="DE22">
        <f>Index!$C$53</f>
        <v>99.508928571428555</v>
      </c>
      <c r="DF22">
        <f>DE22</f>
        <v>99.508928571428555</v>
      </c>
      <c r="DG22">
        <f>DF22*DD22</f>
        <v>9457.0134067500003</v>
      </c>
      <c r="DQ22" t="s">
        <v>152</v>
      </c>
      <c r="DR22">
        <v>18.118749999999999</v>
      </c>
      <c r="DS22">
        <f>Index!$C$69</f>
        <v>11.9580460758</v>
      </c>
      <c r="DT22">
        <f>Index!$C$69</f>
        <v>11.9580460758</v>
      </c>
      <c r="DU22">
        <v>218.81193668099996</v>
      </c>
      <c r="EE22" t="s">
        <v>100</v>
      </c>
      <c r="EF22">
        <f>EF21-EE13</f>
        <v>95.036832800000013</v>
      </c>
      <c r="EG22">
        <f>Index!$C$53</f>
        <v>99.508928571428555</v>
      </c>
      <c r="EH22">
        <f>EG22</f>
        <v>99.508928571428555</v>
      </c>
      <c r="EI22">
        <f>EH22*EF22</f>
        <v>9457.0134067500003</v>
      </c>
      <c r="ES22" t="s">
        <v>152</v>
      </c>
      <c r="ET22">
        <v>18.118749999999999</v>
      </c>
      <c r="EU22">
        <f>Index!$C$69</f>
        <v>11.9580460758</v>
      </c>
      <c r="EV22">
        <f>Index!$C$69</f>
        <v>11.9580460758</v>
      </c>
      <c r="EW22">
        <v>218.81193668099996</v>
      </c>
      <c r="FU22" t="s">
        <v>100</v>
      </c>
      <c r="FV22">
        <f>FV21-FU13</f>
        <v>95.036832800000013</v>
      </c>
      <c r="FW22">
        <f>Index!$C$53</f>
        <v>99.508928571428555</v>
      </c>
      <c r="FX22">
        <f>FW22</f>
        <v>99.508928571428555</v>
      </c>
      <c r="FY22">
        <f>FX22*FV22</f>
        <v>9457.0134067500003</v>
      </c>
      <c r="GI22" s="25" t="s">
        <v>152</v>
      </c>
      <c r="GJ22" s="25">
        <f>GS26</f>
        <v>12.5433</v>
      </c>
      <c r="GK22">
        <f>Index!$C$69</f>
        <v>11.9580460758</v>
      </c>
      <c r="GL22">
        <f>Index!$C$69</f>
        <v>11.9580460758</v>
      </c>
      <c r="GM22" s="25">
        <f>GL22*GJ22</f>
        <v>149.99335934258215</v>
      </c>
      <c r="GR22" t="s">
        <v>116</v>
      </c>
      <c r="GS22">
        <v>1650</v>
      </c>
      <c r="GW22" t="s">
        <v>154</v>
      </c>
      <c r="GX22">
        <v>1</v>
      </c>
      <c r="GY22">
        <v>1090</v>
      </c>
      <c r="GZ22">
        <v>1090</v>
      </c>
      <c r="HA22">
        <v>1090</v>
      </c>
    </row>
    <row r="23" spans="1:211" x14ac:dyDescent="0.25">
      <c r="DQ23" t="s">
        <v>151</v>
      </c>
      <c r="DR23">
        <v>1</v>
      </c>
      <c r="DS23">
        <v>99.508928571428555</v>
      </c>
      <c r="DT23">
        <v>99.508928571428555</v>
      </c>
      <c r="DU23">
        <v>99.508928571428555</v>
      </c>
      <c r="ES23" t="s">
        <v>151</v>
      </c>
      <c r="ET23">
        <v>1</v>
      </c>
      <c r="EU23">
        <v>99.508928571428555</v>
      </c>
      <c r="EV23">
        <v>99.508928571428555</v>
      </c>
      <c r="EW23">
        <v>99.508928571428555</v>
      </c>
      <c r="GI23" s="25" t="s">
        <v>151</v>
      </c>
      <c r="GJ23" s="25">
        <f>GJ22-5</f>
        <v>7.5433000000000003</v>
      </c>
      <c r="GK23" s="25">
        <f>Index!$C$53</f>
        <v>99.508928571428555</v>
      </c>
      <c r="GL23" s="25">
        <f>GK23</f>
        <v>99.508928571428555</v>
      </c>
      <c r="GM23" s="25">
        <f>GL23*GJ23</f>
        <v>750.62570089285703</v>
      </c>
      <c r="GW23" t="s">
        <v>152</v>
      </c>
      <c r="GX23">
        <v>21.680400000000002</v>
      </c>
      <c r="GY23">
        <f>Index!$C$69</f>
        <v>11.9580460758</v>
      </c>
      <c r="GZ23">
        <f>Index!$C$69</f>
        <v>11.9580460758</v>
      </c>
      <c r="HA23">
        <v>261.82437044601602</v>
      </c>
    </row>
    <row r="24" spans="1:211" x14ac:dyDescent="0.25">
      <c r="BM24" s="3" t="s">
        <v>58</v>
      </c>
      <c r="BN24" s="3"/>
      <c r="BO24" s="3"/>
      <c r="BP24" s="3"/>
      <c r="BQ24" s="3">
        <f>SUM(BQ19:BQ22)</f>
        <v>6901.8305348244958</v>
      </c>
      <c r="DQ24" t="s">
        <v>101</v>
      </c>
      <c r="DR24">
        <v>3</v>
      </c>
      <c r="DS24">
        <v>36.718627421191144</v>
      </c>
      <c r="DT24">
        <v>38.966101168387411</v>
      </c>
      <c r="DU24">
        <v>116.89830350516223</v>
      </c>
      <c r="DW24" t="s">
        <v>625</v>
      </c>
      <c r="ES24" t="s">
        <v>101</v>
      </c>
      <c r="ET24">
        <v>3</v>
      </c>
      <c r="EU24">
        <v>36.718627421191144</v>
      </c>
      <c r="EV24">
        <v>38.966101168387411</v>
      </c>
      <c r="EW24">
        <v>116.89830350516223</v>
      </c>
      <c r="EY24" t="s">
        <v>625</v>
      </c>
      <c r="GI24" s="25"/>
      <c r="GJ24" s="25"/>
      <c r="GK24" s="25"/>
      <c r="GL24" s="25"/>
      <c r="GM24" s="25"/>
      <c r="GR24" t="s">
        <v>293</v>
      </c>
      <c r="GS24">
        <v>300</v>
      </c>
      <c r="GW24" t="s">
        <v>100</v>
      </c>
      <c r="GX24">
        <v>16.762419902778269</v>
      </c>
      <c r="GY24">
        <v>99.508928571428555</v>
      </c>
      <c r="GZ24">
        <v>99.508928571428555</v>
      </c>
      <c r="HA24">
        <v>1668.0104447898552</v>
      </c>
    </row>
    <row r="25" spans="1:211" x14ac:dyDescent="0.25">
      <c r="G25" t="str">
        <f>'Septic Tank - BS'!G25</f>
        <v>Sub Total</v>
      </c>
      <c r="K25">
        <f>'Septic Tank - BS'!K25</f>
        <v>1211.1005616216155</v>
      </c>
      <c r="CA25" s="3" t="s">
        <v>58</v>
      </c>
      <c r="CB25" s="3"/>
      <c r="CC25" s="3"/>
      <c r="CD25" s="3"/>
      <c r="CE25" s="3">
        <f>SUM(CE20:CE23)</f>
        <v>10836.860966165177</v>
      </c>
      <c r="CO25" s="3" t="s">
        <v>58</v>
      </c>
      <c r="CP25" s="3"/>
      <c r="CQ25" s="3"/>
      <c r="CR25" s="3"/>
      <c r="CS25" s="3">
        <f>SUM(CS20:CS23)</f>
        <v>16536.251169018637</v>
      </c>
      <c r="DC25" s="3" t="s">
        <v>58</v>
      </c>
      <c r="DD25" s="3"/>
      <c r="DE25" s="3"/>
      <c r="DF25" s="3"/>
      <c r="DG25" s="3">
        <f>SUM(DG20:DG23)</f>
        <v>20929.538351757299</v>
      </c>
      <c r="DW25" t="s">
        <v>128</v>
      </c>
      <c r="DX25" s="10">
        <f>DU16+DU27</f>
        <v>24194.207094298421</v>
      </c>
      <c r="EE25" s="3" t="s">
        <v>58</v>
      </c>
      <c r="EF25" s="3"/>
      <c r="EG25" s="3"/>
      <c r="EH25" s="3"/>
      <c r="EI25" s="3">
        <f>SUM(EI20:EI23)</f>
        <v>20929.538351757299</v>
      </c>
      <c r="EY25" t="s">
        <v>128</v>
      </c>
      <c r="EZ25" s="10">
        <f>EW16*2+EW27</f>
        <v>52173.595019839253</v>
      </c>
      <c r="FU25" s="3" t="s">
        <v>58</v>
      </c>
      <c r="FV25" s="3"/>
      <c r="FW25" s="3"/>
      <c r="FX25" s="3"/>
      <c r="FY25" s="3">
        <f>SUM(FY20:FY23)</f>
        <v>20929.538351757299</v>
      </c>
      <c r="GI25" s="25"/>
      <c r="GJ25" s="25"/>
      <c r="GK25" s="25"/>
      <c r="GL25" s="25"/>
      <c r="GM25" s="25"/>
    </row>
    <row r="26" spans="1:211" x14ac:dyDescent="0.25">
      <c r="DX26" s="10"/>
      <c r="EZ26" s="10"/>
      <c r="GI26" s="25"/>
      <c r="GJ26" s="25"/>
      <c r="GK26" s="25"/>
      <c r="GL26" s="25"/>
      <c r="GM26" s="25"/>
      <c r="GP26" s="10"/>
      <c r="GR26" t="s">
        <v>152</v>
      </c>
      <c r="GS26">
        <f>(GS20+GS24)*(GS21+GS24*2)*(GS22+GS24*2)/10^9</f>
        <v>12.5433</v>
      </c>
    </row>
    <row r="27" spans="1:211" x14ac:dyDescent="0.25">
      <c r="DQ27" t="s">
        <v>58</v>
      </c>
      <c r="DU27">
        <v>1031.6191687575908</v>
      </c>
      <c r="DW27" t="s">
        <v>129</v>
      </c>
      <c r="DX27" s="10">
        <f>DU16+DU40</f>
        <v>24375.835576507543</v>
      </c>
      <c r="EH27" t="s">
        <v>625</v>
      </c>
      <c r="EI27" s="10">
        <f>EI25*2</f>
        <v>41859.076703514598</v>
      </c>
      <c r="ES27" t="s">
        <v>58</v>
      </c>
      <c r="EW27">
        <v>1031.6191687575908</v>
      </c>
      <c r="EY27" t="s">
        <v>129</v>
      </c>
      <c r="EZ27" s="10">
        <f>EW16*2+EW40</f>
        <v>52355.223502048379</v>
      </c>
      <c r="FX27" t="s">
        <v>625</v>
      </c>
      <c r="FY27" s="10">
        <f>FY25*4</f>
        <v>83718.153407029196</v>
      </c>
      <c r="GI27" s="25" t="s">
        <v>58</v>
      </c>
      <c r="GJ27" s="25"/>
      <c r="GK27" s="25"/>
      <c r="GL27" s="25"/>
      <c r="GM27" s="3">
        <f>SUM(GM21:GM24)</f>
        <v>2335.6190602354391</v>
      </c>
      <c r="GP27" s="10"/>
      <c r="GW27" t="s">
        <v>58</v>
      </c>
      <c r="HA27">
        <v>3019.8348152358712</v>
      </c>
    </row>
    <row r="28" spans="1:211" x14ac:dyDescent="0.25">
      <c r="GI28" s="6"/>
      <c r="GJ28" s="6"/>
      <c r="GK28" s="6"/>
      <c r="GL28" s="6"/>
      <c r="GM28" s="6"/>
      <c r="GR28" t="s">
        <v>302</v>
      </c>
      <c r="GS28">
        <f>GS21*GS22*GS24/10^9</f>
        <v>1.2276</v>
      </c>
    </row>
    <row r="29" spans="1:211" x14ac:dyDescent="0.25">
      <c r="GI29" s="6"/>
      <c r="GJ29" s="6"/>
      <c r="GK29" s="6"/>
      <c r="GL29" s="6"/>
      <c r="GM29" s="6"/>
    </row>
    <row r="30" spans="1:211" x14ac:dyDescent="0.25">
      <c r="GI30" s="6"/>
      <c r="GJ30" s="6"/>
      <c r="GK30" s="6"/>
      <c r="GL30" t="s">
        <v>625</v>
      </c>
      <c r="GR30" t="s">
        <v>321</v>
      </c>
      <c r="GZ30" t="s">
        <v>625</v>
      </c>
    </row>
    <row r="31" spans="1:211" x14ac:dyDescent="0.25">
      <c r="DQ31" t="s">
        <v>55</v>
      </c>
      <c r="DR31" t="s">
        <v>56</v>
      </c>
      <c r="DS31" t="s">
        <v>126</v>
      </c>
      <c r="DU31" t="s">
        <v>83</v>
      </c>
      <c r="ES31" t="s">
        <v>55</v>
      </c>
      <c r="ET31" t="s">
        <v>56</v>
      </c>
      <c r="EU31" t="s">
        <v>126</v>
      </c>
      <c r="EW31" t="s">
        <v>83</v>
      </c>
      <c r="GI31" s="6"/>
      <c r="GJ31" s="6"/>
      <c r="GK31" s="6"/>
      <c r="GL31" t="s">
        <v>531</v>
      </c>
      <c r="GM31" s="10">
        <f>GM16*4+GM27</f>
        <v>104619.57076239875</v>
      </c>
      <c r="GS31">
        <v>3010</v>
      </c>
      <c r="GZ31" t="s">
        <v>531</v>
      </c>
      <c r="HA31" s="10">
        <f>HA16*5+HA27</f>
        <v>130874.77444294002</v>
      </c>
    </row>
    <row r="32" spans="1:211" x14ac:dyDescent="0.25">
      <c r="GI32" s="6"/>
      <c r="GJ32" s="6"/>
      <c r="GK32" s="6"/>
      <c r="GL32" s="6"/>
      <c r="GM32" s="6"/>
    </row>
    <row r="33" spans="6:216" x14ac:dyDescent="0.25">
      <c r="DQ33" t="s">
        <v>22</v>
      </c>
      <c r="ES33" t="s">
        <v>22</v>
      </c>
      <c r="GI33" s="6"/>
      <c r="GJ33" s="6"/>
      <c r="GK33" s="6"/>
      <c r="GL33" s="6"/>
      <c r="GM33" s="6"/>
    </row>
    <row r="34" spans="6:216" x14ac:dyDescent="0.25">
      <c r="DQ34" t="s">
        <v>80</v>
      </c>
      <c r="DR34" t="s">
        <v>2</v>
      </c>
      <c r="DS34" t="s">
        <v>81</v>
      </c>
      <c r="DT34" t="s">
        <v>82</v>
      </c>
      <c r="DU34" t="s">
        <v>59</v>
      </c>
      <c r="ES34" t="s">
        <v>80</v>
      </c>
      <c r="ET34" t="s">
        <v>2</v>
      </c>
      <c r="EU34" t="s">
        <v>81</v>
      </c>
      <c r="EV34" t="s">
        <v>82</v>
      </c>
      <c r="EW34" t="s">
        <v>59</v>
      </c>
      <c r="GI34" s="6"/>
      <c r="GJ34" s="6"/>
      <c r="GK34" s="6"/>
      <c r="GL34" s="6"/>
      <c r="GM34" s="6"/>
    </row>
    <row r="35" spans="6:216" x14ac:dyDescent="0.25">
      <c r="DQ35" t="s">
        <v>57</v>
      </c>
      <c r="DR35">
        <v>1</v>
      </c>
      <c r="DS35">
        <v>596.4</v>
      </c>
      <c r="DT35">
        <v>596.4</v>
      </c>
      <c r="DU35">
        <v>596.4</v>
      </c>
      <c r="ES35" t="s">
        <v>57</v>
      </c>
      <c r="ET35">
        <v>1</v>
      </c>
      <c r="EU35">
        <v>596.4</v>
      </c>
      <c r="EV35">
        <v>596.4</v>
      </c>
      <c r="EW35">
        <v>596.4</v>
      </c>
      <c r="GI35" s="6"/>
      <c r="GJ35" s="6"/>
      <c r="GK35" s="6"/>
      <c r="GL35" s="6"/>
      <c r="GM35" s="6"/>
    </row>
    <row r="36" spans="6:216" x14ac:dyDescent="0.25">
      <c r="DQ36" t="s">
        <v>93</v>
      </c>
      <c r="DR36">
        <v>18.118749999999999</v>
      </c>
      <c r="DS36">
        <f>Index!$C$69</f>
        <v>11.9580460758</v>
      </c>
      <c r="DT36">
        <f>Index!$C$69</f>
        <v>11.9580460758</v>
      </c>
      <c r="DU36">
        <v>218.81193668099996</v>
      </c>
      <c r="ES36" t="s">
        <v>93</v>
      </c>
      <c r="ET36">
        <v>18.118749999999999</v>
      </c>
      <c r="EU36">
        <f>Index!$C$69</f>
        <v>11.9580460758</v>
      </c>
      <c r="EV36">
        <f>Index!$C$69</f>
        <v>11.9580460758</v>
      </c>
      <c r="EW36">
        <v>218.81193668099996</v>
      </c>
      <c r="GI36" s="6"/>
      <c r="GJ36" s="6"/>
      <c r="GK36" s="6"/>
      <c r="GL36" s="6"/>
      <c r="GM36" s="6"/>
    </row>
    <row r="37" spans="6:216" x14ac:dyDescent="0.25">
      <c r="DQ37" t="s">
        <v>94</v>
      </c>
      <c r="DR37">
        <v>4</v>
      </c>
      <c r="DS37">
        <v>99.508928571428555</v>
      </c>
      <c r="DT37">
        <v>99.508928571428555</v>
      </c>
      <c r="DU37">
        <v>398.03571428571422</v>
      </c>
      <c r="ES37" t="s">
        <v>94</v>
      </c>
      <c r="ET37">
        <v>4</v>
      </c>
      <c r="EU37">
        <v>99.508928571428555</v>
      </c>
      <c r="EV37">
        <v>99.508928571428555</v>
      </c>
      <c r="EW37">
        <v>398.03571428571422</v>
      </c>
      <c r="GI37" s="6"/>
      <c r="GJ37" s="6"/>
      <c r="GK37" s="6"/>
      <c r="GL37" s="6"/>
      <c r="GM37" s="6"/>
    </row>
    <row r="38" spans="6:216" x14ac:dyDescent="0.25">
      <c r="GI38" s="6"/>
      <c r="GJ38" s="6"/>
      <c r="GK38" s="6"/>
      <c r="GL38" s="6"/>
      <c r="GM38" s="6"/>
    </row>
    <row r="39" spans="6:216" x14ac:dyDescent="0.25">
      <c r="GI39" s="6"/>
      <c r="GJ39" s="6"/>
      <c r="GK39" s="6"/>
      <c r="GL39" s="6"/>
      <c r="GM39" s="6"/>
    </row>
    <row r="40" spans="6:216" x14ac:dyDescent="0.25">
      <c r="DQ40" t="s">
        <v>58</v>
      </c>
      <c r="DU40">
        <v>1213.2476509667142</v>
      </c>
      <c r="ES40" t="s">
        <v>58</v>
      </c>
      <c r="EW40">
        <v>1213.2476509667142</v>
      </c>
      <c r="GI40" s="6"/>
      <c r="GJ40" s="6"/>
      <c r="GK40" s="6"/>
      <c r="GL40" s="6"/>
      <c r="GM40" s="6"/>
    </row>
    <row r="43" spans="6:216" s="17" customFormat="1" ht="18.75" x14ac:dyDescent="0.3">
      <c r="F43" s="19"/>
      <c r="G43" s="17" t="s">
        <v>203</v>
      </c>
      <c r="U43" s="19"/>
      <c r="AI43" s="19"/>
      <c r="BK43" s="19"/>
      <c r="BY43" s="19"/>
      <c r="BZ43" s="19"/>
      <c r="CN43" s="19"/>
      <c r="DA43" s="19"/>
      <c r="DN43" s="19"/>
      <c r="EB43" s="19"/>
      <c r="EP43" s="19"/>
      <c r="FD43" s="19"/>
      <c r="FR43" s="19"/>
      <c r="GF43" s="19"/>
      <c r="GT43" s="19"/>
      <c r="HH43" s="19"/>
    </row>
    <row r="44" spans="6:216" x14ac:dyDescent="0.25">
      <c r="AW44"/>
      <c r="BX44" s="18"/>
      <c r="CK44" s="18"/>
      <c r="CM44"/>
      <c r="CY44" s="18"/>
      <c r="DA44"/>
      <c r="DO44"/>
      <c r="EC44"/>
      <c r="EO44" s="18"/>
      <c r="EQ44"/>
      <c r="FC44" s="18"/>
      <c r="FE44"/>
      <c r="FQ44" s="18"/>
      <c r="FS44"/>
      <c r="GE44" s="18"/>
      <c r="GG44"/>
    </row>
    <row r="45" spans="6:216" x14ac:dyDescent="0.25">
      <c r="DA45"/>
      <c r="DO45"/>
      <c r="DP45" t="s">
        <v>104</v>
      </c>
      <c r="EC45"/>
      <c r="EO45" s="18"/>
      <c r="EQ45"/>
      <c r="FC45" s="18"/>
      <c r="FE45"/>
      <c r="FG45" t="s">
        <v>104</v>
      </c>
      <c r="FU45" t="s">
        <v>104</v>
      </c>
    </row>
    <row r="46" spans="6:216" x14ac:dyDescent="0.25">
      <c r="G46" t="s">
        <v>104</v>
      </c>
      <c r="V46" t="s">
        <v>104</v>
      </c>
      <c r="AJ46" t="s">
        <v>104</v>
      </c>
      <c r="AY46" t="s">
        <v>104</v>
      </c>
      <c r="BM46" t="s">
        <v>104</v>
      </c>
      <c r="CA46" t="s">
        <v>104</v>
      </c>
      <c r="CO46" t="s">
        <v>104</v>
      </c>
      <c r="DC46" t="s">
        <v>104</v>
      </c>
      <c r="EE46" t="s">
        <v>104</v>
      </c>
      <c r="ES46" t="s">
        <v>104</v>
      </c>
      <c r="GI46" t="s">
        <v>104</v>
      </c>
      <c r="GW46" t="s">
        <v>104</v>
      </c>
    </row>
    <row r="48" spans="6:216" x14ac:dyDescent="0.25">
      <c r="DP48" t="s">
        <v>105</v>
      </c>
      <c r="DQ48">
        <v>15</v>
      </c>
      <c r="DR48">
        <v>20</v>
      </c>
      <c r="DS48">
        <v>30</v>
      </c>
      <c r="DT48">
        <v>40</v>
      </c>
      <c r="DU48">
        <v>50</v>
      </c>
      <c r="DV48">
        <v>60</v>
      </c>
      <c r="DW48">
        <v>70</v>
      </c>
      <c r="DX48">
        <v>80</v>
      </c>
      <c r="DY48">
        <v>90</v>
      </c>
      <c r="DZ48">
        <v>100</v>
      </c>
      <c r="FG48" t="s">
        <v>105</v>
      </c>
      <c r="FH48">
        <v>15</v>
      </c>
      <c r="FI48">
        <v>20</v>
      </c>
      <c r="FJ48">
        <v>30</v>
      </c>
      <c r="FK48">
        <v>40</v>
      </c>
      <c r="FL48">
        <v>50</v>
      </c>
      <c r="FM48">
        <v>60</v>
      </c>
      <c r="FN48">
        <v>70</v>
      </c>
      <c r="FO48">
        <v>80</v>
      </c>
      <c r="FP48">
        <v>90</v>
      </c>
      <c r="FQ48">
        <v>100</v>
      </c>
      <c r="FU48" t="s">
        <v>105</v>
      </c>
      <c r="FV48">
        <v>15</v>
      </c>
      <c r="FW48">
        <v>20</v>
      </c>
      <c r="FX48">
        <v>30</v>
      </c>
      <c r="FY48">
        <v>40</v>
      </c>
      <c r="FZ48">
        <v>50</v>
      </c>
      <c r="GA48">
        <v>60</v>
      </c>
      <c r="GB48">
        <v>70</v>
      </c>
      <c r="GC48">
        <v>80</v>
      </c>
      <c r="GD48">
        <v>90</v>
      </c>
      <c r="GE48">
        <v>100</v>
      </c>
    </row>
    <row r="49" spans="7:215" x14ac:dyDescent="0.25">
      <c r="G49" t="s">
        <v>105</v>
      </c>
      <c r="H49">
        <v>15</v>
      </c>
      <c r="I49">
        <v>20</v>
      </c>
      <c r="J49">
        <v>30</v>
      </c>
      <c r="K49">
        <v>40</v>
      </c>
      <c r="L49">
        <v>50</v>
      </c>
      <c r="M49">
        <v>60</v>
      </c>
      <c r="N49">
        <v>70</v>
      </c>
      <c r="O49">
        <v>80</v>
      </c>
      <c r="P49">
        <v>90</v>
      </c>
      <c r="Q49">
        <v>100</v>
      </c>
      <c r="V49" t="s">
        <v>105</v>
      </c>
      <c r="W49">
        <v>15</v>
      </c>
      <c r="X49">
        <v>20</v>
      </c>
      <c r="Y49">
        <v>30</v>
      </c>
      <c r="Z49">
        <v>40</v>
      </c>
      <c r="AA49">
        <v>50</v>
      </c>
      <c r="AB49">
        <v>60</v>
      </c>
      <c r="AC49">
        <v>70</v>
      </c>
      <c r="AD49">
        <v>80</v>
      </c>
      <c r="AE49">
        <v>90</v>
      </c>
      <c r="AF49">
        <v>100</v>
      </c>
      <c r="AJ49" t="s">
        <v>105</v>
      </c>
      <c r="AK49">
        <v>15</v>
      </c>
      <c r="AL49">
        <v>20</v>
      </c>
      <c r="AM49">
        <v>30</v>
      </c>
      <c r="AN49">
        <v>40</v>
      </c>
      <c r="AO49">
        <v>50</v>
      </c>
      <c r="AP49">
        <v>60</v>
      </c>
      <c r="AQ49">
        <v>70</v>
      </c>
      <c r="AR49">
        <v>80</v>
      </c>
      <c r="AS49">
        <v>90</v>
      </c>
      <c r="AT49">
        <v>100</v>
      </c>
      <c r="AY49" t="s">
        <v>105</v>
      </c>
      <c r="AZ49">
        <v>15</v>
      </c>
      <c r="BA49">
        <v>20</v>
      </c>
      <c r="BB49">
        <v>30</v>
      </c>
      <c r="BC49">
        <v>40</v>
      </c>
      <c r="BD49">
        <v>50</v>
      </c>
      <c r="BE49">
        <v>60</v>
      </c>
      <c r="BF49">
        <v>70</v>
      </c>
      <c r="BG49">
        <v>80</v>
      </c>
      <c r="BH49">
        <v>90</v>
      </c>
      <c r="BI49">
        <v>100</v>
      </c>
      <c r="BM49" t="s">
        <v>105</v>
      </c>
      <c r="BN49">
        <v>15</v>
      </c>
      <c r="BO49">
        <v>20</v>
      </c>
      <c r="BP49">
        <v>30</v>
      </c>
      <c r="BQ49">
        <v>40</v>
      </c>
      <c r="BR49">
        <v>50</v>
      </c>
      <c r="BS49">
        <v>60</v>
      </c>
      <c r="BT49">
        <v>70</v>
      </c>
      <c r="BU49">
        <v>80</v>
      </c>
      <c r="BV49">
        <v>90</v>
      </c>
      <c r="BW49">
        <v>100</v>
      </c>
      <c r="CA49" t="s">
        <v>105</v>
      </c>
      <c r="CB49">
        <v>15</v>
      </c>
      <c r="CC49">
        <v>20</v>
      </c>
      <c r="CD49">
        <v>30</v>
      </c>
      <c r="CE49">
        <v>40</v>
      </c>
      <c r="CF49">
        <v>50</v>
      </c>
      <c r="CG49">
        <v>60</v>
      </c>
      <c r="CH49">
        <v>70</v>
      </c>
      <c r="CI49">
        <v>80</v>
      </c>
      <c r="CJ49">
        <v>90</v>
      </c>
      <c r="CK49">
        <v>100</v>
      </c>
      <c r="CO49" t="s">
        <v>105</v>
      </c>
      <c r="CP49">
        <v>15</v>
      </c>
      <c r="CQ49">
        <v>20</v>
      </c>
      <c r="CR49">
        <v>30</v>
      </c>
      <c r="CS49">
        <v>40</v>
      </c>
      <c r="CT49">
        <v>50</v>
      </c>
      <c r="CU49">
        <v>60</v>
      </c>
      <c r="CV49">
        <v>70</v>
      </c>
      <c r="CW49">
        <v>80</v>
      </c>
      <c r="CX49">
        <v>90</v>
      </c>
      <c r="CY49">
        <v>100</v>
      </c>
      <c r="DC49" t="s">
        <v>105</v>
      </c>
      <c r="DD49">
        <v>15</v>
      </c>
      <c r="DE49">
        <v>20</v>
      </c>
      <c r="DF49">
        <v>30</v>
      </c>
      <c r="DG49">
        <v>40</v>
      </c>
      <c r="DH49">
        <v>50</v>
      </c>
      <c r="DI49">
        <v>60</v>
      </c>
      <c r="DJ49">
        <v>70</v>
      </c>
      <c r="DK49">
        <v>80</v>
      </c>
      <c r="DL49">
        <v>90</v>
      </c>
      <c r="DM49">
        <v>100</v>
      </c>
      <c r="DP49" t="s">
        <v>106</v>
      </c>
      <c r="DQ49">
        <v>200</v>
      </c>
      <c r="DR49">
        <v>200</v>
      </c>
      <c r="DS49">
        <v>200</v>
      </c>
      <c r="DT49">
        <v>200</v>
      </c>
      <c r="DU49">
        <v>200</v>
      </c>
      <c r="DV49">
        <v>200</v>
      </c>
      <c r="DW49">
        <v>200</v>
      </c>
      <c r="DX49">
        <v>200</v>
      </c>
      <c r="DY49">
        <v>200</v>
      </c>
      <c r="DZ49">
        <v>200</v>
      </c>
      <c r="EE49" t="s">
        <v>105</v>
      </c>
      <c r="EF49">
        <v>15</v>
      </c>
      <c r="EG49">
        <v>20</v>
      </c>
      <c r="EH49">
        <v>30</v>
      </c>
      <c r="EI49">
        <v>40</v>
      </c>
      <c r="EJ49">
        <v>50</v>
      </c>
      <c r="EK49">
        <v>60</v>
      </c>
      <c r="EL49">
        <v>70</v>
      </c>
      <c r="EM49">
        <v>80</v>
      </c>
      <c r="EN49">
        <v>90</v>
      </c>
      <c r="EO49">
        <v>100</v>
      </c>
      <c r="ES49" t="s">
        <v>105</v>
      </c>
      <c r="ET49">
        <v>15</v>
      </c>
      <c r="EU49">
        <v>20</v>
      </c>
      <c r="EV49">
        <v>30</v>
      </c>
      <c r="EW49">
        <v>40</v>
      </c>
      <c r="EX49">
        <v>50</v>
      </c>
      <c r="EY49">
        <v>60</v>
      </c>
      <c r="EZ49">
        <v>70</v>
      </c>
      <c r="FA49">
        <v>80</v>
      </c>
      <c r="FB49">
        <v>90</v>
      </c>
      <c r="FC49">
        <v>100</v>
      </c>
      <c r="FG49" t="s">
        <v>106</v>
      </c>
      <c r="FH49">
        <v>500</v>
      </c>
      <c r="FI49">
        <v>500</v>
      </c>
      <c r="FJ49">
        <v>500</v>
      </c>
      <c r="FK49">
        <v>500</v>
      </c>
      <c r="FL49">
        <v>500</v>
      </c>
      <c r="FM49">
        <v>500</v>
      </c>
      <c r="FN49">
        <v>500</v>
      </c>
      <c r="FO49">
        <v>500</v>
      </c>
      <c r="FP49">
        <v>500</v>
      </c>
      <c r="FQ49">
        <v>500</v>
      </c>
      <c r="FU49" t="s">
        <v>106</v>
      </c>
      <c r="FV49">
        <v>600</v>
      </c>
      <c r="FW49">
        <v>600</v>
      </c>
      <c r="FX49">
        <v>600</v>
      </c>
      <c r="FY49">
        <v>600</v>
      </c>
      <c r="FZ49">
        <v>600</v>
      </c>
      <c r="GA49">
        <v>600</v>
      </c>
      <c r="GB49">
        <v>600</v>
      </c>
      <c r="GC49">
        <v>600</v>
      </c>
      <c r="GD49">
        <v>600</v>
      </c>
      <c r="GE49">
        <v>600</v>
      </c>
      <c r="GI49" t="s">
        <v>105</v>
      </c>
      <c r="GJ49">
        <v>15</v>
      </c>
      <c r="GK49">
        <v>20</v>
      </c>
      <c r="GL49">
        <v>30</v>
      </c>
      <c r="GM49">
        <v>40</v>
      </c>
      <c r="GN49">
        <v>50</v>
      </c>
      <c r="GO49">
        <v>60</v>
      </c>
      <c r="GP49">
        <v>70</v>
      </c>
      <c r="GQ49">
        <v>80</v>
      </c>
      <c r="GR49">
        <v>90</v>
      </c>
      <c r="GS49">
        <v>100</v>
      </c>
      <c r="GW49" t="s">
        <v>105</v>
      </c>
      <c r="GX49">
        <v>15</v>
      </c>
      <c r="GY49">
        <v>20</v>
      </c>
      <c r="GZ49">
        <v>30</v>
      </c>
      <c r="HA49">
        <v>40</v>
      </c>
      <c r="HB49">
        <v>50</v>
      </c>
      <c r="HC49">
        <v>60</v>
      </c>
      <c r="HD49">
        <v>70</v>
      </c>
      <c r="HE49">
        <v>80</v>
      </c>
      <c r="HF49">
        <v>90</v>
      </c>
      <c r="HG49">
        <v>100</v>
      </c>
    </row>
    <row r="50" spans="7:215" x14ac:dyDescent="0.25">
      <c r="G50" t="s">
        <v>106</v>
      </c>
      <c r="H50">
        <v>5</v>
      </c>
      <c r="I50">
        <v>5</v>
      </c>
      <c r="J50">
        <v>5</v>
      </c>
      <c r="K50">
        <v>5</v>
      </c>
      <c r="L50">
        <v>5</v>
      </c>
      <c r="M50">
        <v>5</v>
      </c>
      <c r="N50">
        <v>5</v>
      </c>
      <c r="O50">
        <v>5</v>
      </c>
      <c r="P50">
        <v>5</v>
      </c>
      <c r="Q50">
        <v>5</v>
      </c>
      <c r="V50" t="s">
        <v>106</v>
      </c>
      <c r="W50">
        <v>10</v>
      </c>
      <c r="X50">
        <v>10</v>
      </c>
      <c r="Y50">
        <v>10</v>
      </c>
      <c r="Z50">
        <v>10</v>
      </c>
      <c r="AA50">
        <v>10</v>
      </c>
      <c r="AB50">
        <v>10</v>
      </c>
      <c r="AC50">
        <v>10</v>
      </c>
      <c r="AD50">
        <v>10</v>
      </c>
      <c r="AE50">
        <v>10</v>
      </c>
      <c r="AF50">
        <v>10</v>
      </c>
      <c r="AJ50" t="s">
        <v>106</v>
      </c>
      <c r="AK50">
        <v>20</v>
      </c>
      <c r="AL50">
        <v>20</v>
      </c>
      <c r="AM50">
        <v>20</v>
      </c>
      <c r="AN50">
        <v>20</v>
      </c>
      <c r="AO50">
        <v>20</v>
      </c>
      <c r="AP50">
        <v>20</v>
      </c>
      <c r="AQ50">
        <v>20</v>
      </c>
      <c r="AR50">
        <v>20</v>
      </c>
      <c r="AS50">
        <v>20</v>
      </c>
      <c r="AT50">
        <v>20</v>
      </c>
      <c r="AY50" t="s">
        <v>106</v>
      </c>
      <c r="AZ50">
        <v>30</v>
      </c>
      <c r="BA50">
        <v>30</v>
      </c>
      <c r="BB50">
        <v>30</v>
      </c>
      <c r="BC50">
        <v>30</v>
      </c>
      <c r="BD50">
        <v>30</v>
      </c>
      <c r="BE50">
        <v>30</v>
      </c>
      <c r="BF50">
        <v>30</v>
      </c>
      <c r="BG50">
        <v>30</v>
      </c>
      <c r="BH50">
        <v>30</v>
      </c>
      <c r="BI50">
        <v>30</v>
      </c>
      <c r="BM50" t="s">
        <v>106</v>
      </c>
      <c r="BN50">
        <v>50</v>
      </c>
      <c r="BO50">
        <v>50</v>
      </c>
      <c r="BP50">
        <v>50</v>
      </c>
      <c r="BQ50">
        <v>50</v>
      </c>
      <c r="BR50">
        <v>50</v>
      </c>
      <c r="BS50">
        <v>50</v>
      </c>
      <c r="BT50">
        <v>50</v>
      </c>
      <c r="BU50">
        <v>50</v>
      </c>
      <c r="BV50">
        <v>50</v>
      </c>
      <c r="BW50">
        <v>50</v>
      </c>
      <c r="CA50" t="s">
        <v>106</v>
      </c>
      <c r="CB50">
        <v>75</v>
      </c>
      <c r="CC50">
        <v>75</v>
      </c>
      <c r="CD50">
        <v>75</v>
      </c>
      <c r="CE50">
        <v>75</v>
      </c>
      <c r="CF50">
        <v>75</v>
      </c>
      <c r="CG50">
        <v>75</v>
      </c>
      <c r="CH50">
        <v>75</v>
      </c>
      <c r="CI50">
        <v>75</v>
      </c>
      <c r="CJ50">
        <v>75</v>
      </c>
      <c r="CK50">
        <v>75</v>
      </c>
      <c r="CO50" t="s">
        <v>106</v>
      </c>
      <c r="CP50">
        <v>100</v>
      </c>
      <c r="CQ50">
        <v>100</v>
      </c>
      <c r="CR50">
        <v>100</v>
      </c>
      <c r="CS50">
        <v>100</v>
      </c>
      <c r="CT50">
        <v>100</v>
      </c>
      <c r="CU50">
        <v>100</v>
      </c>
      <c r="CV50">
        <v>100</v>
      </c>
      <c r="CW50">
        <v>100</v>
      </c>
      <c r="CX50">
        <v>100</v>
      </c>
      <c r="CY50">
        <v>100</v>
      </c>
      <c r="DC50" t="s">
        <v>106</v>
      </c>
      <c r="DD50">
        <v>150</v>
      </c>
      <c r="DE50">
        <v>150</v>
      </c>
      <c r="DF50">
        <v>150</v>
      </c>
      <c r="DG50">
        <v>150</v>
      </c>
      <c r="DH50">
        <v>150</v>
      </c>
      <c r="DI50">
        <v>150</v>
      </c>
      <c r="DJ50">
        <v>150</v>
      </c>
      <c r="DK50">
        <v>150</v>
      </c>
      <c r="DL50">
        <v>150</v>
      </c>
      <c r="DM50">
        <v>150</v>
      </c>
      <c r="EE50" t="s">
        <v>106</v>
      </c>
      <c r="EF50">
        <v>300</v>
      </c>
      <c r="EG50">
        <v>300</v>
      </c>
      <c r="EH50">
        <v>300</v>
      </c>
      <c r="EI50">
        <v>300</v>
      </c>
      <c r="EJ50">
        <v>300</v>
      </c>
      <c r="EK50">
        <v>300</v>
      </c>
      <c r="EL50">
        <v>300</v>
      </c>
      <c r="EM50">
        <v>300</v>
      </c>
      <c r="EN50">
        <v>300</v>
      </c>
      <c r="EO50">
        <v>300</v>
      </c>
      <c r="ES50" t="s">
        <v>106</v>
      </c>
      <c r="ET50">
        <v>400</v>
      </c>
      <c r="EU50">
        <v>400</v>
      </c>
      <c r="EV50">
        <v>400</v>
      </c>
      <c r="EW50">
        <v>400</v>
      </c>
      <c r="EX50">
        <v>400</v>
      </c>
      <c r="EY50">
        <v>400</v>
      </c>
      <c r="EZ50">
        <v>400</v>
      </c>
      <c r="FA50">
        <v>400</v>
      </c>
      <c r="FB50">
        <v>400</v>
      </c>
      <c r="FC50">
        <v>400</v>
      </c>
      <c r="GI50" t="s">
        <v>106</v>
      </c>
      <c r="GJ50">
        <v>800</v>
      </c>
      <c r="GK50">
        <v>800</v>
      </c>
      <c r="GL50">
        <v>800</v>
      </c>
      <c r="GM50">
        <v>800</v>
      </c>
      <c r="GN50">
        <v>800</v>
      </c>
      <c r="GO50">
        <v>800</v>
      </c>
      <c r="GP50">
        <v>800</v>
      </c>
      <c r="GQ50">
        <v>800</v>
      </c>
      <c r="GR50">
        <v>800</v>
      </c>
      <c r="GS50">
        <v>800</v>
      </c>
      <c r="GW50" t="s">
        <v>106</v>
      </c>
      <c r="GX50">
        <v>1000</v>
      </c>
      <c r="GY50">
        <v>1000</v>
      </c>
      <c r="GZ50">
        <v>1000</v>
      </c>
      <c r="HA50">
        <v>1000</v>
      </c>
      <c r="HB50">
        <v>1000</v>
      </c>
      <c r="HC50">
        <v>1000</v>
      </c>
      <c r="HD50">
        <v>1000</v>
      </c>
      <c r="HE50">
        <v>1000</v>
      </c>
      <c r="HF50">
        <v>1000</v>
      </c>
      <c r="HG50">
        <v>1000</v>
      </c>
    </row>
    <row r="51" spans="7:215" x14ac:dyDescent="0.25">
      <c r="DP51" t="s">
        <v>107</v>
      </c>
      <c r="DQ51">
        <f>DQ48*DQ49*0.25</f>
        <v>750</v>
      </c>
      <c r="DR51">
        <f t="shared" ref="DR51:DZ51" si="9">DR48*DR49*0.25</f>
        <v>1000</v>
      </c>
      <c r="DS51">
        <f t="shared" si="9"/>
        <v>1500</v>
      </c>
      <c r="DT51">
        <f t="shared" si="9"/>
        <v>2000</v>
      </c>
      <c r="DU51">
        <f t="shared" si="9"/>
        <v>2500</v>
      </c>
      <c r="DV51">
        <f t="shared" si="9"/>
        <v>3000</v>
      </c>
      <c r="DW51">
        <f t="shared" si="9"/>
        <v>3500</v>
      </c>
      <c r="DX51">
        <f t="shared" si="9"/>
        <v>4000</v>
      </c>
      <c r="DY51">
        <f t="shared" si="9"/>
        <v>4500</v>
      </c>
      <c r="DZ51">
        <f t="shared" si="9"/>
        <v>5000</v>
      </c>
      <c r="FG51" t="s">
        <v>107</v>
      </c>
      <c r="FH51">
        <f>FH48*FH49*0.25</f>
        <v>1875</v>
      </c>
      <c r="FI51">
        <f t="shared" ref="FI51:FQ51" si="10">FI48*FI49*0.25</f>
        <v>2500</v>
      </c>
      <c r="FJ51">
        <f t="shared" si="10"/>
        <v>3750</v>
      </c>
      <c r="FK51">
        <f t="shared" si="10"/>
        <v>5000</v>
      </c>
      <c r="FL51">
        <f t="shared" si="10"/>
        <v>6250</v>
      </c>
      <c r="FM51">
        <f t="shared" si="10"/>
        <v>7500</v>
      </c>
      <c r="FN51">
        <f t="shared" si="10"/>
        <v>8750</v>
      </c>
      <c r="FO51">
        <f t="shared" si="10"/>
        <v>10000</v>
      </c>
      <c r="FP51">
        <f t="shared" si="10"/>
        <v>11250</v>
      </c>
      <c r="FQ51">
        <f t="shared" si="10"/>
        <v>12500</v>
      </c>
      <c r="FU51" t="s">
        <v>107</v>
      </c>
      <c r="FV51">
        <f>FV48*FV49*0.25</f>
        <v>2250</v>
      </c>
      <c r="FW51">
        <f t="shared" ref="FW51:GE51" si="11">FW48*FW49*0.25</f>
        <v>3000</v>
      </c>
      <c r="FX51">
        <f t="shared" si="11"/>
        <v>4500</v>
      </c>
      <c r="FY51">
        <f t="shared" si="11"/>
        <v>6000</v>
      </c>
      <c r="FZ51">
        <f t="shared" si="11"/>
        <v>7500</v>
      </c>
      <c r="GA51">
        <f t="shared" si="11"/>
        <v>9000</v>
      </c>
      <c r="GB51">
        <f t="shared" si="11"/>
        <v>10500</v>
      </c>
      <c r="GC51">
        <f t="shared" si="11"/>
        <v>12000</v>
      </c>
      <c r="GD51">
        <f t="shared" si="11"/>
        <v>13500</v>
      </c>
      <c r="GE51">
        <f t="shared" si="11"/>
        <v>15000</v>
      </c>
    </row>
    <row r="52" spans="7:215" x14ac:dyDescent="0.25">
      <c r="G52" t="s">
        <v>107</v>
      </c>
      <c r="H52">
        <f>H49*H50*0.25</f>
        <v>18.75</v>
      </c>
      <c r="I52">
        <f t="shared" ref="I52:Q52" si="12">I49*I50*0.25</f>
        <v>25</v>
      </c>
      <c r="J52">
        <f t="shared" si="12"/>
        <v>37.5</v>
      </c>
      <c r="K52">
        <f t="shared" si="12"/>
        <v>50</v>
      </c>
      <c r="L52">
        <f>L49*L50*0.25</f>
        <v>62.5</v>
      </c>
      <c r="M52">
        <f t="shared" si="12"/>
        <v>75</v>
      </c>
      <c r="N52">
        <f t="shared" si="12"/>
        <v>87.5</v>
      </c>
      <c r="O52">
        <f t="shared" si="12"/>
        <v>100</v>
      </c>
      <c r="P52">
        <f t="shared" si="12"/>
        <v>112.5</v>
      </c>
      <c r="Q52">
        <f t="shared" si="12"/>
        <v>125</v>
      </c>
      <c r="V52" t="s">
        <v>107</v>
      </c>
      <c r="W52">
        <f>W49*W50*0.25</f>
        <v>37.5</v>
      </c>
      <c r="X52">
        <f t="shared" ref="X52:AF52" si="13">X49*X50*0.25</f>
        <v>50</v>
      </c>
      <c r="Y52">
        <f t="shared" si="13"/>
        <v>75</v>
      </c>
      <c r="Z52">
        <f t="shared" si="13"/>
        <v>100</v>
      </c>
      <c r="AA52">
        <f t="shared" si="13"/>
        <v>125</v>
      </c>
      <c r="AB52">
        <f t="shared" si="13"/>
        <v>150</v>
      </c>
      <c r="AC52">
        <f t="shared" si="13"/>
        <v>175</v>
      </c>
      <c r="AD52">
        <f t="shared" si="13"/>
        <v>200</v>
      </c>
      <c r="AE52">
        <f t="shared" si="13"/>
        <v>225</v>
      </c>
      <c r="AF52">
        <f t="shared" si="13"/>
        <v>250</v>
      </c>
      <c r="AJ52" t="s">
        <v>107</v>
      </c>
      <c r="AK52">
        <f>AK49*AK50*0.25</f>
        <v>75</v>
      </c>
      <c r="AL52">
        <f t="shared" ref="AL52:AT52" si="14">AL49*AL50*0.25</f>
        <v>100</v>
      </c>
      <c r="AM52">
        <f t="shared" si="14"/>
        <v>150</v>
      </c>
      <c r="AN52">
        <f t="shared" si="14"/>
        <v>200</v>
      </c>
      <c r="AO52">
        <f t="shared" si="14"/>
        <v>250</v>
      </c>
      <c r="AP52">
        <f t="shared" si="14"/>
        <v>300</v>
      </c>
      <c r="AQ52">
        <f t="shared" si="14"/>
        <v>350</v>
      </c>
      <c r="AR52">
        <f t="shared" si="14"/>
        <v>400</v>
      </c>
      <c r="AS52">
        <f t="shared" si="14"/>
        <v>450</v>
      </c>
      <c r="AT52">
        <f t="shared" si="14"/>
        <v>500</v>
      </c>
      <c r="AY52" t="s">
        <v>107</v>
      </c>
      <c r="AZ52">
        <f>AZ49*AZ50*0.25</f>
        <v>112.5</v>
      </c>
      <c r="BA52">
        <f t="shared" ref="BA52:BI52" si="15">BA49*BA50*0.25</f>
        <v>150</v>
      </c>
      <c r="BB52">
        <f t="shared" si="15"/>
        <v>225</v>
      </c>
      <c r="BC52">
        <f t="shared" si="15"/>
        <v>300</v>
      </c>
      <c r="BD52">
        <f t="shared" si="15"/>
        <v>375</v>
      </c>
      <c r="BE52">
        <f t="shared" si="15"/>
        <v>450</v>
      </c>
      <c r="BF52">
        <f t="shared" si="15"/>
        <v>525</v>
      </c>
      <c r="BG52">
        <f t="shared" si="15"/>
        <v>600</v>
      </c>
      <c r="BH52">
        <f t="shared" si="15"/>
        <v>675</v>
      </c>
      <c r="BI52">
        <f t="shared" si="15"/>
        <v>750</v>
      </c>
      <c r="BM52" t="s">
        <v>107</v>
      </c>
      <c r="BN52">
        <f>BN49*BN50*0.25</f>
        <v>187.5</v>
      </c>
      <c r="BO52">
        <f t="shared" ref="BO52:BW52" si="16">BO49*BO50*0.25</f>
        <v>250</v>
      </c>
      <c r="BP52">
        <f t="shared" si="16"/>
        <v>375</v>
      </c>
      <c r="BQ52">
        <f t="shared" si="16"/>
        <v>500</v>
      </c>
      <c r="BR52">
        <f t="shared" si="16"/>
        <v>625</v>
      </c>
      <c r="BS52">
        <f t="shared" si="16"/>
        <v>750</v>
      </c>
      <c r="BT52">
        <f t="shared" si="16"/>
        <v>875</v>
      </c>
      <c r="BU52">
        <f t="shared" si="16"/>
        <v>1000</v>
      </c>
      <c r="BV52">
        <f t="shared" si="16"/>
        <v>1125</v>
      </c>
      <c r="BW52">
        <f t="shared" si="16"/>
        <v>1250</v>
      </c>
      <c r="CA52" t="s">
        <v>107</v>
      </c>
      <c r="CB52">
        <f>CB49*CB50*0.25</f>
        <v>281.25</v>
      </c>
      <c r="CC52">
        <f t="shared" ref="CC52:CK52" si="17">CC49*CC50*0.25</f>
        <v>375</v>
      </c>
      <c r="CD52">
        <f t="shared" si="17"/>
        <v>562.5</v>
      </c>
      <c r="CE52">
        <f t="shared" si="17"/>
        <v>750</v>
      </c>
      <c r="CF52">
        <f t="shared" si="17"/>
        <v>937.5</v>
      </c>
      <c r="CG52">
        <f t="shared" si="17"/>
        <v>1125</v>
      </c>
      <c r="CH52">
        <f t="shared" si="17"/>
        <v>1312.5</v>
      </c>
      <c r="CI52">
        <f t="shared" si="17"/>
        <v>1500</v>
      </c>
      <c r="CJ52">
        <f t="shared" si="17"/>
        <v>1687.5</v>
      </c>
      <c r="CK52">
        <f t="shared" si="17"/>
        <v>1875</v>
      </c>
      <c r="CO52" t="s">
        <v>107</v>
      </c>
      <c r="CP52">
        <f>CP49*CP50*0.25</f>
        <v>375</v>
      </c>
      <c r="CQ52">
        <f t="shared" ref="CQ52:CY52" si="18">CQ49*CQ50*0.25</f>
        <v>500</v>
      </c>
      <c r="CR52">
        <f t="shared" si="18"/>
        <v>750</v>
      </c>
      <c r="CS52">
        <f t="shared" si="18"/>
        <v>1000</v>
      </c>
      <c r="CT52">
        <f t="shared" si="18"/>
        <v>1250</v>
      </c>
      <c r="CU52">
        <f t="shared" si="18"/>
        <v>1500</v>
      </c>
      <c r="CV52">
        <f t="shared" si="18"/>
        <v>1750</v>
      </c>
      <c r="CW52">
        <f t="shared" si="18"/>
        <v>2000</v>
      </c>
      <c r="CX52">
        <f t="shared" si="18"/>
        <v>2250</v>
      </c>
      <c r="CY52">
        <f t="shared" si="18"/>
        <v>2500</v>
      </c>
      <c r="DC52" t="s">
        <v>107</v>
      </c>
      <c r="DD52">
        <f>DD49*DD50*0.25</f>
        <v>562.5</v>
      </c>
      <c r="DE52">
        <f t="shared" ref="DE52:DM52" si="19">DE49*DE50*0.25</f>
        <v>750</v>
      </c>
      <c r="DF52">
        <f t="shared" si="19"/>
        <v>1125</v>
      </c>
      <c r="DG52">
        <f t="shared" si="19"/>
        <v>1500</v>
      </c>
      <c r="DH52">
        <f t="shared" si="19"/>
        <v>1875</v>
      </c>
      <c r="DI52">
        <f t="shared" si="19"/>
        <v>2250</v>
      </c>
      <c r="DJ52">
        <f t="shared" si="19"/>
        <v>2625</v>
      </c>
      <c r="DK52">
        <f t="shared" si="19"/>
        <v>3000</v>
      </c>
      <c r="DL52">
        <f t="shared" si="19"/>
        <v>3375</v>
      </c>
      <c r="DM52">
        <f t="shared" si="19"/>
        <v>3750</v>
      </c>
      <c r="EE52" t="s">
        <v>107</v>
      </c>
      <c r="EF52">
        <f>EF49*EF50*0.25</f>
        <v>1125</v>
      </c>
      <c r="EG52">
        <f t="shared" ref="EG52:EO52" si="20">EG49*EG50*0.25</f>
        <v>1500</v>
      </c>
      <c r="EH52">
        <f t="shared" si="20"/>
        <v>2250</v>
      </c>
      <c r="EI52">
        <f t="shared" si="20"/>
        <v>3000</v>
      </c>
      <c r="EJ52">
        <f t="shared" si="20"/>
        <v>3750</v>
      </c>
      <c r="EK52">
        <f t="shared" si="20"/>
        <v>4500</v>
      </c>
      <c r="EL52">
        <f t="shared" si="20"/>
        <v>5250</v>
      </c>
      <c r="EM52">
        <f t="shared" si="20"/>
        <v>6000</v>
      </c>
      <c r="EN52">
        <f t="shared" si="20"/>
        <v>6750</v>
      </c>
      <c r="EO52">
        <f t="shared" si="20"/>
        <v>7500</v>
      </c>
      <c r="ES52" t="s">
        <v>107</v>
      </c>
      <c r="ET52">
        <f>ET49*ET50*0.25</f>
        <v>1500</v>
      </c>
      <c r="EU52">
        <f t="shared" ref="EU52:FC52" si="21">EU49*EU50*0.25</f>
        <v>2000</v>
      </c>
      <c r="EV52">
        <f t="shared" si="21"/>
        <v>3000</v>
      </c>
      <c r="EW52">
        <f t="shared" si="21"/>
        <v>4000</v>
      </c>
      <c r="EX52">
        <f t="shared" si="21"/>
        <v>5000</v>
      </c>
      <c r="EY52">
        <f t="shared" si="21"/>
        <v>6000</v>
      </c>
      <c r="EZ52">
        <f t="shared" si="21"/>
        <v>7000</v>
      </c>
      <c r="FA52">
        <f t="shared" si="21"/>
        <v>8000</v>
      </c>
      <c r="FB52">
        <f t="shared" si="21"/>
        <v>9000</v>
      </c>
      <c r="FC52">
        <f t="shared" si="21"/>
        <v>10000</v>
      </c>
      <c r="GI52" t="s">
        <v>107</v>
      </c>
      <c r="GJ52">
        <f>GJ49*GJ50*0.25</f>
        <v>3000</v>
      </c>
      <c r="GK52">
        <f t="shared" ref="GK52:GS52" si="22">GK49*GK50*0.25</f>
        <v>4000</v>
      </c>
      <c r="GL52">
        <f t="shared" si="22"/>
        <v>6000</v>
      </c>
      <c r="GM52">
        <f t="shared" si="22"/>
        <v>8000</v>
      </c>
      <c r="GN52">
        <f t="shared" si="22"/>
        <v>10000</v>
      </c>
      <c r="GO52">
        <f t="shared" si="22"/>
        <v>12000</v>
      </c>
      <c r="GP52">
        <f t="shared" si="22"/>
        <v>14000</v>
      </c>
      <c r="GQ52">
        <f t="shared" si="22"/>
        <v>16000</v>
      </c>
      <c r="GR52">
        <f t="shared" si="22"/>
        <v>18000</v>
      </c>
      <c r="GS52">
        <f t="shared" si="22"/>
        <v>20000</v>
      </c>
      <c r="GW52" t="s">
        <v>107</v>
      </c>
      <c r="GX52">
        <f>GX49*GX50*0.25</f>
        <v>3750</v>
      </c>
      <c r="GY52">
        <f t="shared" ref="GY52:HG52" si="23">GY49*GY50*0.25</f>
        <v>5000</v>
      </c>
      <c r="GZ52">
        <f t="shared" si="23"/>
        <v>7500</v>
      </c>
      <c r="HA52">
        <f t="shared" si="23"/>
        <v>10000</v>
      </c>
      <c r="HB52">
        <f t="shared" si="23"/>
        <v>12500</v>
      </c>
      <c r="HC52">
        <f t="shared" si="23"/>
        <v>15000</v>
      </c>
      <c r="HD52">
        <f t="shared" si="23"/>
        <v>17500</v>
      </c>
      <c r="HE52">
        <f t="shared" si="23"/>
        <v>20000</v>
      </c>
      <c r="HF52">
        <f t="shared" si="23"/>
        <v>22500</v>
      </c>
      <c r="HG52">
        <f t="shared" si="23"/>
        <v>25000</v>
      </c>
    </row>
    <row r="53" spans="7:215" x14ac:dyDescent="0.25">
      <c r="DP53" t="s">
        <v>266</v>
      </c>
      <c r="DQ53">
        <v>7</v>
      </c>
      <c r="DR53">
        <v>11</v>
      </c>
      <c r="DS53">
        <v>16</v>
      </c>
      <c r="DT53">
        <v>21</v>
      </c>
      <c r="DU53">
        <v>26</v>
      </c>
      <c r="DV53">
        <v>31</v>
      </c>
      <c r="DW53">
        <v>36</v>
      </c>
      <c r="DX53">
        <v>41</v>
      </c>
      <c r="DY53">
        <v>46</v>
      </c>
      <c r="DZ53">
        <v>51</v>
      </c>
      <c r="FG53" t="s">
        <v>266</v>
      </c>
      <c r="FH53">
        <v>7</v>
      </c>
      <c r="FI53">
        <v>11</v>
      </c>
      <c r="FJ53">
        <v>16</v>
      </c>
      <c r="FK53">
        <v>21</v>
      </c>
      <c r="FL53">
        <v>26</v>
      </c>
      <c r="FM53">
        <v>31</v>
      </c>
      <c r="FN53">
        <v>36</v>
      </c>
      <c r="FO53">
        <v>41</v>
      </c>
      <c r="FP53">
        <v>46</v>
      </c>
      <c r="FQ53">
        <v>51</v>
      </c>
      <c r="FU53" t="s">
        <v>266</v>
      </c>
      <c r="FV53">
        <v>7</v>
      </c>
      <c r="FW53">
        <v>11</v>
      </c>
      <c r="FX53">
        <v>16</v>
      </c>
      <c r="FY53">
        <v>21</v>
      </c>
      <c r="FZ53">
        <v>26</v>
      </c>
      <c r="GA53">
        <v>31</v>
      </c>
      <c r="GB53">
        <v>36</v>
      </c>
      <c r="GC53">
        <v>41</v>
      </c>
      <c r="GD53">
        <v>46</v>
      </c>
      <c r="GE53">
        <v>51</v>
      </c>
    </row>
    <row r="54" spans="7:215" x14ac:dyDescent="0.25">
      <c r="G54" t="s">
        <v>108</v>
      </c>
      <c r="V54" t="s">
        <v>266</v>
      </c>
      <c r="W54">
        <v>3</v>
      </c>
      <c r="X54">
        <v>3</v>
      </c>
      <c r="Y54">
        <v>3</v>
      </c>
      <c r="Z54">
        <v>3</v>
      </c>
      <c r="AA54">
        <v>4</v>
      </c>
      <c r="AB54">
        <v>4</v>
      </c>
      <c r="AC54">
        <v>5</v>
      </c>
      <c r="AD54">
        <v>5</v>
      </c>
      <c r="AE54">
        <v>6</v>
      </c>
      <c r="AF54">
        <v>6</v>
      </c>
      <c r="AJ54" t="s">
        <v>266</v>
      </c>
      <c r="AK54">
        <v>3</v>
      </c>
      <c r="AL54">
        <v>3</v>
      </c>
      <c r="AM54">
        <v>4</v>
      </c>
      <c r="AN54">
        <v>5</v>
      </c>
      <c r="AO54">
        <v>6</v>
      </c>
      <c r="AP54">
        <v>7</v>
      </c>
      <c r="AQ54">
        <v>8</v>
      </c>
      <c r="AR54">
        <v>9</v>
      </c>
      <c r="AS54">
        <v>10</v>
      </c>
      <c r="AT54">
        <v>11</v>
      </c>
      <c r="AY54" t="s">
        <v>266</v>
      </c>
      <c r="AZ54">
        <v>3</v>
      </c>
      <c r="BA54">
        <v>4</v>
      </c>
      <c r="BB54">
        <v>6</v>
      </c>
      <c r="BC54">
        <v>7</v>
      </c>
      <c r="BD54">
        <v>9</v>
      </c>
      <c r="BE54">
        <v>10</v>
      </c>
      <c r="BF54">
        <v>12</v>
      </c>
      <c r="BG54">
        <v>13</v>
      </c>
      <c r="BH54">
        <v>15</v>
      </c>
      <c r="BI54">
        <v>16</v>
      </c>
      <c r="BM54" t="s">
        <v>266</v>
      </c>
      <c r="BN54">
        <v>4</v>
      </c>
      <c r="BO54">
        <v>6</v>
      </c>
      <c r="BP54">
        <v>9</v>
      </c>
      <c r="BQ54">
        <v>11</v>
      </c>
      <c r="BR54">
        <v>14</v>
      </c>
      <c r="BS54">
        <v>16</v>
      </c>
      <c r="BT54">
        <v>19</v>
      </c>
      <c r="BU54">
        <v>21</v>
      </c>
      <c r="BV54">
        <v>24</v>
      </c>
      <c r="BW54">
        <v>26</v>
      </c>
      <c r="CA54" t="s">
        <v>266</v>
      </c>
      <c r="CB54">
        <v>6</v>
      </c>
      <c r="CC54">
        <v>9</v>
      </c>
      <c r="CD54">
        <v>13</v>
      </c>
      <c r="CE54">
        <v>16</v>
      </c>
      <c r="CF54">
        <v>20</v>
      </c>
      <c r="CG54">
        <v>24</v>
      </c>
      <c r="CH54">
        <v>28</v>
      </c>
      <c r="CI54">
        <v>31</v>
      </c>
      <c r="CJ54">
        <v>35</v>
      </c>
      <c r="CK54">
        <v>39</v>
      </c>
      <c r="CO54" t="s">
        <v>266</v>
      </c>
      <c r="CP54">
        <v>7</v>
      </c>
      <c r="CQ54">
        <v>11</v>
      </c>
      <c r="CR54">
        <v>16</v>
      </c>
      <c r="CS54">
        <v>21</v>
      </c>
      <c r="CT54">
        <v>26</v>
      </c>
      <c r="CU54">
        <v>31</v>
      </c>
      <c r="CV54">
        <v>36</v>
      </c>
      <c r="CW54">
        <v>41</v>
      </c>
      <c r="CX54">
        <v>46</v>
      </c>
      <c r="CY54">
        <v>51</v>
      </c>
      <c r="DC54" t="s">
        <v>266</v>
      </c>
      <c r="DD54">
        <v>7</v>
      </c>
      <c r="DE54">
        <v>11</v>
      </c>
      <c r="DF54">
        <v>16</v>
      </c>
      <c r="DG54">
        <v>21</v>
      </c>
      <c r="DH54">
        <v>26</v>
      </c>
      <c r="DI54">
        <v>31</v>
      </c>
      <c r="DJ54">
        <v>36</v>
      </c>
      <c r="DK54">
        <v>41</v>
      </c>
      <c r="DL54">
        <v>46</v>
      </c>
      <c r="DM54">
        <v>51</v>
      </c>
      <c r="EE54" t="s">
        <v>266</v>
      </c>
      <c r="EF54">
        <v>7</v>
      </c>
      <c r="EG54">
        <v>11</v>
      </c>
      <c r="EH54">
        <v>16</v>
      </c>
      <c r="EI54">
        <v>21</v>
      </c>
      <c r="EJ54">
        <v>26</v>
      </c>
      <c r="EK54">
        <v>31</v>
      </c>
      <c r="EL54">
        <v>36</v>
      </c>
      <c r="EM54">
        <v>41</v>
      </c>
      <c r="EN54">
        <v>46</v>
      </c>
      <c r="EO54">
        <v>51</v>
      </c>
      <c r="ES54" t="s">
        <v>266</v>
      </c>
      <c r="ET54">
        <v>7</v>
      </c>
      <c r="EU54">
        <v>11</v>
      </c>
      <c r="EV54">
        <v>16</v>
      </c>
      <c r="EW54">
        <v>21</v>
      </c>
      <c r="EX54">
        <v>26</v>
      </c>
      <c r="EY54">
        <v>31</v>
      </c>
      <c r="EZ54">
        <v>36</v>
      </c>
      <c r="FA54">
        <v>41</v>
      </c>
      <c r="FB54">
        <v>46</v>
      </c>
      <c r="FC54">
        <v>51</v>
      </c>
      <c r="GI54" t="s">
        <v>266</v>
      </c>
      <c r="GJ54">
        <v>7</v>
      </c>
      <c r="GK54">
        <v>11</v>
      </c>
      <c r="GL54">
        <v>16</v>
      </c>
      <c r="GM54">
        <v>21</v>
      </c>
      <c r="GN54">
        <v>26</v>
      </c>
      <c r="GO54">
        <v>31</v>
      </c>
      <c r="GP54">
        <v>36</v>
      </c>
      <c r="GQ54">
        <v>41</v>
      </c>
      <c r="GR54">
        <v>46</v>
      </c>
      <c r="GS54">
        <v>51</v>
      </c>
      <c r="GW54" t="s">
        <v>266</v>
      </c>
      <c r="GX54">
        <v>7</v>
      </c>
      <c r="GY54">
        <v>11</v>
      </c>
      <c r="GZ54">
        <v>16</v>
      </c>
      <c r="HA54">
        <v>21</v>
      </c>
      <c r="HB54">
        <v>26</v>
      </c>
      <c r="HC54">
        <v>31</v>
      </c>
      <c r="HD54">
        <v>36</v>
      </c>
      <c r="HE54">
        <v>41</v>
      </c>
      <c r="HF54">
        <v>46</v>
      </c>
      <c r="HG54">
        <v>51</v>
      </c>
    </row>
    <row r="55" spans="7:215" x14ac:dyDescent="0.25">
      <c r="DP55" t="s">
        <v>150</v>
      </c>
      <c r="DQ55">
        <f>DQ51/(((DQ53-1))*2.5)</f>
        <v>50</v>
      </c>
      <c r="DR55">
        <f>DR51/(((DR53-1))*2.5)</f>
        <v>40</v>
      </c>
      <c r="DS55">
        <f t="shared" ref="DS55:DZ55" si="24">DS51/(((DS53-1))*2.5)</f>
        <v>40</v>
      </c>
      <c r="DT55">
        <f t="shared" si="24"/>
        <v>40</v>
      </c>
      <c r="DU55" s="7">
        <f t="shared" si="24"/>
        <v>40</v>
      </c>
      <c r="DV55">
        <f t="shared" si="24"/>
        <v>40</v>
      </c>
      <c r="DW55">
        <f t="shared" si="24"/>
        <v>40</v>
      </c>
      <c r="DX55">
        <f t="shared" si="24"/>
        <v>40</v>
      </c>
      <c r="DY55">
        <f t="shared" si="24"/>
        <v>40</v>
      </c>
      <c r="DZ55">
        <f t="shared" si="24"/>
        <v>40</v>
      </c>
      <c r="FG55" t="s">
        <v>150</v>
      </c>
      <c r="FH55">
        <f>FH51/(((FH53-1))*2.5)</f>
        <v>125</v>
      </c>
      <c r="FI55">
        <f>FI51/(((FI53-1))*2.5)</f>
        <v>100</v>
      </c>
      <c r="FJ55">
        <f t="shared" ref="FJ55:FQ55" si="25">FJ51/(((FJ53-1))*2.5)</f>
        <v>100</v>
      </c>
      <c r="FK55">
        <f t="shared" si="25"/>
        <v>100</v>
      </c>
      <c r="FL55" s="7">
        <f t="shared" si="25"/>
        <v>100</v>
      </c>
      <c r="FM55">
        <f t="shared" si="25"/>
        <v>100</v>
      </c>
      <c r="FN55">
        <f t="shared" si="25"/>
        <v>100</v>
      </c>
      <c r="FO55">
        <f t="shared" si="25"/>
        <v>100</v>
      </c>
      <c r="FP55">
        <f t="shared" si="25"/>
        <v>100</v>
      </c>
      <c r="FQ55">
        <f t="shared" si="25"/>
        <v>100</v>
      </c>
      <c r="FU55" t="s">
        <v>150</v>
      </c>
      <c r="FV55">
        <f>FV51/(((FV53-1))*2.5)</f>
        <v>150</v>
      </c>
      <c r="FW55">
        <f>FW51/(((FW53-1))*2.5)</f>
        <v>120</v>
      </c>
      <c r="FX55">
        <f t="shared" ref="FX55:GE55" si="26">FX51/(((FX53-1))*2.5)</f>
        <v>120</v>
      </c>
      <c r="FY55">
        <f t="shared" si="26"/>
        <v>120</v>
      </c>
      <c r="FZ55" s="7">
        <f t="shared" si="26"/>
        <v>120</v>
      </c>
      <c r="GA55">
        <f t="shared" si="26"/>
        <v>120</v>
      </c>
      <c r="GB55">
        <f t="shared" si="26"/>
        <v>120</v>
      </c>
      <c r="GC55">
        <f t="shared" si="26"/>
        <v>120</v>
      </c>
      <c r="GD55">
        <f t="shared" si="26"/>
        <v>120</v>
      </c>
      <c r="GE55">
        <f t="shared" si="26"/>
        <v>120</v>
      </c>
    </row>
    <row r="56" spans="7:215" x14ac:dyDescent="0.25">
      <c r="G56" t="s">
        <v>150</v>
      </c>
      <c r="H56">
        <f>H52/5</f>
        <v>3.75</v>
      </c>
      <c r="I56">
        <f t="shared" ref="I56:Q56" si="27">I52/5</f>
        <v>5</v>
      </c>
      <c r="J56">
        <f t="shared" si="27"/>
        <v>7.5</v>
      </c>
      <c r="K56">
        <f t="shared" si="27"/>
        <v>10</v>
      </c>
      <c r="L56">
        <f t="shared" si="27"/>
        <v>12.5</v>
      </c>
      <c r="M56">
        <f t="shared" si="27"/>
        <v>15</v>
      </c>
      <c r="N56">
        <f t="shared" si="27"/>
        <v>17.5</v>
      </c>
      <c r="O56">
        <f t="shared" si="27"/>
        <v>20</v>
      </c>
      <c r="P56">
        <f t="shared" si="27"/>
        <v>22.5</v>
      </c>
      <c r="Q56">
        <f t="shared" si="27"/>
        <v>25</v>
      </c>
      <c r="V56" t="s">
        <v>150</v>
      </c>
      <c r="W56">
        <f>W52/(((W54-1))*2.5)</f>
        <v>7.5</v>
      </c>
      <c r="X56">
        <f>X52/(((X54-1))*2.5)</f>
        <v>10</v>
      </c>
      <c r="Y56">
        <f t="shared" ref="Y56:AF56" si="28">Y52/(((Y54-1))*2.5)</f>
        <v>15</v>
      </c>
      <c r="Z56">
        <f t="shared" si="28"/>
        <v>20</v>
      </c>
      <c r="AA56" s="7">
        <f t="shared" si="28"/>
        <v>16.666666666666668</v>
      </c>
      <c r="AB56">
        <f t="shared" si="28"/>
        <v>20</v>
      </c>
      <c r="AC56">
        <f t="shared" si="28"/>
        <v>17.5</v>
      </c>
      <c r="AD56">
        <f t="shared" si="28"/>
        <v>20</v>
      </c>
      <c r="AE56">
        <f t="shared" si="28"/>
        <v>18</v>
      </c>
      <c r="AF56">
        <f t="shared" si="28"/>
        <v>20</v>
      </c>
      <c r="AJ56" t="s">
        <v>150</v>
      </c>
      <c r="AK56">
        <f>AK52/(((AK54-1))*2.5)</f>
        <v>15</v>
      </c>
      <c r="AL56">
        <f>AL52/(((AL54-1))*2.5)</f>
        <v>20</v>
      </c>
      <c r="AM56">
        <f t="shared" ref="AM56:AT56" si="29">AM52/(((AM54-1))*2.5)</f>
        <v>20</v>
      </c>
      <c r="AN56">
        <f t="shared" si="29"/>
        <v>20</v>
      </c>
      <c r="AO56" s="7">
        <f t="shared" si="29"/>
        <v>20</v>
      </c>
      <c r="AP56">
        <f t="shared" si="29"/>
        <v>20</v>
      </c>
      <c r="AQ56">
        <f t="shared" si="29"/>
        <v>20</v>
      </c>
      <c r="AR56">
        <f t="shared" si="29"/>
        <v>20</v>
      </c>
      <c r="AS56">
        <f t="shared" si="29"/>
        <v>20</v>
      </c>
      <c r="AT56">
        <f t="shared" si="29"/>
        <v>20</v>
      </c>
      <c r="AY56" t="s">
        <v>150</v>
      </c>
      <c r="AZ56">
        <f>AZ52/(((AZ54-1))*2.5)</f>
        <v>22.5</v>
      </c>
      <c r="BA56">
        <f>BA52/(((BA54-1))*2.5)</f>
        <v>20</v>
      </c>
      <c r="BB56">
        <f t="shared" ref="BB56:BI56" si="30">BB52/(((BB54-1))*2.5)</f>
        <v>18</v>
      </c>
      <c r="BC56">
        <f t="shared" si="30"/>
        <v>20</v>
      </c>
      <c r="BD56" s="7">
        <f t="shared" si="30"/>
        <v>18.75</v>
      </c>
      <c r="BE56">
        <f t="shared" si="30"/>
        <v>20</v>
      </c>
      <c r="BF56">
        <f t="shared" si="30"/>
        <v>19.09090909090909</v>
      </c>
      <c r="BG56">
        <f t="shared" si="30"/>
        <v>20</v>
      </c>
      <c r="BH56">
        <f t="shared" si="30"/>
        <v>19.285714285714285</v>
      </c>
      <c r="BI56">
        <f t="shared" si="30"/>
        <v>20</v>
      </c>
      <c r="BM56" t="s">
        <v>150</v>
      </c>
      <c r="BN56">
        <f>BN52/(((BN54-1))*2.5)</f>
        <v>25</v>
      </c>
      <c r="BO56">
        <f>BO52/(((BO54-1))*2.5)</f>
        <v>20</v>
      </c>
      <c r="BP56">
        <f t="shared" ref="BP56:BW56" si="31">BP52/(((BP54-1))*2.5)</f>
        <v>18.75</v>
      </c>
      <c r="BQ56">
        <f t="shared" si="31"/>
        <v>20</v>
      </c>
      <c r="BR56" s="7">
        <f t="shared" si="31"/>
        <v>19.23076923076923</v>
      </c>
      <c r="BS56">
        <f t="shared" si="31"/>
        <v>20</v>
      </c>
      <c r="BT56">
        <f t="shared" si="31"/>
        <v>19.444444444444443</v>
      </c>
      <c r="BU56">
        <f t="shared" si="31"/>
        <v>20</v>
      </c>
      <c r="BV56">
        <f t="shared" si="31"/>
        <v>19.565217391304348</v>
      </c>
      <c r="BW56">
        <f t="shared" si="31"/>
        <v>20</v>
      </c>
      <c r="CA56" t="s">
        <v>150</v>
      </c>
      <c r="CB56">
        <f>CB52/(((CB54-1))*2.5)</f>
        <v>22.5</v>
      </c>
      <c r="CC56">
        <f>CC52/(((CC54-1))*2.5)</f>
        <v>18.75</v>
      </c>
      <c r="CD56">
        <f t="shared" ref="CD56:CK56" si="32">CD52/(((CD54-1))*2.5)</f>
        <v>18.75</v>
      </c>
      <c r="CE56">
        <f t="shared" si="32"/>
        <v>20</v>
      </c>
      <c r="CF56" s="7">
        <f t="shared" si="32"/>
        <v>19.736842105263158</v>
      </c>
      <c r="CG56">
        <f t="shared" si="32"/>
        <v>19.565217391304348</v>
      </c>
      <c r="CH56">
        <f t="shared" si="32"/>
        <v>19.444444444444443</v>
      </c>
      <c r="CI56">
        <f t="shared" si="32"/>
        <v>20</v>
      </c>
      <c r="CJ56">
        <f t="shared" si="32"/>
        <v>19.852941176470587</v>
      </c>
      <c r="CK56">
        <f t="shared" si="32"/>
        <v>19.736842105263158</v>
      </c>
      <c r="CO56" t="s">
        <v>150</v>
      </c>
      <c r="CP56">
        <f>CP52/(((CP54-1))*2.5)</f>
        <v>25</v>
      </c>
      <c r="CQ56">
        <f>CQ52/(((CQ54-1))*2.5)</f>
        <v>20</v>
      </c>
      <c r="CR56">
        <f t="shared" ref="CR56:CY56" si="33">CR52/(((CR54-1))*2.5)</f>
        <v>20</v>
      </c>
      <c r="CS56">
        <f t="shared" si="33"/>
        <v>20</v>
      </c>
      <c r="CT56" s="7">
        <f t="shared" si="33"/>
        <v>20</v>
      </c>
      <c r="CU56">
        <f t="shared" si="33"/>
        <v>20</v>
      </c>
      <c r="CV56">
        <f t="shared" si="33"/>
        <v>20</v>
      </c>
      <c r="CW56">
        <f t="shared" si="33"/>
        <v>20</v>
      </c>
      <c r="CX56">
        <f t="shared" si="33"/>
        <v>20</v>
      </c>
      <c r="CY56">
        <f t="shared" si="33"/>
        <v>20</v>
      </c>
      <c r="DC56" t="s">
        <v>150</v>
      </c>
      <c r="DD56">
        <f>DD52/(((DD54-1))*2.5)</f>
        <v>37.5</v>
      </c>
      <c r="DE56">
        <f>DE52/(((DE54-1))*2.5)</f>
        <v>30</v>
      </c>
      <c r="DF56">
        <f t="shared" ref="DF56:DM56" si="34">DF52/(((DF54-1))*2.5)</f>
        <v>30</v>
      </c>
      <c r="DG56">
        <f t="shared" si="34"/>
        <v>30</v>
      </c>
      <c r="DH56" s="7">
        <f t="shared" si="34"/>
        <v>30</v>
      </c>
      <c r="DI56">
        <f t="shared" si="34"/>
        <v>30</v>
      </c>
      <c r="DJ56">
        <f t="shared" si="34"/>
        <v>30</v>
      </c>
      <c r="DK56">
        <f t="shared" si="34"/>
        <v>30</v>
      </c>
      <c r="DL56">
        <f t="shared" si="34"/>
        <v>30</v>
      </c>
      <c r="DM56">
        <f t="shared" si="34"/>
        <v>30</v>
      </c>
      <c r="EE56" t="s">
        <v>150</v>
      </c>
      <c r="EF56">
        <f>EF52/(((EF54-1))*2.5)</f>
        <v>75</v>
      </c>
      <c r="EG56">
        <f>EG52/(((EG54-1))*2.5)</f>
        <v>60</v>
      </c>
      <c r="EH56">
        <f t="shared" ref="EH56:EO56" si="35">EH52/(((EH54-1))*2.5)</f>
        <v>60</v>
      </c>
      <c r="EI56">
        <f t="shared" si="35"/>
        <v>60</v>
      </c>
      <c r="EJ56" s="7">
        <f t="shared" si="35"/>
        <v>60</v>
      </c>
      <c r="EK56">
        <f t="shared" si="35"/>
        <v>60</v>
      </c>
      <c r="EL56">
        <f t="shared" si="35"/>
        <v>60</v>
      </c>
      <c r="EM56">
        <f t="shared" si="35"/>
        <v>60</v>
      </c>
      <c r="EN56">
        <f t="shared" si="35"/>
        <v>60</v>
      </c>
      <c r="EO56">
        <f t="shared" si="35"/>
        <v>60</v>
      </c>
      <c r="ES56" t="s">
        <v>150</v>
      </c>
      <c r="ET56">
        <f>ET52/(((ET54-1))*2.5)</f>
        <v>100</v>
      </c>
      <c r="EU56">
        <f>EU52/(((EU54-1))*2.5)</f>
        <v>80</v>
      </c>
      <c r="EV56">
        <f t="shared" ref="EV56:FC56" si="36">EV52/(((EV54-1))*2.5)</f>
        <v>80</v>
      </c>
      <c r="EW56">
        <f t="shared" si="36"/>
        <v>80</v>
      </c>
      <c r="EX56" s="7">
        <f t="shared" si="36"/>
        <v>80</v>
      </c>
      <c r="EY56">
        <f t="shared" si="36"/>
        <v>80</v>
      </c>
      <c r="EZ56">
        <f t="shared" si="36"/>
        <v>80</v>
      </c>
      <c r="FA56">
        <f t="shared" si="36"/>
        <v>80</v>
      </c>
      <c r="FB56">
        <f t="shared" si="36"/>
        <v>80</v>
      </c>
      <c r="FC56">
        <f t="shared" si="36"/>
        <v>80</v>
      </c>
      <c r="GI56" t="s">
        <v>150</v>
      </c>
      <c r="GJ56">
        <f>GJ52/(((GJ54-1))*2.5)</f>
        <v>200</v>
      </c>
      <c r="GK56">
        <f>GK52/(((GK54-1))*2.5)</f>
        <v>160</v>
      </c>
      <c r="GL56">
        <f t="shared" ref="GL56:GS56" si="37">GL52/(((GL54-1))*2.5)</f>
        <v>160</v>
      </c>
      <c r="GM56">
        <f t="shared" si="37"/>
        <v>160</v>
      </c>
      <c r="GN56" s="7">
        <f t="shared" si="37"/>
        <v>160</v>
      </c>
      <c r="GO56">
        <f t="shared" si="37"/>
        <v>160</v>
      </c>
      <c r="GP56">
        <f t="shared" si="37"/>
        <v>160</v>
      </c>
      <c r="GQ56">
        <f t="shared" si="37"/>
        <v>160</v>
      </c>
      <c r="GR56">
        <f t="shared" si="37"/>
        <v>160</v>
      </c>
      <c r="GS56">
        <f t="shared" si="37"/>
        <v>160</v>
      </c>
      <c r="GW56" t="s">
        <v>150</v>
      </c>
      <c r="GX56">
        <f>GX52/(((GX54-1))*2.5)</f>
        <v>250</v>
      </c>
      <c r="GY56">
        <f>GY52/(((GY54-1))*2.5)</f>
        <v>200</v>
      </c>
      <c r="GZ56">
        <f t="shared" ref="GZ56:HG56" si="38">GZ52/(((GZ54-1))*2.5)</f>
        <v>200</v>
      </c>
      <c r="HA56">
        <f t="shared" si="38"/>
        <v>200</v>
      </c>
      <c r="HB56" s="7">
        <f t="shared" si="38"/>
        <v>200</v>
      </c>
      <c r="HC56">
        <f t="shared" si="38"/>
        <v>200</v>
      </c>
      <c r="HD56">
        <f t="shared" si="38"/>
        <v>200</v>
      </c>
      <c r="HE56">
        <f t="shared" si="38"/>
        <v>200</v>
      </c>
      <c r="HF56">
        <f t="shared" si="38"/>
        <v>200</v>
      </c>
      <c r="HG56">
        <f t="shared" si="38"/>
        <v>200</v>
      </c>
    </row>
    <row r="58" spans="7:215" x14ac:dyDescent="0.25">
      <c r="G58" t="s">
        <v>109</v>
      </c>
      <c r="H58">
        <f>5+5+H56*3</f>
        <v>21.25</v>
      </c>
      <c r="I58">
        <f>5+5+I56*3</f>
        <v>25</v>
      </c>
      <c r="J58">
        <f t="shared" ref="J58:Q58" si="39">5+5+J56*3</f>
        <v>32.5</v>
      </c>
      <c r="K58">
        <f t="shared" si="39"/>
        <v>40</v>
      </c>
      <c r="L58">
        <f>5+5+L56*3</f>
        <v>47.5</v>
      </c>
      <c r="M58">
        <f t="shared" si="39"/>
        <v>55</v>
      </c>
      <c r="N58">
        <f t="shared" si="39"/>
        <v>62.5</v>
      </c>
      <c r="O58">
        <f t="shared" si="39"/>
        <v>70</v>
      </c>
      <c r="P58">
        <f>5+5+P56*3</f>
        <v>77.5</v>
      </c>
      <c r="Q58">
        <f t="shared" si="39"/>
        <v>85</v>
      </c>
    </row>
    <row r="59" spans="7:215" x14ac:dyDescent="0.25">
      <c r="H59" t="s">
        <v>246</v>
      </c>
      <c r="DP59" t="s">
        <v>109</v>
      </c>
      <c r="DQ59">
        <f>(DQ53-1)*2.5*2+DQ55*3</f>
        <v>180</v>
      </c>
      <c r="DR59">
        <f>(DR53-1)*2.5*2+DR55*3</f>
        <v>170</v>
      </c>
      <c r="DS59">
        <f t="shared" ref="DS59:DT59" si="40">(DS53-1)*2.5*2+DS55*3</f>
        <v>195</v>
      </c>
      <c r="DT59">
        <f t="shared" si="40"/>
        <v>220</v>
      </c>
      <c r="DU59">
        <f>(DU53-1)*2.5*2+DU55*3</f>
        <v>245</v>
      </c>
      <c r="DV59">
        <f t="shared" ref="DV59:DZ59" si="41">(DV53-1)*2.5*2+DV55*3</f>
        <v>270</v>
      </c>
      <c r="DW59">
        <f t="shared" si="41"/>
        <v>295</v>
      </c>
      <c r="DX59">
        <f t="shared" si="41"/>
        <v>320</v>
      </c>
      <c r="DY59">
        <f t="shared" si="41"/>
        <v>345</v>
      </c>
      <c r="DZ59">
        <f t="shared" si="41"/>
        <v>370</v>
      </c>
      <c r="FG59" t="s">
        <v>109</v>
      </c>
      <c r="FH59">
        <f>(FH53-1)*2.5*2+FH55*3</f>
        <v>405</v>
      </c>
      <c r="FI59">
        <f>(FI53-1)*2.5*2+FI55*3</f>
        <v>350</v>
      </c>
      <c r="FJ59">
        <f t="shared" ref="FJ59:FK59" si="42">(FJ53-1)*2.5*2+FJ55*3</f>
        <v>375</v>
      </c>
      <c r="FK59">
        <f t="shared" si="42"/>
        <v>400</v>
      </c>
      <c r="FL59">
        <f>(FL53-1)*2.5*2+FL55*3</f>
        <v>425</v>
      </c>
      <c r="FM59">
        <f t="shared" ref="FM59:FQ59" si="43">(FM53-1)*2.5*2+FM55*3</f>
        <v>450</v>
      </c>
      <c r="FN59">
        <f t="shared" si="43"/>
        <v>475</v>
      </c>
      <c r="FO59">
        <f t="shared" si="43"/>
        <v>500</v>
      </c>
      <c r="FP59">
        <f t="shared" si="43"/>
        <v>525</v>
      </c>
      <c r="FQ59">
        <f t="shared" si="43"/>
        <v>550</v>
      </c>
      <c r="FU59" t="s">
        <v>109</v>
      </c>
      <c r="FV59">
        <f>(FV53-1)*2.5*2+FV55*3</f>
        <v>480</v>
      </c>
      <c r="FW59">
        <f>(FW53-1)*2.5*2+FW55*3</f>
        <v>410</v>
      </c>
      <c r="FX59">
        <f t="shared" ref="FX59:FY59" si="44">(FX53-1)*2.5*2+FX55*3</f>
        <v>435</v>
      </c>
      <c r="FY59">
        <f t="shared" si="44"/>
        <v>460</v>
      </c>
      <c r="FZ59">
        <f>(FZ53-1)*2.5*2+FZ55*3</f>
        <v>485</v>
      </c>
      <c r="GA59">
        <f t="shared" ref="GA59:GE59" si="45">(GA53-1)*2.5*2+GA55*3</f>
        <v>510</v>
      </c>
      <c r="GB59">
        <f t="shared" si="45"/>
        <v>535</v>
      </c>
      <c r="GC59">
        <f t="shared" si="45"/>
        <v>560</v>
      </c>
      <c r="GD59">
        <f t="shared" si="45"/>
        <v>585</v>
      </c>
      <c r="GE59">
        <f t="shared" si="45"/>
        <v>610</v>
      </c>
    </row>
    <row r="60" spans="7:215" x14ac:dyDescent="0.25">
      <c r="V60" t="s">
        <v>109</v>
      </c>
      <c r="W60">
        <f>(W54-1)*2.5*2+W56*3</f>
        <v>32.5</v>
      </c>
      <c r="X60">
        <f>(X54-1)*2.5*2+X56*3</f>
        <v>40</v>
      </c>
      <c r="Y60">
        <f t="shared" ref="Y60:AF60" si="46">(Y54-1)*2.5*2+Y56*3</f>
        <v>55</v>
      </c>
      <c r="Z60">
        <f t="shared" si="46"/>
        <v>70</v>
      </c>
      <c r="AA60">
        <f>(AA54-1)*2.5*2+AA56*3</f>
        <v>65</v>
      </c>
      <c r="AB60">
        <f t="shared" si="46"/>
        <v>75</v>
      </c>
      <c r="AC60">
        <f t="shared" si="46"/>
        <v>72.5</v>
      </c>
      <c r="AD60">
        <f t="shared" si="46"/>
        <v>80</v>
      </c>
      <c r="AE60">
        <f t="shared" si="46"/>
        <v>79</v>
      </c>
      <c r="AF60">
        <f t="shared" si="46"/>
        <v>85</v>
      </c>
      <c r="AJ60" t="s">
        <v>109</v>
      </c>
      <c r="AK60">
        <f>(AK54-1)*2.5*2+AK56*3</f>
        <v>55</v>
      </c>
      <c r="AL60">
        <f>(AL54-1)*2.5*2+AL56*3</f>
        <v>70</v>
      </c>
      <c r="AM60">
        <f t="shared" ref="AM60:AN60" si="47">(AM54-1)*2.5*2+AM56*3</f>
        <v>75</v>
      </c>
      <c r="AN60">
        <f t="shared" si="47"/>
        <v>80</v>
      </c>
      <c r="AO60">
        <f>(AO54-1)*2.5*2+AO56*3</f>
        <v>85</v>
      </c>
      <c r="AP60">
        <f t="shared" ref="AP60:AT60" si="48">(AP54-1)*2.5*2+AP56*3</f>
        <v>90</v>
      </c>
      <c r="AQ60">
        <f t="shared" si="48"/>
        <v>95</v>
      </c>
      <c r="AR60">
        <f t="shared" si="48"/>
        <v>100</v>
      </c>
      <c r="AS60">
        <f t="shared" si="48"/>
        <v>105</v>
      </c>
      <c r="AT60">
        <f t="shared" si="48"/>
        <v>110</v>
      </c>
      <c r="AY60" t="s">
        <v>109</v>
      </c>
      <c r="AZ60">
        <f>(AZ54-1)*2.5*2+AZ56*3</f>
        <v>77.5</v>
      </c>
      <c r="BA60">
        <f>(BA54-1)*2.5*2+BA56*3</f>
        <v>75</v>
      </c>
      <c r="BB60">
        <f t="shared" ref="BB60:BC60" si="49">(BB54-1)*2.5*2+BB56*3</f>
        <v>79</v>
      </c>
      <c r="BC60">
        <f t="shared" si="49"/>
        <v>90</v>
      </c>
      <c r="BD60">
        <f>(BD54-1)*2.5*2+BD56*3</f>
        <v>96.25</v>
      </c>
      <c r="BE60">
        <f t="shared" ref="BE60:BI60" si="50">(BE54-1)*2.5*2+BE56*3</f>
        <v>105</v>
      </c>
      <c r="BF60">
        <f t="shared" si="50"/>
        <v>112.27272727272727</v>
      </c>
      <c r="BG60">
        <f t="shared" si="50"/>
        <v>120</v>
      </c>
      <c r="BH60">
        <f t="shared" si="50"/>
        <v>127.85714285714286</v>
      </c>
      <c r="BI60">
        <f t="shared" si="50"/>
        <v>135</v>
      </c>
      <c r="BM60" t="s">
        <v>109</v>
      </c>
      <c r="BN60">
        <f>(BN54-1)*2.5*2+BN56*3</f>
        <v>90</v>
      </c>
      <c r="BO60">
        <f>(BO54-1)*2.5*2+BO56*3</f>
        <v>85</v>
      </c>
      <c r="BP60">
        <f t="shared" ref="BP60:BQ60" si="51">(BP54-1)*2.5*2+BP56*3</f>
        <v>96.25</v>
      </c>
      <c r="BQ60">
        <f t="shared" si="51"/>
        <v>110</v>
      </c>
      <c r="BR60">
        <f>(BR54-1)*2.5*2+BR56*3</f>
        <v>122.69230769230769</v>
      </c>
      <c r="BS60">
        <f t="shared" ref="BS60:BW60" si="52">(BS54-1)*2.5*2+BS56*3</f>
        <v>135</v>
      </c>
      <c r="BT60">
        <f t="shared" si="52"/>
        <v>148.33333333333331</v>
      </c>
      <c r="BU60">
        <f t="shared" si="52"/>
        <v>160</v>
      </c>
      <c r="BV60">
        <f t="shared" si="52"/>
        <v>173.69565217391306</v>
      </c>
      <c r="BW60">
        <f t="shared" si="52"/>
        <v>185</v>
      </c>
      <c r="CA60" t="s">
        <v>109</v>
      </c>
      <c r="CB60">
        <f>(CB54-1)*2.5*2+CB56*3</f>
        <v>92.5</v>
      </c>
      <c r="CC60">
        <f>(CC54-1)*2.5*2+CC56*3</f>
        <v>96.25</v>
      </c>
      <c r="CD60">
        <f t="shared" ref="CD60:CE60" si="53">(CD54-1)*2.5*2+CD56*3</f>
        <v>116.25</v>
      </c>
      <c r="CE60">
        <f t="shared" si="53"/>
        <v>135</v>
      </c>
      <c r="CF60">
        <f>(CF54-1)*2.5*2+CF56*3</f>
        <v>154.21052631578948</v>
      </c>
      <c r="CG60">
        <f t="shared" ref="CG60:CK60" si="54">(CG54-1)*2.5*2+CG56*3</f>
        <v>173.69565217391306</v>
      </c>
      <c r="CH60">
        <f t="shared" si="54"/>
        <v>193.33333333333331</v>
      </c>
      <c r="CI60">
        <f t="shared" si="54"/>
        <v>210</v>
      </c>
      <c r="CJ60">
        <f t="shared" si="54"/>
        <v>229.55882352941177</v>
      </c>
      <c r="CK60">
        <f t="shared" si="54"/>
        <v>249.21052631578948</v>
      </c>
      <c r="CO60" t="s">
        <v>109</v>
      </c>
      <c r="CP60">
        <f>(CP54-1)*2.5*2+CP56*3</f>
        <v>105</v>
      </c>
      <c r="CQ60">
        <f>(CQ54-1)*2.5*2+CQ56*3</f>
        <v>110</v>
      </c>
      <c r="CR60">
        <f t="shared" ref="CR60:CS60" si="55">(CR54-1)*2.5*2+CR56*3</f>
        <v>135</v>
      </c>
      <c r="CS60">
        <f t="shared" si="55"/>
        <v>160</v>
      </c>
      <c r="CT60">
        <f>(CT54-1)*2.5*2+CT56*3</f>
        <v>185</v>
      </c>
      <c r="CU60">
        <f t="shared" ref="CU60:CY60" si="56">(CU54-1)*2.5*2+CU56*3</f>
        <v>210</v>
      </c>
      <c r="CV60">
        <f t="shared" si="56"/>
        <v>235</v>
      </c>
      <c r="CW60">
        <f t="shared" si="56"/>
        <v>260</v>
      </c>
      <c r="CX60">
        <f t="shared" si="56"/>
        <v>285</v>
      </c>
      <c r="CY60">
        <f t="shared" si="56"/>
        <v>310</v>
      </c>
      <c r="DC60" t="s">
        <v>109</v>
      </c>
      <c r="DD60">
        <f>(DD54-1)*2.5*2+DD56*3</f>
        <v>142.5</v>
      </c>
      <c r="DE60">
        <f>(DE54-1)*2.5*2+DE56*3</f>
        <v>140</v>
      </c>
      <c r="DF60">
        <f t="shared" ref="DF60:DG60" si="57">(DF54-1)*2.5*2+DF56*3</f>
        <v>165</v>
      </c>
      <c r="DG60">
        <f t="shared" si="57"/>
        <v>190</v>
      </c>
      <c r="DH60">
        <f>(DH54-1)*2.5*2+DH56*3</f>
        <v>215</v>
      </c>
      <c r="DI60">
        <f t="shared" ref="DI60:DM60" si="58">(DI54-1)*2.5*2+DI56*3</f>
        <v>240</v>
      </c>
      <c r="DJ60">
        <f t="shared" si="58"/>
        <v>265</v>
      </c>
      <c r="DK60">
        <f t="shared" si="58"/>
        <v>290</v>
      </c>
      <c r="DL60">
        <f t="shared" si="58"/>
        <v>315</v>
      </c>
      <c r="DM60">
        <f t="shared" si="58"/>
        <v>340</v>
      </c>
      <c r="DQ60" t="s">
        <v>246</v>
      </c>
      <c r="EE60" t="s">
        <v>109</v>
      </c>
      <c r="EF60">
        <f>(EF54-1)*2.5*2+EF56*3</f>
        <v>255</v>
      </c>
      <c r="EG60">
        <f>(EG54-1)*2.5*2+EG56*3</f>
        <v>230</v>
      </c>
      <c r="EH60">
        <f t="shared" ref="EH60:EI60" si="59">(EH54-1)*2.5*2+EH56*3</f>
        <v>255</v>
      </c>
      <c r="EI60">
        <f t="shared" si="59"/>
        <v>280</v>
      </c>
      <c r="EJ60">
        <f>(EJ54-1)*2.5*2+EJ56*3</f>
        <v>305</v>
      </c>
      <c r="EK60">
        <f t="shared" ref="EK60:EO60" si="60">(EK54-1)*2.5*2+EK56*3</f>
        <v>330</v>
      </c>
      <c r="EL60">
        <f t="shared" si="60"/>
        <v>355</v>
      </c>
      <c r="EM60">
        <f t="shared" si="60"/>
        <v>380</v>
      </c>
      <c r="EN60">
        <f t="shared" si="60"/>
        <v>405</v>
      </c>
      <c r="EO60">
        <f t="shared" si="60"/>
        <v>430</v>
      </c>
      <c r="ES60" t="s">
        <v>109</v>
      </c>
      <c r="ET60">
        <f>(ET54-1)*2.5*2+ET56*3</f>
        <v>330</v>
      </c>
      <c r="EU60">
        <f>(EU54-1)*2.5*2+EU56*3</f>
        <v>290</v>
      </c>
      <c r="EV60">
        <f t="shared" ref="EV60:EW60" si="61">(EV54-1)*2.5*2+EV56*3</f>
        <v>315</v>
      </c>
      <c r="EW60">
        <f t="shared" si="61"/>
        <v>340</v>
      </c>
      <c r="EX60">
        <f>(EX54-1)*2.5*2+EX56*3</f>
        <v>365</v>
      </c>
      <c r="EY60">
        <f t="shared" ref="EY60:FC60" si="62">(EY54-1)*2.5*2+EY56*3</f>
        <v>390</v>
      </c>
      <c r="EZ60">
        <f t="shared" si="62"/>
        <v>415</v>
      </c>
      <c r="FA60">
        <f t="shared" si="62"/>
        <v>440</v>
      </c>
      <c r="FB60">
        <f t="shared" si="62"/>
        <v>465</v>
      </c>
      <c r="FC60">
        <f t="shared" si="62"/>
        <v>490</v>
      </c>
      <c r="FH60" t="s">
        <v>246</v>
      </c>
      <c r="FV60" t="s">
        <v>246</v>
      </c>
      <c r="GI60" t="s">
        <v>109</v>
      </c>
      <c r="GJ60">
        <f>(GJ54-1)*2.5*2+GJ56*3</f>
        <v>630</v>
      </c>
      <c r="GK60">
        <f>(GK54-1)*2.5*2+GK56*3</f>
        <v>530</v>
      </c>
      <c r="GL60">
        <f t="shared" ref="GL60:GM60" si="63">(GL54-1)*2.5*2+GL56*3</f>
        <v>555</v>
      </c>
      <c r="GM60">
        <f t="shared" si="63"/>
        <v>580</v>
      </c>
      <c r="GN60">
        <f>(GN54-1)*2.5*2+GN56*3</f>
        <v>605</v>
      </c>
      <c r="GO60">
        <f t="shared" ref="GO60:GS60" si="64">(GO54-1)*2.5*2+GO56*3</f>
        <v>630</v>
      </c>
      <c r="GP60">
        <f t="shared" si="64"/>
        <v>655</v>
      </c>
      <c r="GQ60">
        <f t="shared" si="64"/>
        <v>680</v>
      </c>
      <c r="GR60">
        <f t="shared" si="64"/>
        <v>705</v>
      </c>
      <c r="GS60">
        <f t="shared" si="64"/>
        <v>730</v>
      </c>
      <c r="GW60" t="s">
        <v>109</v>
      </c>
      <c r="GX60">
        <f>(GX54-1)*2.5*2+GX56*3</f>
        <v>780</v>
      </c>
      <c r="GY60">
        <f>(GY54-1)*2.5*2+GY56*3</f>
        <v>650</v>
      </c>
      <c r="GZ60">
        <f t="shared" ref="GZ60:HA60" si="65">(GZ54-1)*2.5*2+GZ56*3</f>
        <v>675</v>
      </c>
      <c r="HA60">
        <f t="shared" si="65"/>
        <v>700</v>
      </c>
      <c r="HB60">
        <f>(HB54-1)*2.5*2+HB56*3</f>
        <v>725</v>
      </c>
      <c r="HC60">
        <f t="shared" ref="HC60:HG60" si="66">(HC54-1)*2.5*2+HC56*3</f>
        <v>750</v>
      </c>
      <c r="HD60">
        <f t="shared" si="66"/>
        <v>775</v>
      </c>
      <c r="HE60">
        <f t="shared" si="66"/>
        <v>800</v>
      </c>
      <c r="HF60">
        <f t="shared" si="66"/>
        <v>825</v>
      </c>
      <c r="HG60">
        <f t="shared" si="66"/>
        <v>850</v>
      </c>
    </row>
    <row r="61" spans="7:215" x14ac:dyDescent="0.25">
      <c r="G61" t="s">
        <v>113</v>
      </c>
      <c r="W61" t="s">
        <v>246</v>
      </c>
      <c r="AK61" t="s">
        <v>246</v>
      </c>
      <c r="AZ61" t="s">
        <v>246</v>
      </c>
      <c r="BN61" t="s">
        <v>246</v>
      </c>
      <c r="CB61" t="s">
        <v>246</v>
      </c>
      <c r="CP61" t="s">
        <v>246</v>
      </c>
      <c r="DD61" t="s">
        <v>246</v>
      </c>
      <c r="EF61" t="s">
        <v>246</v>
      </c>
      <c r="ET61" t="s">
        <v>246</v>
      </c>
      <c r="GJ61" t="s">
        <v>246</v>
      </c>
      <c r="GX61" t="s">
        <v>246</v>
      </c>
    </row>
    <row r="62" spans="7:215" x14ac:dyDescent="0.25">
      <c r="DP62" t="s">
        <v>113</v>
      </c>
      <c r="FG62" t="s">
        <v>113</v>
      </c>
      <c r="FU62" t="s">
        <v>113</v>
      </c>
    </row>
    <row r="63" spans="7:215" x14ac:dyDescent="0.25">
      <c r="G63" t="s">
        <v>114</v>
      </c>
      <c r="H63">
        <v>300</v>
      </c>
      <c r="V63" t="s">
        <v>113</v>
      </c>
      <c r="AJ63" t="s">
        <v>113</v>
      </c>
      <c r="AY63" t="s">
        <v>113</v>
      </c>
      <c r="BM63" t="s">
        <v>113</v>
      </c>
      <c r="CA63" t="s">
        <v>113</v>
      </c>
      <c r="CO63" t="s">
        <v>113</v>
      </c>
      <c r="DC63" t="s">
        <v>113</v>
      </c>
      <c r="EE63" t="s">
        <v>113</v>
      </c>
      <c r="ES63" t="s">
        <v>113</v>
      </c>
      <c r="GI63" t="s">
        <v>113</v>
      </c>
      <c r="GW63" t="s">
        <v>113</v>
      </c>
    </row>
    <row r="64" spans="7:215" x14ac:dyDescent="0.25">
      <c r="G64" t="s">
        <v>115</v>
      </c>
      <c r="H64">
        <v>50</v>
      </c>
      <c r="DP64" t="s">
        <v>114</v>
      </c>
      <c r="DQ64">
        <v>300</v>
      </c>
      <c r="FG64" t="s">
        <v>114</v>
      </c>
      <c r="FH64">
        <v>300</v>
      </c>
      <c r="FU64" t="s">
        <v>114</v>
      </c>
      <c r="FV64">
        <v>300</v>
      </c>
    </row>
    <row r="65" spans="7:215" x14ac:dyDescent="0.25">
      <c r="G65" t="s">
        <v>116</v>
      </c>
      <c r="H65">
        <v>5</v>
      </c>
      <c r="V65" t="s">
        <v>114</v>
      </c>
      <c r="W65">
        <v>300</v>
      </c>
      <c r="AJ65" t="s">
        <v>114</v>
      </c>
      <c r="AK65">
        <v>300</v>
      </c>
      <c r="AY65" t="s">
        <v>114</v>
      </c>
      <c r="AZ65">
        <v>300</v>
      </c>
      <c r="BM65" t="s">
        <v>114</v>
      </c>
      <c r="BN65">
        <v>300</v>
      </c>
      <c r="CA65" t="s">
        <v>114</v>
      </c>
      <c r="CB65">
        <v>300</v>
      </c>
      <c r="CO65" t="s">
        <v>114</v>
      </c>
      <c r="CP65">
        <v>300</v>
      </c>
      <c r="DC65" t="s">
        <v>114</v>
      </c>
      <c r="DD65">
        <v>300</v>
      </c>
      <c r="DP65" t="s">
        <v>115</v>
      </c>
      <c r="DQ65">
        <v>50</v>
      </c>
      <c r="EE65" t="s">
        <v>114</v>
      </c>
      <c r="EF65">
        <v>300</v>
      </c>
      <c r="ES65" t="s">
        <v>114</v>
      </c>
      <c r="ET65">
        <v>300</v>
      </c>
      <c r="FG65" t="s">
        <v>115</v>
      </c>
      <c r="FH65">
        <v>50</v>
      </c>
      <c r="FU65" t="s">
        <v>115</v>
      </c>
      <c r="FV65">
        <v>50</v>
      </c>
      <c r="GI65" t="s">
        <v>114</v>
      </c>
      <c r="GJ65">
        <v>300</v>
      </c>
      <c r="GW65" t="s">
        <v>114</v>
      </c>
      <c r="GX65">
        <v>300</v>
      </c>
    </row>
    <row r="66" spans="7:215" x14ac:dyDescent="0.25">
      <c r="V66" t="s">
        <v>115</v>
      </c>
      <c r="W66">
        <v>50</v>
      </c>
      <c r="AJ66" t="s">
        <v>115</v>
      </c>
      <c r="AK66">
        <v>50</v>
      </c>
      <c r="AY66" t="s">
        <v>115</v>
      </c>
      <c r="AZ66">
        <v>50</v>
      </c>
      <c r="BM66" t="s">
        <v>115</v>
      </c>
      <c r="BN66">
        <v>50</v>
      </c>
      <c r="CA66" t="s">
        <v>115</v>
      </c>
      <c r="CB66">
        <v>50</v>
      </c>
      <c r="CO66" t="s">
        <v>115</v>
      </c>
      <c r="CP66">
        <v>50</v>
      </c>
      <c r="DC66" t="s">
        <v>115</v>
      </c>
      <c r="DD66">
        <v>50</v>
      </c>
      <c r="DP66" t="s">
        <v>116</v>
      </c>
      <c r="DQ66">
        <v>5</v>
      </c>
      <c r="EE66" t="s">
        <v>115</v>
      </c>
      <c r="EF66">
        <v>50</v>
      </c>
      <c r="ES66" t="s">
        <v>115</v>
      </c>
      <c r="ET66">
        <v>50</v>
      </c>
      <c r="FG66" t="s">
        <v>116</v>
      </c>
      <c r="FH66">
        <v>5</v>
      </c>
      <c r="FU66" t="s">
        <v>116</v>
      </c>
      <c r="FV66">
        <v>5</v>
      </c>
      <c r="GI66" t="s">
        <v>115</v>
      </c>
      <c r="GJ66">
        <v>50</v>
      </c>
      <c r="GW66" t="s">
        <v>115</v>
      </c>
      <c r="GX66">
        <v>50</v>
      </c>
    </row>
    <row r="67" spans="7:215" x14ac:dyDescent="0.25">
      <c r="G67" t="s">
        <v>117</v>
      </c>
      <c r="H67">
        <v>800</v>
      </c>
      <c r="I67">
        <v>800</v>
      </c>
      <c r="J67">
        <v>800</v>
      </c>
      <c r="K67">
        <v>800</v>
      </c>
      <c r="L67">
        <v>800</v>
      </c>
      <c r="M67">
        <v>800</v>
      </c>
      <c r="N67">
        <v>800</v>
      </c>
      <c r="O67">
        <v>800</v>
      </c>
      <c r="P67">
        <v>800</v>
      </c>
      <c r="Q67">
        <v>800</v>
      </c>
      <c r="V67" t="s">
        <v>116</v>
      </c>
      <c r="W67">
        <v>5</v>
      </c>
      <c r="AJ67" t="s">
        <v>116</v>
      </c>
      <c r="AK67">
        <v>5</v>
      </c>
      <c r="AY67" t="s">
        <v>116</v>
      </c>
      <c r="AZ67">
        <v>5</v>
      </c>
      <c r="BM67" t="s">
        <v>116</v>
      </c>
      <c r="BN67">
        <v>5</v>
      </c>
      <c r="CA67" t="s">
        <v>116</v>
      </c>
      <c r="CB67">
        <v>5</v>
      </c>
      <c r="CO67" t="s">
        <v>116</v>
      </c>
      <c r="CP67">
        <v>5</v>
      </c>
      <c r="DC67" t="s">
        <v>116</v>
      </c>
      <c r="DD67">
        <v>5</v>
      </c>
      <c r="EE67" t="s">
        <v>116</v>
      </c>
      <c r="EF67">
        <v>5</v>
      </c>
      <c r="ES67" t="s">
        <v>116</v>
      </c>
      <c r="ET67">
        <v>5</v>
      </c>
      <c r="GI67" t="s">
        <v>116</v>
      </c>
      <c r="GJ67">
        <v>5</v>
      </c>
      <c r="GW67" t="s">
        <v>116</v>
      </c>
      <c r="GX67">
        <v>5</v>
      </c>
    </row>
    <row r="68" spans="7:215" x14ac:dyDescent="0.25">
      <c r="DP68" t="s">
        <v>117</v>
      </c>
      <c r="DQ68">
        <v>800</v>
      </c>
      <c r="DR68">
        <v>800</v>
      </c>
      <c r="DS68">
        <v>800</v>
      </c>
      <c r="DT68">
        <v>800</v>
      </c>
      <c r="DU68">
        <v>800</v>
      </c>
      <c r="DV68">
        <v>800</v>
      </c>
      <c r="DW68">
        <v>800</v>
      </c>
      <c r="DX68">
        <v>800</v>
      </c>
      <c r="DY68">
        <v>800</v>
      </c>
      <c r="DZ68">
        <v>800</v>
      </c>
      <c r="FG68" t="s">
        <v>117</v>
      </c>
      <c r="FH68">
        <v>800</v>
      </c>
      <c r="FI68">
        <v>800</v>
      </c>
      <c r="FJ68">
        <v>800</v>
      </c>
      <c r="FK68">
        <v>800</v>
      </c>
      <c r="FL68">
        <v>800</v>
      </c>
      <c r="FM68">
        <v>800</v>
      </c>
      <c r="FN68">
        <v>800</v>
      </c>
      <c r="FO68">
        <v>800</v>
      </c>
      <c r="FP68">
        <v>800</v>
      </c>
      <c r="FQ68">
        <v>800</v>
      </c>
      <c r="FU68" t="s">
        <v>117</v>
      </c>
      <c r="FV68">
        <v>800</v>
      </c>
      <c r="FW68">
        <v>800</v>
      </c>
      <c r="FX68">
        <v>800</v>
      </c>
      <c r="FY68">
        <v>800</v>
      </c>
      <c r="FZ68">
        <v>800</v>
      </c>
      <c r="GA68">
        <v>800</v>
      </c>
      <c r="GB68">
        <v>800</v>
      </c>
      <c r="GC68">
        <v>800</v>
      </c>
      <c r="GD68">
        <v>800</v>
      </c>
      <c r="GE68">
        <v>800</v>
      </c>
    </row>
    <row r="69" spans="7:215" x14ac:dyDescent="0.25">
      <c r="G69" t="s">
        <v>122</v>
      </c>
      <c r="V69" t="s">
        <v>117</v>
      </c>
      <c r="W69">
        <v>800</v>
      </c>
      <c r="X69">
        <v>800</v>
      </c>
      <c r="Y69">
        <v>800</v>
      </c>
      <c r="Z69">
        <v>800</v>
      </c>
      <c r="AA69">
        <v>800</v>
      </c>
      <c r="AB69">
        <v>800</v>
      </c>
      <c r="AC69">
        <v>800</v>
      </c>
      <c r="AD69">
        <v>800</v>
      </c>
      <c r="AE69">
        <v>800</v>
      </c>
      <c r="AF69">
        <v>800</v>
      </c>
      <c r="AJ69" t="s">
        <v>117</v>
      </c>
      <c r="AK69">
        <v>800</v>
      </c>
      <c r="AL69">
        <v>800</v>
      </c>
      <c r="AM69">
        <v>800</v>
      </c>
      <c r="AN69">
        <v>800</v>
      </c>
      <c r="AO69">
        <v>800</v>
      </c>
      <c r="AP69">
        <v>800</v>
      </c>
      <c r="AQ69">
        <v>800</v>
      </c>
      <c r="AR69">
        <v>800</v>
      </c>
      <c r="AS69">
        <v>800</v>
      </c>
      <c r="AT69">
        <v>800</v>
      </c>
      <c r="AY69" t="s">
        <v>117</v>
      </c>
      <c r="AZ69">
        <v>800</v>
      </c>
      <c r="BA69">
        <v>800</v>
      </c>
      <c r="BB69">
        <v>800</v>
      </c>
      <c r="BC69">
        <v>800</v>
      </c>
      <c r="BD69">
        <v>800</v>
      </c>
      <c r="BE69">
        <v>800</v>
      </c>
      <c r="BF69">
        <v>800</v>
      </c>
      <c r="BG69">
        <v>800</v>
      </c>
      <c r="BH69">
        <v>800</v>
      </c>
      <c r="BI69">
        <v>800</v>
      </c>
      <c r="BM69" t="s">
        <v>117</v>
      </c>
      <c r="BN69">
        <v>800</v>
      </c>
      <c r="BO69">
        <v>800</v>
      </c>
      <c r="BP69">
        <v>800</v>
      </c>
      <c r="BQ69">
        <v>800</v>
      </c>
      <c r="BR69">
        <v>800</v>
      </c>
      <c r="BS69">
        <v>800</v>
      </c>
      <c r="BT69">
        <v>800</v>
      </c>
      <c r="BU69">
        <v>800</v>
      </c>
      <c r="BV69">
        <v>800</v>
      </c>
      <c r="BW69">
        <v>800</v>
      </c>
      <c r="CA69" t="s">
        <v>117</v>
      </c>
      <c r="CB69">
        <v>800</v>
      </c>
      <c r="CC69">
        <v>800</v>
      </c>
      <c r="CD69">
        <v>800</v>
      </c>
      <c r="CE69">
        <v>800</v>
      </c>
      <c r="CF69">
        <v>800</v>
      </c>
      <c r="CG69">
        <v>800</v>
      </c>
      <c r="CH69">
        <v>800</v>
      </c>
      <c r="CI69">
        <v>800</v>
      </c>
      <c r="CJ69">
        <v>800</v>
      </c>
      <c r="CK69">
        <v>800</v>
      </c>
      <c r="CO69" t="s">
        <v>117</v>
      </c>
      <c r="CP69">
        <v>800</v>
      </c>
      <c r="CQ69">
        <v>800</v>
      </c>
      <c r="CR69">
        <v>800</v>
      </c>
      <c r="CS69">
        <v>800</v>
      </c>
      <c r="CT69">
        <v>800</v>
      </c>
      <c r="CU69">
        <v>800</v>
      </c>
      <c r="CV69">
        <v>800</v>
      </c>
      <c r="CW69">
        <v>800</v>
      </c>
      <c r="CX69">
        <v>800</v>
      </c>
      <c r="CY69">
        <v>800</v>
      </c>
      <c r="DC69" t="s">
        <v>117</v>
      </c>
      <c r="DD69">
        <v>800</v>
      </c>
      <c r="DE69">
        <v>800</v>
      </c>
      <c r="DF69">
        <v>800</v>
      </c>
      <c r="DG69">
        <v>800</v>
      </c>
      <c r="DH69">
        <v>800</v>
      </c>
      <c r="DI69">
        <v>800</v>
      </c>
      <c r="DJ69">
        <v>800</v>
      </c>
      <c r="DK69">
        <v>800</v>
      </c>
      <c r="DL69">
        <v>800</v>
      </c>
      <c r="DM69">
        <v>800</v>
      </c>
      <c r="EE69" t="s">
        <v>117</v>
      </c>
      <c r="EF69">
        <v>800</v>
      </c>
      <c r="EG69">
        <v>800</v>
      </c>
      <c r="EH69">
        <v>800</v>
      </c>
      <c r="EI69">
        <v>800</v>
      </c>
      <c r="EJ69">
        <v>800</v>
      </c>
      <c r="EK69">
        <v>800</v>
      </c>
      <c r="EL69">
        <v>800</v>
      </c>
      <c r="EM69">
        <v>800</v>
      </c>
      <c r="EN69">
        <v>800</v>
      </c>
      <c r="EO69">
        <v>800</v>
      </c>
      <c r="ES69" t="s">
        <v>117</v>
      </c>
      <c r="ET69">
        <v>800</v>
      </c>
      <c r="EU69">
        <v>800</v>
      </c>
      <c r="EV69">
        <v>800</v>
      </c>
      <c r="EW69">
        <v>800</v>
      </c>
      <c r="EX69">
        <v>800</v>
      </c>
      <c r="EY69">
        <v>800</v>
      </c>
      <c r="EZ69">
        <v>800</v>
      </c>
      <c r="FA69">
        <v>800</v>
      </c>
      <c r="FB69">
        <v>800</v>
      </c>
      <c r="FC69">
        <v>800</v>
      </c>
      <c r="GI69" t="s">
        <v>117</v>
      </c>
      <c r="GJ69">
        <v>800</v>
      </c>
      <c r="GK69">
        <v>800</v>
      </c>
      <c r="GL69">
        <v>800</v>
      </c>
      <c r="GM69">
        <v>800</v>
      </c>
      <c r="GN69">
        <v>800</v>
      </c>
      <c r="GO69">
        <v>800</v>
      </c>
      <c r="GP69">
        <v>800</v>
      </c>
      <c r="GQ69">
        <v>800</v>
      </c>
      <c r="GR69">
        <v>800</v>
      </c>
      <c r="GS69">
        <v>800</v>
      </c>
      <c r="GW69" t="s">
        <v>117</v>
      </c>
      <c r="GX69">
        <v>800</v>
      </c>
      <c r="GY69">
        <v>800</v>
      </c>
      <c r="GZ69">
        <v>800</v>
      </c>
      <c r="HA69">
        <v>800</v>
      </c>
      <c r="HB69">
        <v>800</v>
      </c>
      <c r="HC69">
        <v>800</v>
      </c>
      <c r="HD69">
        <v>800</v>
      </c>
      <c r="HE69">
        <v>800</v>
      </c>
      <c r="HF69">
        <v>800</v>
      </c>
      <c r="HG69">
        <v>800</v>
      </c>
    </row>
    <row r="70" spans="7:215" x14ac:dyDescent="0.25">
      <c r="H70">
        <f>((H67/1000)*H56*0.5*3)+2*0.5*0.8*4</f>
        <v>7.7</v>
      </c>
      <c r="I70">
        <f>((I67/1000)*I56*0.5*3)+2*0.5*0.8*4</f>
        <v>9.1999999999999993</v>
      </c>
      <c r="J70">
        <f t="shared" ref="J70:P70" si="67">((J67/1000)*J56*0.5*3)+2*0.5*0.8*4</f>
        <v>12.2</v>
      </c>
      <c r="K70">
        <f t="shared" si="67"/>
        <v>15.2</v>
      </c>
      <c r="L70">
        <f t="shared" si="67"/>
        <v>18.2</v>
      </c>
      <c r="M70">
        <f t="shared" si="67"/>
        <v>21.2</v>
      </c>
      <c r="N70">
        <f t="shared" si="67"/>
        <v>24.2</v>
      </c>
      <c r="O70">
        <f t="shared" si="67"/>
        <v>27.2</v>
      </c>
      <c r="P70">
        <f t="shared" si="67"/>
        <v>30.2</v>
      </c>
      <c r="Q70">
        <f>((Q67/1000)*Q56*0.5*3)+2*0.5*0.8*4</f>
        <v>33.200000000000003</v>
      </c>
      <c r="DP70" t="s">
        <v>122</v>
      </c>
      <c r="FG70" t="s">
        <v>122</v>
      </c>
      <c r="FU70" t="s">
        <v>122</v>
      </c>
    </row>
    <row r="71" spans="7:215" x14ac:dyDescent="0.25">
      <c r="V71" t="s">
        <v>122</v>
      </c>
      <c r="AJ71" t="s">
        <v>122</v>
      </c>
      <c r="AY71" t="s">
        <v>122</v>
      </c>
      <c r="BM71" t="s">
        <v>122</v>
      </c>
      <c r="CA71" t="s">
        <v>122</v>
      </c>
      <c r="CO71" t="s">
        <v>122</v>
      </c>
      <c r="DC71" t="s">
        <v>122</v>
      </c>
      <c r="DQ71">
        <f>((DQ68/1000)*DQ55*0.5*DQ53)+2*0.5*0.8*(DQ53-1)*2</f>
        <v>149.6</v>
      </c>
      <c r="DR71">
        <f t="shared" ref="DR71:DZ71" si="68">((DR68/1000)*DR55*0.5*DR53)+2*0.5*0.8*(DR53-1)*2</f>
        <v>192</v>
      </c>
      <c r="DS71">
        <f t="shared" si="68"/>
        <v>280</v>
      </c>
      <c r="DT71">
        <f t="shared" si="68"/>
        <v>368</v>
      </c>
      <c r="DU71">
        <f t="shared" si="68"/>
        <v>456</v>
      </c>
      <c r="DV71">
        <f t="shared" si="68"/>
        <v>544</v>
      </c>
      <c r="DW71">
        <f t="shared" si="68"/>
        <v>632</v>
      </c>
      <c r="DX71">
        <f t="shared" si="68"/>
        <v>720</v>
      </c>
      <c r="DY71">
        <f t="shared" si="68"/>
        <v>808</v>
      </c>
      <c r="DZ71">
        <f t="shared" si="68"/>
        <v>896</v>
      </c>
      <c r="EE71" t="s">
        <v>122</v>
      </c>
      <c r="ES71" t="s">
        <v>122</v>
      </c>
      <c r="FH71">
        <f>((FH68/1000)*FH55*0.5*FH53)+2*0.5*0.8*(FH53-1)*2</f>
        <v>359.6</v>
      </c>
      <c r="FI71">
        <f t="shared" ref="FI71:FQ71" si="69">((FI68/1000)*FI55*0.5*FI53)+2*0.5*0.8*(FI53-1)*2</f>
        <v>456</v>
      </c>
      <c r="FJ71">
        <f t="shared" si="69"/>
        <v>664</v>
      </c>
      <c r="FK71">
        <f t="shared" si="69"/>
        <v>872</v>
      </c>
      <c r="FL71">
        <f t="shared" si="69"/>
        <v>1080</v>
      </c>
      <c r="FM71">
        <f t="shared" si="69"/>
        <v>1288</v>
      </c>
      <c r="FN71">
        <f t="shared" si="69"/>
        <v>1496</v>
      </c>
      <c r="FO71">
        <f t="shared" si="69"/>
        <v>1704</v>
      </c>
      <c r="FP71">
        <f t="shared" si="69"/>
        <v>1912</v>
      </c>
      <c r="FQ71">
        <f t="shared" si="69"/>
        <v>2120</v>
      </c>
      <c r="FV71">
        <f>((FV68/1000)*FV55*0.5*FV53)+2*0.5*0.8*(FV53-1)*2</f>
        <v>429.6</v>
      </c>
      <c r="FW71">
        <f t="shared" ref="FW71:GE71" si="70">((FW68/1000)*FW55*0.5*FW53)+2*0.5*0.8*(FW53-1)*2</f>
        <v>544</v>
      </c>
      <c r="FX71">
        <f t="shared" si="70"/>
        <v>792</v>
      </c>
      <c r="FY71">
        <f t="shared" si="70"/>
        <v>1040</v>
      </c>
      <c r="FZ71">
        <f t="shared" si="70"/>
        <v>1288</v>
      </c>
      <c r="GA71">
        <f t="shared" si="70"/>
        <v>1536</v>
      </c>
      <c r="GB71">
        <f t="shared" si="70"/>
        <v>1784</v>
      </c>
      <c r="GC71">
        <f t="shared" si="70"/>
        <v>2032</v>
      </c>
      <c r="GD71">
        <f t="shared" si="70"/>
        <v>2280</v>
      </c>
      <c r="GE71">
        <f t="shared" si="70"/>
        <v>2528</v>
      </c>
      <c r="GI71" t="s">
        <v>122</v>
      </c>
      <c r="GW71" t="s">
        <v>122</v>
      </c>
    </row>
    <row r="72" spans="7:215" x14ac:dyDescent="0.25">
      <c r="W72">
        <f>((W69/1000)*W56*0.5*W54)+2*0.5*0.8*(W54-1)*2</f>
        <v>12.2</v>
      </c>
      <c r="X72">
        <f t="shared" ref="X72:AF72" si="71">((X69/1000)*X56*0.5*X54)+2*0.5*0.8*(X54-1)*2</f>
        <v>15.2</v>
      </c>
      <c r="Y72">
        <f t="shared" si="71"/>
        <v>21.2</v>
      </c>
      <c r="Z72">
        <f t="shared" si="71"/>
        <v>27.2</v>
      </c>
      <c r="AA72">
        <f t="shared" si="71"/>
        <v>31.466666666666672</v>
      </c>
      <c r="AB72">
        <f t="shared" si="71"/>
        <v>36.799999999999997</v>
      </c>
      <c r="AC72">
        <f t="shared" si="71"/>
        <v>41.4</v>
      </c>
      <c r="AD72">
        <f t="shared" si="71"/>
        <v>46.4</v>
      </c>
      <c r="AE72">
        <f t="shared" si="71"/>
        <v>51.2</v>
      </c>
      <c r="AF72">
        <f t="shared" si="71"/>
        <v>56</v>
      </c>
      <c r="AK72">
        <f>((AK69/1000)*AK56*0.5*AK54)+2*0.5*0.8*(AK54-1)*2</f>
        <v>21.2</v>
      </c>
      <c r="AL72">
        <f t="shared" ref="AL72:AT72" si="72">((AL69/1000)*AL56*0.5*AL54)+2*0.5*0.8*(AL54-1)*2</f>
        <v>27.2</v>
      </c>
      <c r="AM72">
        <f t="shared" si="72"/>
        <v>36.799999999999997</v>
      </c>
      <c r="AN72">
        <f t="shared" si="72"/>
        <v>46.4</v>
      </c>
      <c r="AO72">
        <f t="shared" si="72"/>
        <v>56</v>
      </c>
      <c r="AP72">
        <f t="shared" si="72"/>
        <v>65.599999999999994</v>
      </c>
      <c r="AQ72">
        <f t="shared" si="72"/>
        <v>75.2</v>
      </c>
      <c r="AR72">
        <f t="shared" si="72"/>
        <v>84.8</v>
      </c>
      <c r="AS72">
        <f t="shared" si="72"/>
        <v>94.4</v>
      </c>
      <c r="AT72">
        <f t="shared" si="72"/>
        <v>104</v>
      </c>
      <c r="AZ72">
        <f>((AZ69/1000)*AZ56*0.5*AZ54)+2*0.5*0.8*(AZ54-1)*2</f>
        <v>30.2</v>
      </c>
      <c r="BA72">
        <f t="shared" ref="BA72:BI72" si="73">((BA69/1000)*BA56*0.5*BA54)+2*0.5*0.8*(BA54-1)*2</f>
        <v>36.799999999999997</v>
      </c>
      <c r="BB72">
        <f t="shared" si="73"/>
        <v>51.2</v>
      </c>
      <c r="BC72">
        <f t="shared" si="73"/>
        <v>65.599999999999994</v>
      </c>
      <c r="BD72">
        <f t="shared" si="73"/>
        <v>80.3</v>
      </c>
      <c r="BE72">
        <f t="shared" si="73"/>
        <v>94.4</v>
      </c>
      <c r="BF72">
        <f t="shared" si="73"/>
        <v>109.23636363636365</v>
      </c>
      <c r="BG72">
        <f t="shared" si="73"/>
        <v>123.2</v>
      </c>
      <c r="BH72">
        <f t="shared" si="73"/>
        <v>138.11428571428573</v>
      </c>
      <c r="BI72">
        <f t="shared" si="73"/>
        <v>152</v>
      </c>
      <c r="BN72">
        <f>((BN69/1000)*BN56*0.5*BN54)+2*0.5*0.8*(BN54-1)*2</f>
        <v>44.8</v>
      </c>
      <c r="BO72">
        <f t="shared" ref="BO72:BW72" si="74">((BO69/1000)*BO56*0.5*BO54)+2*0.5*0.8*(BO54-1)*2</f>
        <v>56</v>
      </c>
      <c r="BP72">
        <f t="shared" si="74"/>
        <v>80.3</v>
      </c>
      <c r="BQ72">
        <f t="shared" si="74"/>
        <v>104</v>
      </c>
      <c r="BR72">
        <f t="shared" si="74"/>
        <v>128.49230769230769</v>
      </c>
      <c r="BS72">
        <f t="shared" si="74"/>
        <v>152</v>
      </c>
      <c r="BT72">
        <f t="shared" si="74"/>
        <v>176.57777777777778</v>
      </c>
      <c r="BU72">
        <f t="shared" si="74"/>
        <v>200</v>
      </c>
      <c r="BV72">
        <f t="shared" si="74"/>
        <v>224.62608695652176</v>
      </c>
      <c r="BW72">
        <f t="shared" si="74"/>
        <v>248</v>
      </c>
      <c r="CB72">
        <f>((CB69/1000)*CB56*0.5*CB54)+2*0.5*0.8*(CB54-1)*2</f>
        <v>62</v>
      </c>
      <c r="CC72">
        <f t="shared" ref="CC72:CK72" si="75">((CC69/1000)*CC56*0.5*CC54)+2*0.5*0.8*(CC54-1)*2</f>
        <v>80.3</v>
      </c>
      <c r="CD72">
        <f t="shared" si="75"/>
        <v>116.7</v>
      </c>
      <c r="CE72">
        <f t="shared" si="75"/>
        <v>152</v>
      </c>
      <c r="CF72">
        <f t="shared" si="75"/>
        <v>188.29473684210527</v>
      </c>
      <c r="CG72">
        <f t="shared" si="75"/>
        <v>224.62608695652176</v>
      </c>
      <c r="CH72">
        <f t="shared" si="75"/>
        <v>260.97777777777776</v>
      </c>
      <c r="CI72">
        <f t="shared" si="75"/>
        <v>296</v>
      </c>
      <c r="CJ72">
        <f t="shared" si="75"/>
        <v>332.34117647058827</v>
      </c>
      <c r="CK72">
        <f t="shared" si="75"/>
        <v>368.69473684210527</v>
      </c>
      <c r="CP72">
        <f>((CP69/1000)*CP56*0.5*CP54)+2*0.5*0.8*(CP54-1)*2</f>
        <v>79.599999999999994</v>
      </c>
      <c r="CQ72">
        <f t="shared" ref="CQ72:CY72" si="76">((CQ69/1000)*CQ56*0.5*CQ54)+2*0.5*0.8*(CQ54-1)*2</f>
        <v>104</v>
      </c>
      <c r="CR72">
        <f t="shared" si="76"/>
        <v>152</v>
      </c>
      <c r="CS72">
        <f t="shared" si="76"/>
        <v>200</v>
      </c>
      <c r="CT72">
        <f t="shared" si="76"/>
        <v>248</v>
      </c>
      <c r="CU72">
        <f t="shared" si="76"/>
        <v>296</v>
      </c>
      <c r="CV72">
        <f t="shared" si="76"/>
        <v>344</v>
      </c>
      <c r="CW72">
        <f t="shared" si="76"/>
        <v>392</v>
      </c>
      <c r="CX72">
        <f t="shared" si="76"/>
        <v>440</v>
      </c>
      <c r="CY72">
        <f t="shared" si="76"/>
        <v>488</v>
      </c>
      <c r="DD72">
        <f>((DD69/1000)*DD56*0.5*DD54)+2*0.5*0.8*(DD54-1)*2</f>
        <v>114.6</v>
      </c>
      <c r="DE72">
        <f t="shared" ref="DE72:DM72" si="77">((DE69/1000)*DE56*0.5*DE54)+2*0.5*0.8*(DE54-1)*2</f>
        <v>148</v>
      </c>
      <c r="DF72">
        <f t="shared" si="77"/>
        <v>216</v>
      </c>
      <c r="DG72">
        <f t="shared" si="77"/>
        <v>284</v>
      </c>
      <c r="DH72">
        <f t="shared" si="77"/>
        <v>352</v>
      </c>
      <c r="DI72">
        <f t="shared" si="77"/>
        <v>420</v>
      </c>
      <c r="DJ72">
        <f t="shared" si="77"/>
        <v>488</v>
      </c>
      <c r="DK72">
        <f t="shared" si="77"/>
        <v>556</v>
      </c>
      <c r="DL72">
        <f t="shared" si="77"/>
        <v>624</v>
      </c>
      <c r="DM72">
        <f t="shared" si="77"/>
        <v>692</v>
      </c>
      <c r="EF72">
        <f>((EF69/1000)*EF56*0.5*EF54)+2*0.5*0.8*(EF54-1)*2</f>
        <v>219.6</v>
      </c>
      <c r="EG72">
        <f t="shared" ref="EG72:EO72" si="78">((EG69/1000)*EG56*0.5*EG54)+2*0.5*0.8*(EG54-1)*2</f>
        <v>280</v>
      </c>
      <c r="EH72">
        <f t="shared" si="78"/>
        <v>408</v>
      </c>
      <c r="EI72">
        <f t="shared" si="78"/>
        <v>536</v>
      </c>
      <c r="EJ72">
        <f t="shared" si="78"/>
        <v>664</v>
      </c>
      <c r="EK72">
        <f t="shared" si="78"/>
        <v>792</v>
      </c>
      <c r="EL72">
        <f t="shared" si="78"/>
        <v>920</v>
      </c>
      <c r="EM72">
        <f t="shared" si="78"/>
        <v>1048</v>
      </c>
      <c r="EN72">
        <f t="shared" si="78"/>
        <v>1176</v>
      </c>
      <c r="EO72">
        <f t="shared" si="78"/>
        <v>1304</v>
      </c>
      <c r="ET72">
        <f>((ET69/1000)*ET56*0.5*ET54)+2*0.5*0.8*(ET54-1)*2</f>
        <v>289.60000000000002</v>
      </c>
      <c r="EU72">
        <f t="shared" ref="EU72:FC72" si="79">((EU69/1000)*EU56*0.5*EU54)+2*0.5*0.8*(EU54-1)*2</f>
        <v>368</v>
      </c>
      <c r="EV72">
        <f t="shared" si="79"/>
        <v>536</v>
      </c>
      <c r="EW72">
        <f t="shared" si="79"/>
        <v>704</v>
      </c>
      <c r="EX72">
        <f t="shared" si="79"/>
        <v>872</v>
      </c>
      <c r="EY72">
        <f t="shared" si="79"/>
        <v>1040</v>
      </c>
      <c r="EZ72">
        <f t="shared" si="79"/>
        <v>1208</v>
      </c>
      <c r="FA72">
        <f t="shared" si="79"/>
        <v>1376</v>
      </c>
      <c r="FB72">
        <f t="shared" si="79"/>
        <v>1544</v>
      </c>
      <c r="FC72">
        <f t="shared" si="79"/>
        <v>1712</v>
      </c>
      <c r="GJ72">
        <f>((GJ69/1000)*GJ56*0.5*GJ54)+2*0.5*0.8*(GJ54-1)*2</f>
        <v>569.6</v>
      </c>
      <c r="GK72">
        <f t="shared" ref="GK72:GS72" si="80">((GK69/1000)*GK56*0.5*GK54)+2*0.5*0.8*(GK54-1)*2</f>
        <v>720</v>
      </c>
      <c r="GL72">
        <f t="shared" si="80"/>
        <v>1048</v>
      </c>
      <c r="GM72">
        <f t="shared" si="80"/>
        <v>1376</v>
      </c>
      <c r="GN72">
        <f t="shared" si="80"/>
        <v>1704</v>
      </c>
      <c r="GO72">
        <f t="shared" si="80"/>
        <v>2032</v>
      </c>
      <c r="GP72">
        <f t="shared" si="80"/>
        <v>2360</v>
      </c>
      <c r="GQ72">
        <f t="shared" si="80"/>
        <v>2688</v>
      </c>
      <c r="GR72">
        <f t="shared" si="80"/>
        <v>3016</v>
      </c>
      <c r="GS72">
        <f t="shared" si="80"/>
        <v>3344</v>
      </c>
      <c r="GX72">
        <f>((GX69/1000)*GX56*0.5*GX54)+2*0.5*0.8*(GX54-1)*2</f>
        <v>709.6</v>
      </c>
      <c r="GY72">
        <f t="shared" ref="GY72:HG72" si="81">((GY69/1000)*GY56*0.5*GY54)+2*0.5*0.8*(GY54-1)*2</f>
        <v>896</v>
      </c>
      <c r="GZ72">
        <f t="shared" si="81"/>
        <v>1304</v>
      </c>
      <c r="HA72">
        <f t="shared" si="81"/>
        <v>1712</v>
      </c>
      <c r="HB72">
        <f t="shared" si="81"/>
        <v>2120</v>
      </c>
      <c r="HC72">
        <f t="shared" si="81"/>
        <v>2528</v>
      </c>
      <c r="HD72">
        <f t="shared" si="81"/>
        <v>2936</v>
      </c>
      <c r="HE72">
        <f t="shared" si="81"/>
        <v>3344</v>
      </c>
      <c r="HF72">
        <f t="shared" si="81"/>
        <v>3752</v>
      </c>
      <c r="HG72">
        <f t="shared" si="81"/>
        <v>4160</v>
      </c>
    </row>
    <row r="73" spans="7:215" x14ac:dyDescent="0.25">
      <c r="G73" t="s">
        <v>110</v>
      </c>
      <c r="H73">
        <f>H58</f>
        <v>21.25</v>
      </c>
      <c r="I73">
        <f>I58</f>
        <v>25</v>
      </c>
      <c r="J73">
        <f t="shared" ref="J73:Q73" si="82">J58</f>
        <v>32.5</v>
      </c>
      <c r="K73">
        <f t="shared" si="82"/>
        <v>40</v>
      </c>
      <c r="L73">
        <f t="shared" si="82"/>
        <v>47.5</v>
      </c>
      <c r="M73">
        <f t="shared" si="82"/>
        <v>55</v>
      </c>
      <c r="N73">
        <f t="shared" si="82"/>
        <v>62.5</v>
      </c>
      <c r="O73">
        <f t="shared" si="82"/>
        <v>70</v>
      </c>
      <c r="P73">
        <f t="shared" si="82"/>
        <v>77.5</v>
      </c>
      <c r="Q73">
        <f t="shared" si="82"/>
        <v>85</v>
      </c>
    </row>
    <row r="74" spans="7:215" x14ac:dyDescent="0.25">
      <c r="G74" t="s">
        <v>14</v>
      </c>
      <c r="H74">
        <f>H70</f>
        <v>7.7</v>
      </c>
      <c r="I74">
        <f t="shared" ref="I74:Q74" si="83">I70</f>
        <v>9.1999999999999993</v>
      </c>
      <c r="J74">
        <f t="shared" si="83"/>
        <v>12.2</v>
      </c>
      <c r="K74">
        <f t="shared" si="83"/>
        <v>15.2</v>
      </c>
      <c r="L74">
        <f t="shared" si="83"/>
        <v>18.2</v>
      </c>
      <c r="M74">
        <f t="shared" si="83"/>
        <v>21.2</v>
      </c>
      <c r="N74">
        <f t="shared" si="83"/>
        <v>24.2</v>
      </c>
      <c r="O74">
        <f t="shared" si="83"/>
        <v>27.2</v>
      </c>
      <c r="P74">
        <f t="shared" si="83"/>
        <v>30.2</v>
      </c>
      <c r="Q74">
        <f t="shared" si="83"/>
        <v>33.200000000000003</v>
      </c>
      <c r="DP74" t="s">
        <v>110</v>
      </c>
      <c r="DQ74">
        <f>DQ59</f>
        <v>180</v>
      </c>
      <c r="DR74">
        <f t="shared" ref="DR74:DZ74" si="84">DR59</f>
        <v>170</v>
      </c>
      <c r="DS74">
        <f t="shared" si="84"/>
        <v>195</v>
      </c>
      <c r="DT74">
        <f t="shared" si="84"/>
        <v>220</v>
      </c>
      <c r="DU74">
        <f t="shared" si="84"/>
        <v>245</v>
      </c>
      <c r="DV74">
        <f t="shared" si="84"/>
        <v>270</v>
      </c>
      <c r="DW74">
        <f t="shared" si="84"/>
        <v>295</v>
      </c>
      <c r="DX74">
        <f t="shared" si="84"/>
        <v>320</v>
      </c>
      <c r="DY74">
        <f t="shared" si="84"/>
        <v>345</v>
      </c>
      <c r="DZ74">
        <f t="shared" si="84"/>
        <v>370</v>
      </c>
      <c r="FG74" t="s">
        <v>110</v>
      </c>
      <c r="FH74">
        <f>FH59</f>
        <v>405</v>
      </c>
      <c r="FI74">
        <f t="shared" ref="FI74:FQ74" si="85">FI59</f>
        <v>350</v>
      </c>
      <c r="FJ74">
        <f t="shared" si="85"/>
        <v>375</v>
      </c>
      <c r="FK74">
        <f t="shared" si="85"/>
        <v>400</v>
      </c>
      <c r="FL74">
        <f t="shared" si="85"/>
        <v>425</v>
      </c>
      <c r="FM74">
        <f t="shared" si="85"/>
        <v>450</v>
      </c>
      <c r="FN74">
        <f t="shared" si="85"/>
        <v>475</v>
      </c>
      <c r="FO74">
        <f t="shared" si="85"/>
        <v>500</v>
      </c>
      <c r="FP74">
        <f t="shared" si="85"/>
        <v>525</v>
      </c>
      <c r="FQ74">
        <f t="shared" si="85"/>
        <v>550</v>
      </c>
      <c r="FU74" t="s">
        <v>110</v>
      </c>
      <c r="FV74">
        <f>FV59</f>
        <v>480</v>
      </c>
      <c r="FW74">
        <f t="shared" ref="FW74:GE74" si="86">FW59</f>
        <v>410</v>
      </c>
      <c r="FX74">
        <f t="shared" si="86"/>
        <v>435</v>
      </c>
      <c r="FY74">
        <f t="shared" si="86"/>
        <v>460</v>
      </c>
      <c r="FZ74">
        <f t="shared" si="86"/>
        <v>485</v>
      </c>
      <c r="GA74">
        <f t="shared" si="86"/>
        <v>510</v>
      </c>
      <c r="GB74">
        <f t="shared" si="86"/>
        <v>535</v>
      </c>
      <c r="GC74">
        <f t="shared" si="86"/>
        <v>560</v>
      </c>
      <c r="GD74">
        <f t="shared" si="86"/>
        <v>585</v>
      </c>
      <c r="GE74">
        <f t="shared" si="86"/>
        <v>610</v>
      </c>
    </row>
    <row r="75" spans="7:215" x14ac:dyDescent="0.25">
      <c r="G75" t="s">
        <v>111</v>
      </c>
      <c r="H75">
        <f>(H74/8)*5</f>
        <v>4.8125</v>
      </c>
      <c r="I75">
        <f t="shared" ref="I75:Q75" si="87">(I74/8)*5</f>
        <v>5.75</v>
      </c>
      <c r="J75">
        <f t="shared" si="87"/>
        <v>7.625</v>
      </c>
      <c r="K75">
        <f t="shared" si="87"/>
        <v>9.5</v>
      </c>
      <c r="L75">
        <f t="shared" si="87"/>
        <v>11.375</v>
      </c>
      <c r="M75">
        <f t="shared" si="87"/>
        <v>13.25</v>
      </c>
      <c r="N75">
        <f t="shared" si="87"/>
        <v>15.125</v>
      </c>
      <c r="O75">
        <f t="shared" si="87"/>
        <v>17</v>
      </c>
      <c r="P75">
        <f t="shared" si="87"/>
        <v>18.875</v>
      </c>
      <c r="Q75">
        <f t="shared" si="87"/>
        <v>20.75</v>
      </c>
      <c r="V75" t="s">
        <v>110</v>
      </c>
      <c r="W75">
        <f>W60</f>
        <v>32.5</v>
      </c>
      <c r="X75">
        <f t="shared" ref="X75:AF75" si="88">X60</f>
        <v>40</v>
      </c>
      <c r="Y75">
        <f t="shared" si="88"/>
        <v>55</v>
      </c>
      <c r="Z75">
        <f t="shared" si="88"/>
        <v>70</v>
      </c>
      <c r="AA75">
        <f t="shared" si="88"/>
        <v>65</v>
      </c>
      <c r="AB75">
        <f t="shared" si="88"/>
        <v>75</v>
      </c>
      <c r="AC75">
        <f t="shared" si="88"/>
        <v>72.5</v>
      </c>
      <c r="AD75">
        <f t="shared" si="88"/>
        <v>80</v>
      </c>
      <c r="AE75">
        <f t="shared" si="88"/>
        <v>79</v>
      </c>
      <c r="AF75">
        <f t="shared" si="88"/>
        <v>85</v>
      </c>
      <c r="AJ75" t="s">
        <v>110</v>
      </c>
      <c r="AK75">
        <f>AK60</f>
        <v>55</v>
      </c>
      <c r="AL75">
        <f t="shared" ref="AL75:AT75" si="89">AL60</f>
        <v>70</v>
      </c>
      <c r="AM75">
        <f t="shared" si="89"/>
        <v>75</v>
      </c>
      <c r="AN75">
        <f t="shared" si="89"/>
        <v>80</v>
      </c>
      <c r="AO75">
        <f t="shared" si="89"/>
        <v>85</v>
      </c>
      <c r="AP75">
        <f t="shared" si="89"/>
        <v>90</v>
      </c>
      <c r="AQ75">
        <f t="shared" si="89"/>
        <v>95</v>
      </c>
      <c r="AR75">
        <f t="shared" si="89"/>
        <v>100</v>
      </c>
      <c r="AS75">
        <f t="shared" si="89"/>
        <v>105</v>
      </c>
      <c r="AT75">
        <f t="shared" si="89"/>
        <v>110</v>
      </c>
      <c r="AY75" t="s">
        <v>110</v>
      </c>
      <c r="AZ75">
        <f>AZ60</f>
        <v>77.5</v>
      </c>
      <c r="BA75">
        <f t="shared" ref="BA75:BI75" si="90">BA60</f>
        <v>75</v>
      </c>
      <c r="BB75">
        <f t="shared" si="90"/>
        <v>79</v>
      </c>
      <c r="BC75">
        <f t="shared" si="90"/>
        <v>90</v>
      </c>
      <c r="BD75">
        <f t="shared" si="90"/>
        <v>96.25</v>
      </c>
      <c r="BE75">
        <f t="shared" si="90"/>
        <v>105</v>
      </c>
      <c r="BF75">
        <f t="shared" si="90"/>
        <v>112.27272727272727</v>
      </c>
      <c r="BG75">
        <f t="shared" si="90"/>
        <v>120</v>
      </c>
      <c r="BH75">
        <f t="shared" si="90"/>
        <v>127.85714285714286</v>
      </c>
      <c r="BI75">
        <f t="shared" si="90"/>
        <v>135</v>
      </c>
      <c r="BM75" t="s">
        <v>110</v>
      </c>
      <c r="BN75">
        <f>BN60</f>
        <v>90</v>
      </c>
      <c r="BO75">
        <f t="shared" ref="BO75:BW75" si="91">BO60</f>
        <v>85</v>
      </c>
      <c r="BP75">
        <f t="shared" si="91"/>
        <v>96.25</v>
      </c>
      <c r="BQ75">
        <f t="shared" si="91"/>
        <v>110</v>
      </c>
      <c r="BR75">
        <f t="shared" si="91"/>
        <v>122.69230769230769</v>
      </c>
      <c r="BS75">
        <f t="shared" si="91"/>
        <v>135</v>
      </c>
      <c r="BT75">
        <f t="shared" si="91"/>
        <v>148.33333333333331</v>
      </c>
      <c r="BU75">
        <f t="shared" si="91"/>
        <v>160</v>
      </c>
      <c r="BV75">
        <f t="shared" si="91"/>
        <v>173.69565217391306</v>
      </c>
      <c r="BW75">
        <f t="shared" si="91"/>
        <v>185</v>
      </c>
      <c r="CA75" t="s">
        <v>110</v>
      </c>
      <c r="CB75">
        <f>CB60</f>
        <v>92.5</v>
      </c>
      <c r="CC75">
        <f t="shared" ref="CC75:CK75" si="92">CC60</f>
        <v>96.25</v>
      </c>
      <c r="CD75">
        <f t="shared" si="92"/>
        <v>116.25</v>
      </c>
      <c r="CE75">
        <f t="shared" si="92"/>
        <v>135</v>
      </c>
      <c r="CF75">
        <f t="shared" si="92"/>
        <v>154.21052631578948</v>
      </c>
      <c r="CG75">
        <f t="shared" si="92"/>
        <v>173.69565217391306</v>
      </c>
      <c r="CH75">
        <f t="shared" si="92"/>
        <v>193.33333333333331</v>
      </c>
      <c r="CI75">
        <f t="shared" si="92"/>
        <v>210</v>
      </c>
      <c r="CJ75">
        <f t="shared" si="92"/>
        <v>229.55882352941177</v>
      </c>
      <c r="CK75">
        <f t="shared" si="92"/>
        <v>249.21052631578948</v>
      </c>
      <c r="CO75" t="s">
        <v>110</v>
      </c>
      <c r="CP75">
        <f>CP60</f>
        <v>105</v>
      </c>
      <c r="CQ75">
        <f t="shared" ref="CQ75:CY75" si="93">CQ60</f>
        <v>110</v>
      </c>
      <c r="CR75">
        <f t="shared" si="93"/>
        <v>135</v>
      </c>
      <c r="CS75">
        <f t="shared" si="93"/>
        <v>160</v>
      </c>
      <c r="CT75">
        <f t="shared" si="93"/>
        <v>185</v>
      </c>
      <c r="CU75">
        <f t="shared" si="93"/>
        <v>210</v>
      </c>
      <c r="CV75">
        <f t="shared" si="93"/>
        <v>235</v>
      </c>
      <c r="CW75">
        <f t="shared" si="93"/>
        <v>260</v>
      </c>
      <c r="CX75">
        <f t="shared" si="93"/>
        <v>285</v>
      </c>
      <c r="CY75">
        <f t="shared" si="93"/>
        <v>310</v>
      </c>
      <c r="DC75" t="s">
        <v>110</v>
      </c>
      <c r="DD75">
        <f>DD60</f>
        <v>142.5</v>
      </c>
      <c r="DE75">
        <f t="shared" ref="DE75:DM75" si="94">DE60</f>
        <v>140</v>
      </c>
      <c r="DF75">
        <f t="shared" si="94"/>
        <v>165</v>
      </c>
      <c r="DG75">
        <f t="shared" si="94"/>
        <v>190</v>
      </c>
      <c r="DH75">
        <f t="shared" si="94"/>
        <v>215</v>
      </c>
      <c r="DI75">
        <f t="shared" si="94"/>
        <v>240</v>
      </c>
      <c r="DJ75">
        <f t="shared" si="94"/>
        <v>265</v>
      </c>
      <c r="DK75">
        <f t="shared" si="94"/>
        <v>290</v>
      </c>
      <c r="DL75">
        <f t="shared" si="94"/>
        <v>315</v>
      </c>
      <c r="DM75">
        <f t="shared" si="94"/>
        <v>340</v>
      </c>
      <c r="DP75" t="s">
        <v>14</v>
      </c>
      <c r="DQ75">
        <f>DQ71</f>
        <v>149.6</v>
      </c>
      <c r="DR75">
        <f t="shared" ref="DR75:DZ75" si="95">DR71</f>
        <v>192</v>
      </c>
      <c r="DS75">
        <f t="shared" si="95"/>
        <v>280</v>
      </c>
      <c r="DT75">
        <f t="shared" si="95"/>
        <v>368</v>
      </c>
      <c r="DU75">
        <f t="shared" si="95"/>
        <v>456</v>
      </c>
      <c r="DV75">
        <f t="shared" si="95"/>
        <v>544</v>
      </c>
      <c r="DW75">
        <f t="shared" si="95"/>
        <v>632</v>
      </c>
      <c r="DX75">
        <f t="shared" si="95"/>
        <v>720</v>
      </c>
      <c r="DY75">
        <f t="shared" si="95"/>
        <v>808</v>
      </c>
      <c r="DZ75">
        <f t="shared" si="95"/>
        <v>896</v>
      </c>
      <c r="EE75" t="s">
        <v>110</v>
      </c>
      <c r="EF75">
        <f>EF60</f>
        <v>255</v>
      </c>
      <c r="EG75">
        <f t="shared" ref="EG75:EO75" si="96">EG60</f>
        <v>230</v>
      </c>
      <c r="EH75">
        <f t="shared" si="96"/>
        <v>255</v>
      </c>
      <c r="EI75">
        <f t="shared" si="96"/>
        <v>280</v>
      </c>
      <c r="EJ75">
        <f t="shared" si="96"/>
        <v>305</v>
      </c>
      <c r="EK75">
        <f t="shared" si="96"/>
        <v>330</v>
      </c>
      <c r="EL75">
        <f t="shared" si="96"/>
        <v>355</v>
      </c>
      <c r="EM75">
        <f t="shared" si="96"/>
        <v>380</v>
      </c>
      <c r="EN75">
        <f t="shared" si="96"/>
        <v>405</v>
      </c>
      <c r="EO75">
        <f t="shared" si="96"/>
        <v>430</v>
      </c>
      <c r="ES75" t="s">
        <v>110</v>
      </c>
      <c r="ET75">
        <f>ET60</f>
        <v>330</v>
      </c>
      <c r="EU75">
        <f t="shared" ref="EU75:FC75" si="97">EU60</f>
        <v>290</v>
      </c>
      <c r="EV75">
        <f t="shared" si="97"/>
        <v>315</v>
      </c>
      <c r="EW75">
        <f t="shared" si="97"/>
        <v>340</v>
      </c>
      <c r="EX75">
        <f t="shared" si="97"/>
        <v>365</v>
      </c>
      <c r="EY75">
        <f t="shared" si="97"/>
        <v>390</v>
      </c>
      <c r="EZ75">
        <f t="shared" si="97"/>
        <v>415</v>
      </c>
      <c r="FA75">
        <f t="shared" si="97"/>
        <v>440</v>
      </c>
      <c r="FB75">
        <f t="shared" si="97"/>
        <v>465</v>
      </c>
      <c r="FC75">
        <f t="shared" si="97"/>
        <v>490</v>
      </c>
      <c r="FG75" t="s">
        <v>14</v>
      </c>
      <c r="FH75">
        <f>FH71</f>
        <v>359.6</v>
      </c>
      <c r="FI75">
        <f t="shared" ref="FI75:FQ75" si="98">FI71</f>
        <v>456</v>
      </c>
      <c r="FJ75">
        <f t="shared" si="98"/>
        <v>664</v>
      </c>
      <c r="FK75">
        <f t="shared" si="98"/>
        <v>872</v>
      </c>
      <c r="FL75">
        <f t="shared" si="98"/>
        <v>1080</v>
      </c>
      <c r="FM75">
        <f t="shared" si="98"/>
        <v>1288</v>
      </c>
      <c r="FN75">
        <f t="shared" si="98"/>
        <v>1496</v>
      </c>
      <c r="FO75">
        <f t="shared" si="98"/>
        <v>1704</v>
      </c>
      <c r="FP75">
        <f t="shared" si="98"/>
        <v>1912</v>
      </c>
      <c r="FQ75">
        <f t="shared" si="98"/>
        <v>2120</v>
      </c>
      <c r="FU75" t="s">
        <v>14</v>
      </c>
      <c r="FV75">
        <f>FV71</f>
        <v>429.6</v>
      </c>
      <c r="FW75">
        <f t="shared" ref="FW75:GE75" si="99">FW71</f>
        <v>544</v>
      </c>
      <c r="FX75">
        <f t="shared" si="99"/>
        <v>792</v>
      </c>
      <c r="FY75">
        <f t="shared" si="99"/>
        <v>1040</v>
      </c>
      <c r="FZ75">
        <f t="shared" si="99"/>
        <v>1288</v>
      </c>
      <c r="GA75">
        <f t="shared" si="99"/>
        <v>1536</v>
      </c>
      <c r="GB75">
        <f t="shared" si="99"/>
        <v>1784</v>
      </c>
      <c r="GC75">
        <f t="shared" si="99"/>
        <v>2032</v>
      </c>
      <c r="GD75">
        <f t="shared" si="99"/>
        <v>2280</v>
      </c>
      <c r="GE75">
        <f t="shared" si="99"/>
        <v>2528</v>
      </c>
      <c r="GI75" t="s">
        <v>110</v>
      </c>
      <c r="GJ75">
        <f>GJ60</f>
        <v>630</v>
      </c>
      <c r="GK75">
        <f t="shared" ref="GK75:GS75" si="100">GK60</f>
        <v>530</v>
      </c>
      <c r="GL75">
        <f t="shared" si="100"/>
        <v>555</v>
      </c>
      <c r="GM75">
        <f t="shared" si="100"/>
        <v>580</v>
      </c>
      <c r="GN75">
        <f t="shared" si="100"/>
        <v>605</v>
      </c>
      <c r="GO75">
        <f t="shared" si="100"/>
        <v>630</v>
      </c>
      <c r="GP75">
        <f t="shared" si="100"/>
        <v>655</v>
      </c>
      <c r="GQ75">
        <f t="shared" si="100"/>
        <v>680</v>
      </c>
      <c r="GR75">
        <f t="shared" si="100"/>
        <v>705</v>
      </c>
      <c r="GS75">
        <f t="shared" si="100"/>
        <v>730</v>
      </c>
      <c r="GW75" t="s">
        <v>110</v>
      </c>
      <c r="GX75">
        <f>GX60</f>
        <v>780</v>
      </c>
      <c r="GY75">
        <f t="shared" ref="GY75:HG75" si="101">GY60</f>
        <v>650</v>
      </c>
      <c r="GZ75">
        <f t="shared" si="101"/>
        <v>675</v>
      </c>
      <c r="HA75">
        <f t="shared" si="101"/>
        <v>700</v>
      </c>
      <c r="HB75">
        <f t="shared" si="101"/>
        <v>725</v>
      </c>
      <c r="HC75">
        <f t="shared" si="101"/>
        <v>750</v>
      </c>
      <c r="HD75">
        <f t="shared" si="101"/>
        <v>775</v>
      </c>
      <c r="HE75">
        <f t="shared" si="101"/>
        <v>800</v>
      </c>
      <c r="HF75">
        <f t="shared" si="101"/>
        <v>825</v>
      </c>
      <c r="HG75">
        <f t="shared" si="101"/>
        <v>850</v>
      </c>
    </row>
    <row r="76" spans="7:215" x14ac:dyDescent="0.25">
      <c r="G76" t="s">
        <v>112</v>
      </c>
      <c r="H76">
        <f>H74/0.8</f>
        <v>9.625</v>
      </c>
      <c r="I76">
        <f t="shared" ref="I76:Q76" si="102">I74/0.8</f>
        <v>11.499999999999998</v>
      </c>
      <c r="J76">
        <f t="shared" si="102"/>
        <v>15.249999999999998</v>
      </c>
      <c r="K76">
        <f t="shared" si="102"/>
        <v>18.999999999999996</v>
      </c>
      <c r="L76">
        <f t="shared" si="102"/>
        <v>22.749999999999996</v>
      </c>
      <c r="M76">
        <f t="shared" si="102"/>
        <v>26.499999999999996</v>
      </c>
      <c r="N76">
        <f t="shared" si="102"/>
        <v>30.249999999999996</v>
      </c>
      <c r="O76">
        <f t="shared" si="102"/>
        <v>34</v>
      </c>
      <c r="P76">
        <f t="shared" si="102"/>
        <v>37.75</v>
      </c>
      <c r="Q76">
        <f t="shared" si="102"/>
        <v>41.5</v>
      </c>
      <c r="V76" t="s">
        <v>14</v>
      </c>
      <c r="W76">
        <f>W72</f>
        <v>12.2</v>
      </c>
      <c r="X76">
        <f t="shared" ref="X76:AF76" si="103">X72</f>
        <v>15.2</v>
      </c>
      <c r="Y76">
        <f t="shared" si="103"/>
        <v>21.2</v>
      </c>
      <c r="Z76">
        <f t="shared" si="103"/>
        <v>27.2</v>
      </c>
      <c r="AA76">
        <f t="shared" si="103"/>
        <v>31.466666666666672</v>
      </c>
      <c r="AB76">
        <f t="shared" si="103"/>
        <v>36.799999999999997</v>
      </c>
      <c r="AC76">
        <f t="shared" si="103"/>
        <v>41.4</v>
      </c>
      <c r="AD76">
        <f t="shared" si="103"/>
        <v>46.4</v>
      </c>
      <c r="AE76">
        <f t="shared" si="103"/>
        <v>51.2</v>
      </c>
      <c r="AF76">
        <f t="shared" si="103"/>
        <v>56</v>
      </c>
      <c r="AJ76" t="s">
        <v>14</v>
      </c>
      <c r="AK76">
        <f>AK72</f>
        <v>21.2</v>
      </c>
      <c r="AL76">
        <f t="shared" ref="AL76:AT76" si="104">AL72</f>
        <v>27.2</v>
      </c>
      <c r="AM76">
        <f t="shared" si="104"/>
        <v>36.799999999999997</v>
      </c>
      <c r="AN76">
        <f t="shared" si="104"/>
        <v>46.4</v>
      </c>
      <c r="AO76">
        <f t="shared" si="104"/>
        <v>56</v>
      </c>
      <c r="AP76">
        <f t="shared" si="104"/>
        <v>65.599999999999994</v>
      </c>
      <c r="AQ76">
        <f t="shared" si="104"/>
        <v>75.2</v>
      </c>
      <c r="AR76">
        <f t="shared" si="104"/>
        <v>84.8</v>
      </c>
      <c r="AS76">
        <f t="shared" si="104"/>
        <v>94.4</v>
      </c>
      <c r="AT76">
        <f t="shared" si="104"/>
        <v>104</v>
      </c>
      <c r="AY76" t="s">
        <v>14</v>
      </c>
      <c r="AZ76">
        <f>AZ72</f>
        <v>30.2</v>
      </c>
      <c r="BA76">
        <f t="shared" ref="BA76:BI76" si="105">BA72</f>
        <v>36.799999999999997</v>
      </c>
      <c r="BB76">
        <f t="shared" si="105"/>
        <v>51.2</v>
      </c>
      <c r="BC76">
        <f t="shared" si="105"/>
        <v>65.599999999999994</v>
      </c>
      <c r="BD76">
        <f t="shared" si="105"/>
        <v>80.3</v>
      </c>
      <c r="BE76">
        <f t="shared" si="105"/>
        <v>94.4</v>
      </c>
      <c r="BF76">
        <f t="shared" si="105"/>
        <v>109.23636363636365</v>
      </c>
      <c r="BG76">
        <f t="shared" si="105"/>
        <v>123.2</v>
      </c>
      <c r="BH76">
        <f t="shared" si="105"/>
        <v>138.11428571428573</v>
      </c>
      <c r="BI76">
        <f t="shared" si="105"/>
        <v>152</v>
      </c>
      <c r="BM76" t="s">
        <v>14</v>
      </c>
      <c r="BN76">
        <f>BN72</f>
        <v>44.8</v>
      </c>
      <c r="BO76">
        <f t="shared" ref="BO76:BW76" si="106">BO72</f>
        <v>56</v>
      </c>
      <c r="BP76">
        <f t="shared" si="106"/>
        <v>80.3</v>
      </c>
      <c r="BQ76">
        <f t="shared" si="106"/>
        <v>104</v>
      </c>
      <c r="BR76">
        <f t="shared" si="106"/>
        <v>128.49230769230769</v>
      </c>
      <c r="BS76">
        <f t="shared" si="106"/>
        <v>152</v>
      </c>
      <c r="BT76">
        <f t="shared" si="106"/>
        <v>176.57777777777778</v>
      </c>
      <c r="BU76">
        <f t="shared" si="106"/>
        <v>200</v>
      </c>
      <c r="BV76">
        <f t="shared" si="106"/>
        <v>224.62608695652176</v>
      </c>
      <c r="BW76">
        <f t="shared" si="106"/>
        <v>248</v>
      </c>
      <c r="CA76" t="s">
        <v>14</v>
      </c>
      <c r="CB76">
        <f>CB72</f>
        <v>62</v>
      </c>
      <c r="CC76">
        <f t="shared" ref="CC76:CK76" si="107">CC72</f>
        <v>80.3</v>
      </c>
      <c r="CD76">
        <f t="shared" si="107"/>
        <v>116.7</v>
      </c>
      <c r="CE76">
        <f t="shared" si="107"/>
        <v>152</v>
      </c>
      <c r="CF76">
        <f t="shared" si="107"/>
        <v>188.29473684210527</v>
      </c>
      <c r="CG76">
        <f t="shared" si="107"/>
        <v>224.62608695652176</v>
      </c>
      <c r="CH76">
        <f t="shared" si="107"/>
        <v>260.97777777777776</v>
      </c>
      <c r="CI76">
        <f t="shared" si="107"/>
        <v>296</v>
      </c>
      <c r="CJ76">
        <f t="shared" si="107"/>
        <v>332.34117647058827</v>
      </c>
      <c r="CK76">
        <f t="shared" si="107"/>
        <v>368.69473684210527</v>
      </c>
      <c r="CO76" t="s">
        <v>14</v>
      </c>
      <c r="CP76">
        <f>CP72</f>
        <v>79.599999999999994</v>
      </c>
      <c r="CQ76">
        <f t="shared" ref="CQ76:CY76" si="108">CQ72</f>
        <v>104</v>
      </c>
      <c r="CR76">
        <f t="shared" si="108"/>
        <v>152</v>
      </c>
      <c r="CS76">
        <f t="shared" si="108"/>
        <v>200</v>
      </c>
      <c r="CT76">
        <f t="shared" si="108"/>
        <v>248</v>
      </c>
      <c r="CU76">
        <f t="shared" si="108"/>
        <v>296</v>
      </c>
      <c r="CV76">
        <f t="shared" si="108"/>
        <v>344</v>
      </c>
      <c r="CW76">
        <f t="shared" si="108"/>
        <v>392</v>
      </c>
      <c r="CX76">
        <f t="shared" si="108"/>
        <v>440</v>
      </c>
      <c r="CY76">
        <f t="shared" si="108"/>
        <v>488</v>
      </c>
      <c r="DC76" t="s">
        <v>14</v>
      </c>
      <c r="DD76">
        <f>DD72</f>
        <v>114.6</v>
      </c>
      <c r="DE76">
        <f t="shared" ref="DE76:DM76" si="109">DE72</f>
        <v>148</v>
      </c>
      <c r="DF76">
        <f t="shared" si="109"/>
        <v>216</v>
      </c>
      <c r="DG76">
        <f t="shared" si="109"/>
        <v>284</v>
      </c>
      <c r="DH76">
        <f t="shared" si="109"/>
        <v>352</v>
      </c>
      <c r="DI76">
        <f t="shared" si="109"/>
        <v>420</v>
      </c>
      <c r="DJ76">
        <f t="shared" si="109"/>
        <v>488</v>
      </c>
      <c r="DK76">
        <f t="shared" si="109"/>
        <v>556</v>
      </c>
      <c r="DL76">
        <f t="shared" si="109"/>
        <v>624</v>
      </c>
      <c r="DM76">
        <f t="shared" si="109"/>
        <v>692</v>
      </c>
      <c r="DP76" t="s">
        <v>111</v>
      </c>
      <c r="DQ76">
        <f>(DQ75/8)*5</f>
        <v>93.5</v>
      </c>
      <c r="DR76">
        <f t="shared" ref="DR76:DZ76" si="110">(DR75/8)*5</f>
        <v>120</v>
      </c>
      <c r="DS76">
        <f t="shared" si="110"/>
        <v>175</v>
      </c>
      <c r="DT76">
        <f t="shared" si="110"/>
        <v>230</v>
      </c>
      <c r="DU76">
        <f t="shared" si="110"/>
        <v>285</v>
      </c>
      <c r="DV76">
        <f t="shared" si="110"/>
        <v>340</v>
      </c>
      <c r="DW76">
        <f t="shared" si="110"/>
        <v>395</v>
      </c>
      <c r="DX76">
        <f t="shared" si="110"/>
        <v>450</v>
      </c>
      <c r="DY76">
        <f t="shared" si="110"/>
        <v>505</v>
      </c>
      <c r="DZ76">
        <f t="shared" si="110"/>
        <v>560</v>
      </c>
      <c r="EE76" t="s">
        <v>14</v>
      </c>
      <c r="EF76">
        <f>EF72</f>
        <v>219.6</v>
      </c>
      <c r="EG76">
        <f t="shared" ref="EG76:EO76" si="111">EG72</f>
        <v>280</v>
      </c>
      <c r="EH76">
        <f t="shared" si="111"/>
        <v>408</v>
      </c>
      <c r="EI76">
        <f t="shared" si="111"/>
        <v>536</v>
      </c>
      <c r="EJ76">
        <f t="shared" si="111"/>
        <v>664</v>
      </c>
      <c r="EK76">
        <f t="shared" si="111"/>
        <v>792</v>
      </c>
      <c r="EL76">
        <f t="shared" si="111"/>
        <v>920</v>
      </c>
      <c r="EM76">
        <f t="shared" si="111"/>
        <v>1048</v>
      </c>
      <c r="EN76">
        <f t="shared" si="111"/>
        <v>1176</v>
      </c>
      <c r="EO76">
        <f t="shared" si="111"/>
        <v>1304</v>
      </c>
      <c r="ES76" t="s">
        <v>14</v>
      </c>
      <c r="ET76">
        <f>ET72</f>
        <v>289.60000000000002</v>
      </c>
      <c r="EU76">
        <f t="shared" ref="EU76:FC76" si="112">EU72</f>
        <v>368</v>
      </c>
      <c r="EV76">
        <f t="shared" si="112"/>
        <v>536</v>
      </c>
      <c r="EW76">
        <f t="shared" si="112"/>
        <v>704</v>
      </c>
      <c r="EX76">
        <f t="shared" si="112"/>
        <v>872</v>
      </c>
      <c r="EY76">
        <f t="shared" si="112"/>
        <v>1040</v>
      </c>
      <c r="EZ76">
        <f t="shared" si="112"/>
        <v>1208</v>
      </c>
      <c r="FA76">
        <f t="shared" si="112"/>
        <v>1376</v>
      </c>
      <c r="FB76">
        <f t="shared" si="112"/>
        <v>1544</v>
      </c>
      <c r="FC76">
        <f t="shared" si="112"/>
        <v>1712</v>
      </c>
      <c r="FG76" t="s">
        <v>111</v>
      </c>
      <c r="FH76">
        <f>(FH75/8)*5</f>
        <v>224.75</v>
      </c>
      <c r="FI76">
        <f t="shared" ref="FI76:FQ76" si="113">(FI75/8)*5</f>
        <v>285</v>
      </c>
      <c r="FJ76">
        <f t="shared" si="113"/>
        <v>415</v>
      </c>
      <c r="FK76">
        <f t="shared" si="113"/>
        <v>545</v>
      </c>
      <c r="FL76">
        <f t="shared" si="113"/>
        <v>675</v>
      </c>
      <c r="FM76">
        <f t="shared" si="113"/>
        <v>805</v>
      </c>
      <c r="FN76">
        <f t="shared" si="113"/>
        <v>935</v>
      </c>
      <c r="FO76">
        <f t="shared" si="113"/>
        <v>1065</v>
      </c>
      <c r="FP76">
        <f t="shared" si="113"/>
        <v>1195</v>
      </c>
      <c r="FQ76">
        <f t="shared" si="113"/>
        <v>1325</v>
      </c>
      <c r="FU76" t="s">
        <v>111</v>
      </c>
      <c r="FV76">
        <f>(FV75/8)*5</f>
        <v>268.5</v>
      </c>
      <c r="FW76">
        <f t="shared" ref="FW76:GE76" si="114">(FW75/8)*5</f>
        <v>340</v>
      </c>
      <c r="FX76">
        <f t="shared" si="114"/>
        <v>495</v>
      </c>
      <c r="FY76">
        <f t="shared" si="114"/>
        <v>650</v>
      </c>
      <c r="FZ76">
        <f t="shared" si="114"/>
        <v>805</v>
      </c>
      <c r="GA76">
        <f t="shared" si="114"/>
        <v>960</v>
      </c>
      <c r="GB76">
        <f t="shared" si="114"/>
        <v>1115</v>
      </c>
      <c r="GC76">
        <f t="shared" si="114"/>
        <v>1270</v>
      </c>
      <c r="GD76">
        <f t="shared" si="114"/>
        <v>1425</v>
      </c>
      <c r="GE76">
        <f t="shared" si="114"/>
        <v>1580</v>
      </c>
      <c r="GI76" t="s">
        <v>14</v>
      </c>
      <c r="GJ76">
        <f>GJ72</f>
        <v>569.6</v>
      </c>
      <c r="GK76">
        <f t="shared" ref="GK76:GS76" si="115">GK72</f>
        <v>720</v>
      </c>
      <c r="GL76">
        <f t="shared" si="115"/>
        <v>1048</v>
      </c>
      <c r="GM76">
        <f t="shared" si="115"/>
        <v>1376</v>
      </c>
      <c r="GN76">
        <f t="shared" si="115"/>
        <v>1704</v>
      </c>
      <c r="GO76">
        <f t="shared" si="115"/>
        <v>2032</v>
      </c>
      <c r="GP76">
        <f t="shared" si="115"/>
        <v>2360</v>
      </c>
      <c r="GQ76">
        <f t="shared" si="115"/>
        <v>2688</v>
      </c>
      <c r="GR76">
        <f t="shared" si="115"/>
        <v>3016</v>
      </c>
      <c r="GS76">
        <f t="shared" si="115"/>
        <v>3344</v>
      </c>
      <c r="GW76" t="s">
        <v>14</v>
      </c>
      <c r="GX76">
        <f>GX72</f>
        <v>709.6</v>
      </c>
      <c r="GY76">
        <f t="shared" ref="GY76:HG76" si="116">GY72</f>
        <v>896</v>
      </c>
      <c r="GZ76">
        <f t="shared" si="116"/>
        <v>1304</v>
      </c>
      <c r="HA76">
        <f t="shared" si="116"/>
        <v>1712</v>
      </c>
      <c r="HB76">
        <f t="shared" si="116"/>
        <v>2120</v>
      </c>
      <c r="HC76">
        <f t="shared" si="116"/>
        <v>2528</v>
      </c>
      <c r="HD76">
        <f t="shared" si="116"/>
        <v>2936</v>
      </c>
      <c r="HE76">
        <f t="shared" si="116"/>
        <v>3344</v>
      </c>
      <c r="HF76">
        <f t="shared" si="116"/>
        <v>3752</v>
      </c>
      <c r="HG76">
        <f t="shared" si="116"/>
        <v>4160</v>
      </c>
    </row>
    <row r="77" spans="7:215" x14ac:dyDescent="0.25">
      <c r="G77" s="10" t="s">
        <v>206</v>
      </c>
      <c r="V77" t="s">
        <v>111</v>
      </c>
      <c r="W77">
        <f>(W76/8)*5</f>
        <v>7.625</v>
      </c>
      <c r="X77">
        <f t="shared" ref="X77:AF77" si="117">(X76/8)*5</f>
        <v>9.5</v>
      </c>
      <c r="Y77">
        <f t="shared" si="117"/>
        <v>13.25</v>
      </c>
      <c r="Z77">
        <f t="shared" si="117"/>
        <v>17</v>
      </c>
      <c r="AA77">
        <f t="shared" si="117"/>
        <v>19.666666666666671</v>
      </c>
      <c r="AB77">
        <f t="shared" si="117"/>
        <v>23</v>
      </c>
      <c r="AC77">
        <f t="shared" si="117"/>
        <v>25.875</v>
      </c>
      <c r="AD77">
        <f t="shared" si="117"/>
        <v>29</v>
      </c>
      <c r="AE77">
        <f t="shared" si="117"/>
        <v>32</v>
      </c>
      <c r="AF77">
        <f t="shared" si="117"/>
        <v>35</v>
      </c>
      <c r="AJ77" t="s">
        <v>111</v>
      </c>
      <c r="AK77">
        <f>(AK76/8)*5</f>
        <v>13.25</v>
      </c>
      <c r="AL77">
        <f t="shared" ref="AL77:AT77" si="118">(AL76/8)*5</f>
        <v>17</v>
      </c>
      <c r="AM77">
        <f t="shared" si="118"/>
        <v>23</v>
      </c>
      <c r="AN77">
        <f t="shared" si="118"/>
        <v>29</v>
      </c>
      <c r="AO77">
        <f t="shared" si="118"/>
        <v>35</v>
      </c>
      <c r="AP77">
        <f t="shared" si="118"/>
        <v>41</v>
      </c>
      <c r="AQ77">
        <f t="shared" si="118"/>
        <v>47</v>
      </c>
      <c r="AR77">
        <f t="shared" si="118"/>
        <v>53</v>
      </c>
      <c r="AS77">
        <f t="shared" si="118"/>
        <v>59</v>
      </c>
      <c r="AT77">
        <f t="shared" si="118"/>
        <v>65</v>
      </c>
      <c r="AY77" t="s">
        <v>111</v>
      </c>
      <c r="AZ77">
        <f>(AZ76/8)*5</f>
        <v>18.875</v>
      </c>
      <c r="BA77">
        <f t="shared" ref="BA77:BI77" si="119">(BA76/8)*5</f>
        <v>23</v>
      </c>
      <c r="BB77">
        <f t="shared" si="119"/>
        <v>32</v>
      </c>
      <c r="BC77">
        <f t="shared" si="119"/>
        <v>41</v>
      </c>
      <c r="BD77">
        <f t="shared" si="119"/>
        <v>50.1875</v>
      </c>
      <c r="BE77">
        <f t="shared" si="119"/>
        <v>59</v>
      </c>
      <c r="BF77">
        <f t="shared" si="119"/>
        <v>68.27272727272728</v>
      </c>
      <c r="BG77">
        <f t="shared" si="119"/>
        <v>77</v>
      </c>
      <c r="BH77">
        <f t="shared" si="119"/>
        <v>86.321428571428584</v>
      </c>
      <c r="BI77">
        <f t="shared" si="119"/>
        <v>95</v>
      </c>
      <c r="BM77" t="s">
        <v>111</v>
      </c>
      <c r="BN77">
        <f>(BN76/8)*5</f>
        <v>28</v>
      </c>
      <c r="BO77">
        <f t="shared" ref="BO77:BW77" si="120">(BO76/8)*5</f>
        <v>35</v>
      </c>
      <c r="BP77">
        <f t="shared" si="120"/>
        <v>50.1875</v>
      </c>
      <c r="BQ77">
        <f t="shared" si="120"/>
        <v>65</v>
      </c>
      <c r="BR77">
        <f t="shared" si="120"/>
        <v>80.307692307692307</v>
      </c>
      <c r="BS77">
        <f t="shared" si="120"/>
        <v>95</v>
      </c>
      <c r="BT77">
        <f t="shared" si="120"/>
        <v>110.36111111111111</v>
      </c>
      <c r="BU77">
        <f t="shared" si="120"/>
        <v>125</v>
      </c>
      <c r="BV77">
        <f t="shared" si="120"/>
        <v>140.39130434782609</v>
      </c>
      <c r="BW77">
        <f t="shared" si="120"/>
        <v>155</v>
      </c>
      <c r="CA77" t="s">
        <v>111</v>
      </c>
      <c r="CB77">
        <f>(CB76/8)*5</f>
        <v>38.75</v>
      </c>
      <c r="CC77">
        <f t="shared" ref="CC77:CK77" si="121">(CC76/8)*5</f>
        <v>50.1875</v>
      </c>
      <c r="CD77">
        <f t="shared" si="121"/>
        <v>72.9375</v>
      </c>
      <c r="CE77">
        <f t="shared" si="121"/>
        <v>95</v>
      </c>
      <c r="CF77">
        <f t="shared" si="121"/>
        <v>117.68421052631579</v>
      </c>
      <c r="CG77">
        <f t="shared" si="121"/>
        <v>140.39130434782609</v>
      </c>
      <c r="CH77">
        <f t="shared" si="121"/>
        <v>163.11111111111109</v>
      </c>
      <c r="CI77">
        <f t="shared" si="121"/>
        <v>185</v>
      </c>
      <c r="CJ77">
        <f t="shared" si="121"/>
        <v>207.71323529411768</v>
      </c>
      <c r="CK77">
        <f t="shared" si="121"/>
        <v>230.43421052631578</v>
      </c>
      <c r="CO77" t="s">
        <v>111</v>
      </c>
      <c r="CP77">
        <f>(CP76/8)*5</f>
        <v>49.75</v>
      </c>
      <c r="CQ77">
        <f t="shared" ref="CQ77:CY77" si="122">(CQ76/8)*5</f>
        <v>65</v>
      </c>
      <c r="CR77">
        <f t="shared" si="122"/>
        <v>95</v>
      </c>
      <c r="CS77">
        <f t="shared" si="122"/>
        <v>125</v>
      </c>
      <c r="CT77">
        <f t="shared" si="122"/>
        <v>155</v>
      </c>
      <c r="CU77">
        <f t="shared" si="122"/>
        <v>185</v>
      </c>
      <c r="CV77">
        <f t="shared" si="122"/>
        <v>215</v>
      </c>
      <c r="CW77">
        <f t="shared" si="122"/>
        <v>245</v>
      </c>
      <c r="CX77">
        <f t="shared" si="122"/>
        <v>275</v>
      </c>
      <c r="CY77">
        <f t="shared" si="122"/>
        <v>305</v>
      </c>
      <c r="DC77" t="s">
        <v>111</v>
      </c>
      <c r="DD77">
        <f>(DD76/8)*5</f>
        <v>71.625</v>
      </c>
      <c r="DE77">
        <f t="shared" ref="DE77:DM77" si="123">(DE76/8)*5</f>
        <v>92.5</v>
      </c>
      <c r="DF77">
        <f t="shared" si="123"/>
        <v>135</v>
      </c>
      <c r="DG77">
        <f t="shared" si="123"/>
        <v>177.5</v>
      </c>
      <c r="DH77">
        <f t="shared" si="123"/>
        <v>220</v>
      </c>
      <c r="DI77">
        <f t="shared" si="123"/>
        <v>262.5</v>
      </c>
      <c r="DJ77">
        <f t="shared" si="123"/>
        <v>305</v>
      </c>
      <c r="DK77">
        <f t="shared" si="123"/>
        <v>347.5</v>
      </c>
      <c r="DL77">
        <f t="shared" si="123"/>
        <v>390</v>
      </c>
      <c r="DM77">
        <f t="shared" si="123"/>
        <v>432.5</v>
      </c>
      <c r="DP77" t="s">
        <v>112</v>
      </c>
      <c r="DQ77">
        <f>DQ75/0.8</f>
        <v>186.99999999999997</v>
      </c>
      <c r="DR77">
        <f t="shared" ref="DR77:DZ77" si="124">DR75/0.8</f>
        <v>240</v>
      </c>
      <c r="DS77">
        <f t="shared" si="124"/>
        <v>350</v>
      </c>
      <c r="DT77">
        <f t="shared" si="124"/>
        <v>460</v>
      </c>
      <c r="DU77">
        <f t="shared" si="124"/>
        <v>570</v>
      </c>
      <c r="DV77">
        <f t="shared" si="124"/>
        <v>680</v>
      </c>
      <c r="DW77">
        <f t="shared" si="124"/>
        <v>790</v>
      </c>
      <c r="DX77">
        <f t="shared" si="124"/>
        <v>900</v>
      </c>
      <c r="DY77">
        <f t="shared" si="124"/>
        <v>1010</v>
      </c>
      <c r="DZ77">
        <f t="shared" si="124"/>
        <v>1120</v>
      </c>
      <c r="EE77" t="s">
        <v>111</v>
      </c>
      <c r="EF77">
        <f>(EF76/8)*5</f>
        <v>137.25</v>
      </c>
      <c r="EG77">
        <f t="shared" ref="EG77:EO77" si="125">(EG76/8)*5</f>
        <v>175</v>
      </c>
      <c r="EH77">
        <f t="shared" si="125"/>
        <v>255</v>
      </c>
      <c r="EI77">
        <f t="shared" si="125"/>
        <v>335</v>
      </c>
      <c r="EJ77">
        <f t="shared" si="125"/>
        <v>415</v>
      </c>
      <c r="EK77">
        <f t="shared" si="125"/>
        <v>495</v>
      </c>
      <c r="EL77">
        <f t="shared" si="125"/>
        <v>575</v>
      </c>
      <c r="EM77">
        <f t="shared" si="125"/>
        <v>655</v>
      </c>
      <c r="EN77">
        <f t="shared" si="125"/>
        <v>735</v>
      </c>
      <c r="EO77">
        <f t="shared" si="125"/>
        <v>815</v>
      </c>
      <c r="ES77" t="s">
        <v>111</v>
      </c>
      <c r="ET77">
        <f>(ET76/8)*5</f>
        <v>181</v>
      </c>
      <c r="EU77">
        <f t="shared" ref="EU77:FC77" si="126">(EU76/8)*5</f>
        <v>230</v>
      </c>
      <c r="EV77">
        <f t="shared" si="126"/>
        <v>335</v>
      </c>
      <c r="EW77">
        <f t="shared" si="126"/>
        <v>440</v>
      </c>
      <c r="EX77">
        <f t="shared" si="126"/>
        <v>545</v>
      </c>
      <c r="EY77">
        <f t="shared" si="126"/>
        <v>650</v>
      </c>
      <c r="EZ77">
        <f t="shared" si="126"/>
        <v>755</v>
      </c>
      <c r="FA77">
        <f t="shared" si="126"/>
        <v>860</v>
      </c>
      <c r="FB77">
        <f t="shared" si="126"/>
        <v>965</v>
      </c>
      <c r="FC77">
        <f t="shared" si="126"/>
        <v>1070</v>
      </c>
      <c r="FG77" t="s">
        <v>112</v>
      </c>
      <c r="FH77">
        <f>FH75/0.8</f>
        <v>449.5</v>
      </c>
      <c r="FI77">
        <f t="shared" ref="FI77:FQ77" si="127">FI75/0.8</f>
        <v>570</v>
      </c>
      <c r="FJ77">
        <f t="shared" si="127"/>
        <v>830</v>
      </c>
      <c r="FK77">
        <f t="shared" si="127"/>
        <v>1090</v>
      </c>
      <c r="FL77">
        <f t="shared" si="127"/>
        <v>1350</v>
      </c>
      <c r="FM77">
        <f t="shared" si="127"/>
        <v>1610</v>
      </c>
      <c r="FN77">
        <f t="shared" si="127"/>
        <v>1870</v>
      </c>
      <c r="FO77">
        <f t="shared" si="127"/>
        <v>2130</v>
      </c>
      <c r="FP77">
        <f t="shared" si="127"/>
        <v>2390</v>
      </c>
      <c r="FQ77">
        <f t="shared" si="127"/>
        <v>2650</v>
      </c>
      <c r="FU77" t="s">
        <v>112</v>
      </c>
      <c r="FV77">
        <f>FV75/0.8</f>
        <v>537</v>
      </c>
      <c r="FW77">
        <f t="shared" ref="FW77:GE77" si="128">FW75/0.8</f>
        <v>680</v>
      </c>
      <c r="FX77">
        <f t="shared" si="128"/>
        <v>990</v>
      </c>
      <c r="FY77">
        <f t="shared" si="128"/>
        <v>1300</v>
      </c>
      <c r="FZ77">
        <f t="shared" si="128"/>
        <v>1610</v>
      </c>
      <c r="GA77">
        <f t="shared" si="128"/>
        <v>1920</v>
      </c>
      <c r="GB77">
        <f t="shared" si="128"/>
        <v>2230</v>
      </c>
      <c r="GC77">
        <f t="shared" si="128"/>
        <v>2540</v>
      </c>
      <c r="GD77">
        <f t="shared" si="128"/>
        <v>2850</v>
      </c>
      <c r="GE77">
        <f t="shared" si="128"/>
        <v>3160</v>
      </c>
      <c r="GI77" t="s">
        <v>111</v>
      </c>
      <c r="GJ77">
        <f>(GJ76/8)*5</f>
        <v>356</v>
      </c>
      <c r="GK77">
        <f t="shared" ref="GK77:GS77" si="129">(GK76/8)*5</f>
        <v>450</v>
      </c>
      <c r="GL77">
        <f t="shared" si="129"/>
        <v>655</v>
      </c>
      <c r="GM77">
        <f t="shared" si="129"/>
        <v>860</v>
      </c>
      <c r="GN77">
        <f t="shared" si="129"/>
        <v>1065</v>
      </c>
      <c r="GO77">
        <f t="shared" si="129"/>
        <v>1270</v>
      </c>
      <c r="GP77">
        <f t="shared" si="129"/>
        <v>1475</v>
      </c>
      <c r="GQ77">
        <f t="shared" si="129"/>
        <v>1680</v>
      </c>
      <c r="GR77">
        <f t="shared" si="129"/>
        <v>1885</v>
      </c>
      <c r="GS77">
        <f t="shared" si="129"/>
        <v>2090</v>
      </c>
      <c r="GW77" t="s">
        <v>111</v>
      </c>
      <c r="GX77">
        <f>(GX76/8)*5</f>
        <v>443.5</v>
      </c>
      <c r="GY77">
        <f t="shared" ref="GY77:HG77" si="130">(GY76/8)*5</f>
        <v>560</v>
      </c>
      <c r="GZ77">
        <f t="shared" si="130"/>
        <v>815</v>
      </c>
      <c r="HA77">
        <f t="shared" si="130"/>
        <v>1070</v>
      </c>
      <c r="HB77">
        <f t="shared" si="130"/>
        <v>1325</v>
      </c>
      <c r="HC77">
        <f t="shared" si="130"/>
        <v>1580</v>
      </c>
      <c r="HD77">
        <f t="shared" si="130"/>
        <v>1835</v>
      </c>
      <c r="HE77">
        <f t="shared" si="130"/>
        <v>2090</v>
      </c>
      <c r="HF77">
        <f t="shared" si="130"/>
        <v>2345</v>
      </c>
      <c r="HG77">
        <f t="shared" si="130"/>
        <v>2600</v>
      </c>
    </row>
    <row r="78" spans="7:215" x14ac:dyDescent="0.25">
      <c r="G78" t="s">
        <v>110</v>
      </c>
      <c r="H78">
        <f>163.5/50</f>
        <v>3.27</v>
      </c>
      <c r="I78">
        <f>163.5/50</f>
        <v>3.27</v>
      </c>
      <c r="J78">
        <f t="shared" ref="J78:Q78" si="131">163.5/50</f>
        <v>3.27</v>
      </c>
      <c r="K78">
        <f t="shared" si="131"/>
        <v>3.27</v>
      </c>
      <c r="L78">
        <f t="shared" si="131"/>
        <v>3.27</v>
      </c>
      <c r="M78">
        <f t="shared" si="131"/>
        <v>3.27</v>
      </c>
      <c r="N78">
        <f t="shared" si="131"/>
        <v>3.27</v>
      </c>
      <c r="O78">
        <f t="shared" si="131"/>
        <v>3.27</v>
      </c>
      <c r="P78">
        <f t="shared" si="131"/>
        <v>3.27</v>
      </c>
      <c r="Q78">
        <f t="shared" si="131"/>
        <v>3.27</v>
      </c>
      <c r="V78" t="s">
        <v>112</v>
      </c>
      <c r="W78">
        <f>W76/0.8</f>
        <v>15.249999999999998</v>
      </c>
      <c r="X78">
        <f t="shared" ref="X78:AF78" si="132">X76/0.8</f>
        <v>18.999999999999996</v>
      </c>
      <c r="Y78">
        <f t="shared" si="132"/>
        <v>26.499999999999996</v>
      </c>
      <c r="Z78">
        <f t="shared" si="132"/>
        <v>34</v>
      </c>
      <c r="AA78">
        <f t="shared" si="132"/>
        <v>39.333333333333336</v>
      </c>
      <c r="AB78">
        <f t="shared" si="132"/>
        <v>45.999999999999993</v>
      </c>
      <c r="AC78">
        <f t="shared" si="132"/>
        <v>51.749999999999993</v>
      </c>
      <c r="AD78">
        <f t="shared" si="132"/>
        <v>57.999999999999993</v>
      </c>
      <c r="AE78">
        <f t="shared" si="132"/>
        <v>64</v>
      </c>
      <c r="AF78">
        <f t="shared" si="132"/>
        <v>70</v>
      </c>
      <c r="AJ78" t="s">
        <v>112</v>
      </c>
      <c r="AK78">
        <f>AK76/0.8</f>
        <v>26.499999999999996</v>
      </c>
      <c r="AL78">
        <f t="shared" ref="AL78:AT78" si="133">AL76/0.8</f>
        <v>34</v>
      </c>
      <c r="AM78">
        <f t="shared" si="133"/>
        <v>45.999999999999993</v>
      </c>
      <c r="AN78">
        <f t="shared" si="133"/>
        <v>57.999999999999993</v>
      </c>
      <c r="AO78">
        <f t="shared" si="133"/>
        <v>70</v>
      </c>
      <c r="AP78">
        <f t="shared" si="133"/>
        <v>81.999999999999986</v>
      </c>
      <c r="AQ78">
        <f t="shared" si="133"/>
        <v>94</v>
      </c>
      <c r="AR78">
        <f t="shared" si="133"/>
        <v>105.99999999999999</v>
      </c>
      <c r="AS78">
        <f t="shared" si="133"/>
        <v>118</v>
      </c>
      <c r="AT78">
        <f t="shared" si="133"/>
        <v>130</v>
      </c>
      <c r="AY78" t="s">
        <v>112</v>
      </c>
      <c r="AZ78">
        <f>AZ76/0.8</f>
        <v>37.75</v>
      </c>
      <c r="BA78">
        <f t="shared" ref="BA78:BI78" si="134">BA76/0.8</f>
        <v>45.999999999999993</v>
      </c>
      <c r="BB78">
        <f t="shared" si="134"/>
        <v>64</v>
      </c>
      <c r="BC78">
        <f t="shared" si="134"/>
        <v>81.999999999999986</v>
      </c>
      <c r="BD78">
        <f t="shared" si="134"/>
        <v>100.37499999999999</v>
      </c>
      <c r="BE78">
        <f t="shared" si="134"/>
        <v>118</v>
      </c>
      <c r="BF78">
        <f t="shared" si="134"/>
        <v>136.54545454545456</v>
      </c>
      <c r="BG78">
        <f t="shared" si="134"/>
        <v>154</v>
      </c>
      <c r="BH78">
        <f t="shared" si="134"/>
        <v>172.64285714285714</v>
      </c>
      <c r="BI78">
        <f t="shared" si="134"/>
        <v>190</v>
      </c>
      <c r="BM78" t="s">
        <v>112</v>
      </c>
      <c r="BN78">
        <f>BN76/0.8</f>
        <v>55.999999999999993</v>
      </c>
      <c r="BO78">
        <f t="shared" ref="BO78:BW78" si="135">BO76/0.8</f>
        <v>70</v>
      </c>
      <c r="BP78">
        <f t="shared" si="135"/>
        <v>100.37499999999999</v>
      </c>
      <c r="BQ78">
        <f t="shared" si="135"/>
        <v>130</v>
      </c>
      <c r="BR78">
        <f t="shared" si="135"/>
        <v>160.61538461538461</v>
      </c>
      <c r="BS78">
        <f t="shared" si="135"/>
        <v>190</v>
      </c>
      <c r="BT78">
        <f t="shared" si="135"/>
        <v>220.72222222222223</v>
      </c>
      <c r="BU78">
        <f t="shared" si="135"/>
        <v>250</v>
      </c>
      <c r="BV78">
        <f t="shared" si="135"/>
        <v>280.78260869565219</v>
      </c>
      <c r="BW78">
        <f t="shared" si="135"/>
        <v>310</v>
      </c>
      <c r="CA78" t="s">
        <v>112</v>
      </c>
      <c r="CB78">
        <f>CB76/0.8</f>
        <v>77.5</v>
      </c>
      <c r="CC78">
        <f t="shared" ref="CC78:CK78" si="136">CC76/0.8</f>
        <v>100.37499999999999</v>
      </c>
      <c r="CD78">
        <f t="shared" si="136"/>
        <v>145.875</v>
      </c>
      <c r="CE78">
        <f t="shared" si="136"/>
        <v>190</v>
      </c>
      <c r="CF78">
        <f t="shared" si="136"/>
        <v>235.36842105263156</v>
      </c>
      <c r="CG78">
        <f t="shared" si="136"/>
        <v>280.78260869565219</v>
      </c>
      <c r="CH78">
        <f t="shared" si="136"/>
        <v>326.22222222222217</v>
      </c>
      <c r="CI78">
        <f t="shared" si="136"/>
        <v>370</v>
      </c>
      <c r="CJ78">
        <f t="shared" si="136"/>
        <v>415.4264705882353</v>
      </c>
      <c r="CK78">
        <f t="shared" si="136"/>
        <v>460.86842105263156</v>
      </c>
      <c r="CO78" t="s">
        <v>112</v>
      </c>
      <c r="CP78">
        <f>CP76/0.8</f>
        <v>99.499999999999986</v>
      </c>
      <c r="CQ78">
        <f t="shared" ref="CQ78:CY78" si="137">CQ76/0.8</f>
        <v>130</v>
      </c>
      <c r="CR78">
        <f t="shared" si="137"/>
        <v>190</v>
      </c>
      <c r="CS78">
        <f t="shared" si="137"/>
        <v>250</v>
      </c>
      <c r="CT78">
        <f t="shared" si="137"/>
        <v>310</v>
      </c>
      <c r="CU78">
        <f t="shared" si="137"/>
        <v>370</v>
      </c>
      <c r="CV78">
        <f t="shared" si="137"/>
        <v>430</v>
      </c>
      <c r="CW78">
        <f t="shared" si="137"/>
        <v>490</v>
      </c>
      <c r="CX78">
        <f t="shared" si="137"/>
        <v>550</v>
      </c>
      <c r="CY78">
        <f t="shared" si="137"/>
        <v>610</v>
      </c>
      <c r="DC78" t="s">
        <v>112</v>
      </c>
      <c r="DD78">
        <f>DD76/0.8</f>
        <v>143.24999999999997</v>
      </c>
      <c r="DE78">
        <f t="shared" ref="DE78:DM78" si="138">DE76/0.8</f>
        <v>185</v>
      </c>
      <c r="DF78">
        <f t="shared" si="138"/>
        <v>270</v>
      </c>
      <c r="DG78">
        <f t="shared" si="138"/>
        <v>355</v>
      </c>
      <c r="DH78">
        <f t="shared" si="138"/>
        <v>440</v>
      </c>
      <c r="DI78">
        <f t="shared" si="138"/>
        <v>525</v>
      </c>
      <c r="DJ78">
        <f t="shared" si="138"/>
        <v>610</v>
      </c>
      <c r="DK78">
        <f t="shared" si="138"/>
        <v>695</v>
      </c>
      <c r="DL78">
        <f t="shared" si="138"/>
        <v>780</v>
      </c>
      <c r="DM78">
        <f t="shared" si="138"/>
        <v>865</v>
      </c>
      <c r="DP78" s="10" t="s">
        <v>206</v>
      </c>
      <c r="EE78" t="s">
        <v>112</v>
      </c>
      <c r="EF78">
        <f>EF76/0.8</f>
        <v>274.5</v>
      </c>
      <c r="EG78">
        <f t="shared" ref="EG78:EO78" si="139">EG76/0.8</f>
        <v>350</v>
      </c>
      <c r="EH78">
        <f t="shared" si="139"/>
        <v>510</v>
      </c>
      <c r="EI78">
        <f t="shared" si="139"/>
        <v>670</v>
      </c>
      <c r="EJ78">
        <f t="shared" si="139"/>
        <v>830</v>
      </c>
      <c r="EK78">
        <f t="shared" si="139"/>
        <v>990</v>
      </c>
      <c r="EL78">
        <f t="shared" si="139"/>
        <v>1150</v>
      </c>
      <c r="EM78">
        <f t="shared" si="139"/>
        <v>1310</v>
      </c>
      <c r="EN78">
        <f t="shared" si="139"/>
        <v>1470</v>
      </c>
      <c r="EO78">
        <f t="shared" si="139"/>
        <v>1630</v>
      </c>
      <c r="ES78" t="s">
        <v>112</v>
      </c>
      <c r="ET78">
        <f>ET76/0.8</f>
        <v>362</v>
      </c>
      <c r="EU78">
        <f t="shared" ref="EU78:FC78" si="140">EU76/0.8</f>
        <v>460</v>
      </c>
      <c r="EV78">
        <f t="shared" si="140"/>
        <v>670</v>
      </c>
      <c r="EW78">
        <f t="shared" si="140"/>
        <v>880</v>
      </c>
      <c r="EX78">
        <f t="shared" si="140"/>
        <v>1090</v>
      </c>
      <c r="EY78">
        <f t="shared" si="140"/>
        <v>1300</v>
      </c>
      <c r="EZ78">
        <f t="shared" si="140"/>
        <v>1510</v>
      </c>
      <c r="FA78">
        <f t="shared" si="140"/>
        <v>1720</v>
      </c>
      <c r="FB78">
        <f t="shared" si="140"/>
        <v>1930</v>
      </c>
      <c r="FC78">
        <f t="shared" si="140"/>
        <v>2140</v>
      </c>
      <c r="FG78" s="10" t="s">
        <v>206</v>
      </c>
      <c r="FU78" s="10" t="s">
        <v>206</v>
      </c>
      <c r="GI78" t="s">
        <v>112</v>
      </c>
      <c r="GJ78">
        <f>GJ76/0.8</f>
        <v>712</v>
      </c>
      <c r="GK78">
        <f t="shared" ref="GK78:GS78" si="141">GK76/0.8</f>
        <v>900</v>
      </c>
      <c r="GL78">
        <f t="shared" si="141"/>
        <v>1310</v>
      </c>
      <c r="GM78">
        <f t="shared" si="141"/>
        <v>1720</v>
      </c>
      <c r="GN78">
        <f t="shared" si="141"/>
        <v>2130</v>
      </c>
      <c r="GO78">
        <f t="shared" si="141"/>
        <v>2540</v>
      </c>
      <c r="GP78">
        <f t="shared" si="141"/>
        <v>2950</v>
      </c>
      <c r="GQ78">
        <f t="shared" si="141"/>
        <v>3360</v>
      </c>
      <c r="GR78">
        <f t="shared" si="141"/>
        <v>3770</v>
      </c>
      <c r="GS78">
        <f t="shared" si="141"/>
        <v>4180</v>
      </c>
      <c r="GW78" t="s">
        <v>112</v>
      </c>
      <c r="GX78">
        <f>GX76/0.8</f>
        <v>887</v>
      </c>
      <c r="GY78">
        <f t="shared" ref="GY78:HG78" si="142">GY76/0.8</f>
        <v>1120</v>
      </c>
      <c r="GZ78">
        <f t="shared" si="142"/>
        <v>1630</v>
      </c>
      <c r="HA78">
        <f t="shared" si="142"/>
        <v>2140</v>
      </c>
      <c r="HB78">
        <f t="shared" si="142"/>
        <v>2650</v>
      </c>
      <c r="HC78">
        <f t="shared" si="142"/>
        <v>3160</v>
      </c>
      <c r="HD78">
        <f t="shared" si="142"/>
        <v>3670</v>
      </c>
      <c r="HE78">
        <f t="shared" si="142"/>
        <v>4180</v>
      </c>
      <c r="HF78">
        <f t="shared" si="142"/>
        <v>4690</v>
      </c>
      <c r="HG78">
        <f t="shared" si="142"/>
        <v>5200</v>
      </c>
    </row>
    <row r="79" spans="7:215" x14ac:dyDescent="0.25">
      <c r="G79" t="s">
        <v>14</v>
      </c>
      <c r="H79">
        <f>Index!$C$69</f>
        <v>11.9580460758</v>
      </c>
      <c r="I79">
        <f>Index!$C$69</f>
        <v>11.9580460758</v>
      </c>
      <c r="J79">
        <f>Index!$C$69</f>
        <v>11.9580460758</v>
      </c>
      <c r="K79">
        <f>Index!$C$69</f>
        <v>11.9580460758</v>
      </c>
      <c r="L79">
        <f>Index!$C$69</f>
        <v>11.9580460758</v>
      </c>
      <c r="M79">
        <f>Index!$C$69</f>
        <v>11.9580460758</v>
      </c>
      <c r="N79">
        <f>Index!$C$69</f>
        <v>11.9580460758</v>
      </c>
      <c r="O79">
        <f>Index!$C$69</f>
        <v>11.9580460758</v>
      </c>
      <c r="P79">
        <f>Index!$C$69</f>
        <v>11.9580460758</v>
      </c>
      <c r="Q79">
        <f>Index!$C$69</f>
        <v>11.9580460758</v>
      </c>
      <c r="V79" s="10" t="s">
        <v>206</v>
      </c>
      <c r="AJ79" s="10" t="s">
        <v>206</v>
      </c>
      <c r="AY79" s="10" t="s">
        <v>206</v>
      </c>
      <c r="BM79" s="10" t="s">
        <v>206</v>
      </c>
      <c r="CA79" s="10" t="s">
        <v>206</v>
      </c>
      <c r="CO79" s="10" t="s">
        <v>206</v>
      </c>
      <c r="DC79" s="10" t="s">
        <v>206</v>
      </c>
      <c r="DP79" t="s">
        <v>110</v>
      </c>
      <c r="DQ79">
        <f>163.5/50</f>
        <v>3.27</v>
      </c>
      <c r="DR79">
        <f t="shared" ref="DR79:DZ79" si="143">163.5/50</f>
        <v>3.27</v>
      </c>
      <c r="DS79">
        <f t="shared" si="143"/>
        <v>3.27</v>
      </c>
      <c r="DT79">
        <f t="shared" si="143"/>
        <v>3.27</v>
      </c>
      <c r="DU79">
        <f t="shared" si="143"/>
        <v>3.27</v>
      </c>
      <c r="DV79">
        <f t="shared" si="143"/>
        <v>3.27</v>
      </c>
      <c r="DW79">
        <f t="shared" si="143"/>
        <v>3.27</v>
      </c>
      <c r="DX79">
        <f t="shared" si="143"/>
        <v>3.27</v>
      </c>
      <c r="DY79">
        <f t="shared" si="143"/>
        <v>3.27</v>
      </c>
      <c r="DZ79">
        <f t="shared" si="143"/>
        <v>3.27</v>
      </c>
      <c r="EE79" s="10" t="s">
        <v>206</v>
      </c>
      <c r="ES79" s="10" t="s">
        <v>206</v>
      </c>
      <c r="FG79" t="s">
        <v>110</v>
      </c>
      <c r="FH79">
        <f>163.5/50</f>
        <v>3.27</v>
      </c>
      <c r="FI79">
        <f t="shared" ref="FI79:FQ79" si="144">163.5/50</f>
        <v>3.27</v>
      </c>
      <c r="FJ79">
        <f t="shared" si="144"/>
        <v>3.27</v>
      </c>
      <c r="FK79">
        <f t="shared" si="144"/>
        <v>3.27</v>
      </c>
      <c r="FL79">
        <f t="shared" si="144"/>
        <v>3.27</v>
      </c>
      <c r="FM79">
        <f t="shared" si="144"/>
        <v>3.27</v>
      </c>
      <c r="FN79">
        <f t="shared" si="144"/>
        <v>3.27</v>
      </c>
      <c r="FO79">
        <f t="shared" si="144"/>
        <v>3.27</v>
      </c>
      <c r="FP79">
        <f t="shared" si="144"/>
        <v>3.27</v>
      </c>
      <c r="FQ79">
        <f t="shared" si="144"/>
        <v>3.27</v>
      </c>
      <c r="FU79" t="s">
        <v>110</v>
      </c>
      <c r="FV79">
        <f>163.5/50</f>
        <v>3.27</v>
      </c>
      <c r="FW79">
        <f t="shared" ref="FW79:GE79" si="145">163.5/50</f>
        <v>3.27</v>
      </c>
      <c r="FX79">
        <f t="shared" si="145"/>
        <v>3.27</v>
      </c>
      <c r="FY79">
        <f t="shared" si="145"/>
        <v>3.27</v>
      </c>
      <c r="FZ79">
        <f t="shared" si="145"/>
        <v>3.27</v>
      </c>
      <c r="GA79">
        <f t="shared" si="145"/>
        <v>3.27</v>
      </c>
      <c r="GB79">
        <f t="shared" si="145"/>
        <v>3.27</v>
      </c>
      <c r="GC79">
        <f t="shared" si="145"/>
        <v>3.27</v>
      </c>
      <c r="GD79">
        <f t="shared" si="145"/>
        <v>3.27</v>
      </c>
      <c r="GE79">
        <f t="shared" si="145"/>
        <v>3.27</v>
      </c>
      <c r="GI79" s="10" t="s">
        <v>206</v>
      </c>
      <c r="GW79" s="10" t="s">
        <v>206</v>
      </c>
    </row>
    <row r="80" spans="7:215" x14ac:dyDescent="0.25">
      <c r="G80" t="s">
        <v>111</v>
      </c>
      <c r="H80">
        <v>36.718627421191144</v>
      </c>
      <c r="I80">
        <v>36.718627421191144</v>
      </c>
      <c r="J80">
        <v>36.718627421191144</v>
      </c>
      <c r="K80">
        <v>36.718627421191144</v>
      </c>
      <c r="L80">
        <v>36.718627421191144</v>
      </c>
      <c r="M80">
        <v>36.718627421191144</v>
      </c>
      <c r="N80">
        <v>36.718627421191144</v>
      </c>
      <c r="O80">
        <v>36.718627421191144</v>
      </c>
      <c r="P80">
        <v>36.718627421191144</v>
      </c>
      <c r="Q80">
        <v>36.718627421191144</v>
      </c>
      <c r="V80" t="s">
        <v>110</v>
      </c>
      <c r="W80">
        <f>163.5/50</f>
        <v>3.27</v>
      </c>
      <c r="X80">
        <f t="shared" ref="X80:AF80" si="146">163.5/50</f>
        <v>3.27</v>
      </c>
      <c r="Y80">
        <f t="shared" si="146"/>
        <v>3.27</v>
      </c>
      <c r="Z80">
        <f t="shared" si="146"/>
        <v>3.27</v>
      </c>
      <c r="AA80">
        <f t="shared" si="146"/>
        <v>3.27</v>
      </c>
      <c r="AB80">
        <f t="shared" si="146"/>
        <v>3.27</v>
      </c>
      <c r="AC80">
        <f t="shared" si="146"/>
        <v>3.27</v>
      </c>
      <c r="AD80">
        <f t="shared" si="146"/>
        <v>3.27</v>
      </c>
      <c r="AE80">
        <f t="shared" si="146"/>
        <v>3.27</v>
      </c>
      <c r="AF80">
        <f t="shared" si="146"/>
        <v>3.27</v>
      </c>
      <c r="AJ80" t="s">
        <v>110</v>
      </c>
      <c r="AK80">
        <f>163.5/50</f>
        <v>3.27</v>
      </c>
      <c r="AL80">
        <f t="shared" ref="AL80:AT80" si="147">163.5/50</f>
        <v>3.27</v>
      </c>
      <c r="AM80">
        <f t="shared" si="147"/>
        <v>3.27</v>
      </c>
      <c r="AN80">
        <f t="shared" si="147"/>
        <v>3.27</v>
      </c>
      <c r="AO80">
        <f t="shared" si="147"/>
        <v>3.27</v>
      </c>
      <c r="AP80">
        <f t="shared" si="147"/>
        <v>3.27</v>
      </c>
      <c r="AQ80">
        <f t="shared" si="147"/>
        <v>3.27</v>
      </c>
      <c r="AR80">
        <f t="shared" si="147"/>
        <v>3.27</v>
      </c>
      <c r="AS80">
        <f t="shared" si="147"/>
        <v>3.27</v>
      </c>
      <c r="AT80">
        <f t="shared" si="147"/>
        <v>3.27</v>
      </c>
      <c r="AY80" t="s">
        <v>110</v>
      </c>
      <c r="AZ80">
        <f>163.5/50</f>
        <v>3.27</v>
      </c>
      <c r="BA80">
        <f t="shared" ref="BA80:BI80" si="148">163.5/50</f>
        <v>3.27</v>
      </c>
      <c r="BB80">
        <f t="shared" si="148"/>
        <v>3.27</v>
      </c>
      <c r="BC80">
        <f t="shared" si="148"/>
        <v>3.27</v>
      </c>
      <c r="BD80">
        <f t="shared" si="148"/>
        <v>3.27</v>
      </c>
      <c r="BE80">
        <f t="shared" si="148"/>
        <v>3.27</v>
      </c>
      <c r="BF80">
        <f t="shared" si="148"/>
        <v>3.27</v>
      </c>
      <c r="BG80">
        <f t="shared" si="148"/>
        <v>3.27</v>
      </c>
      <c r="BH80">
        <f t="shared" si="148"/>
        <v>3.27</v>
      </c>
      <c r="BI80">
        <f t="shared" si="148"/>
        <v>3.27</v>
      </c>
      <c r="BM80" t="s">
        <v>110</v>
      </c>
      <c r="BN80">
        <f>163.5/50</f>
        <v>3.27</v>
      </c>
      <c r="BO80">
        <f t="shared" ref="BO80:BW80" si="149">163.5/50</f>
        <v>3.27</v>
      </c>
      <c r="BP80">
        <f t="shared" si="149"/>
        <v>3.27</v>
      </c>
      <c r="BQ80">
        <f t="shared" si="149"/>
        <v>3.27</v>
      </c>
      <c r="BR80">
        <f t="shared" si="149"/>
        <v>3.27</v>
      </c>
      <c r="BS80">
        <f t="shared" si="149"/>
        <v>3.27</v>
      </c>
      <c r="BT80">
        <f t="shared" si="149"/>
        <v>3.27</v>
      </c>
      <c r="BU80">
        <f t="shared" si="149"/>
        <v>3.27</v>
      </c>
      <c r="BV80">
        <f t="shared" si="149"/>
        <v>3.27</v>
      </c>
      <c r="BW80">
        <f t="shared" si="149"/>
        <v>3.27</v>
      </c>
      <c r="CA80" t="s">
        <v>110</v>
      </c>
      <c r="CB80">
        <f>163.5/50</f>
        <v>3.27</v>
      </c>
      <c r="CC80">
        <f t="shared" ref="CC80:CK80" si="150">163.5/50</f>
        <v>3.27</v>
      </c>
      <c r="CD80">
        <f t="shared" si="150"/>
        <v>3.27</v>
      </c>
      <c r="CE80">
        <f t="shared" si="150"/>
        <v>3.27</v>
      </c>
      <c r="CF80">
        <f t="shared" si="150"/>
        <v>3.27</v>
      </c>
      <c r="CG80">
        <f t="shared" si="150"/>
        <v>3.27</v>
      </c>
      <c r="CH80">
        <f t="shared" si="150"/>
        <v>3.27</v>
      </c>
      <c r="CI80">
        <f t="shared" si="150"/>
        <v>3.27</v>
      </c>
      <c r="CJ80">
        <f t="shared" si="150"/>
        <v>3.27</v>
      </c>
      <c r="CK80">
        <f t="shared" si="150"/>
        <v>3.27</v>
      </c>
      <c r="CO80" t="s">
        <v>110</v>
      </c>
      <c r="CP80">
        <f>163.5/50</f>
        <v>3.27</v>
      </c>
      <c r="CQ80">
        <f t="shared" ref="CQ80:CY80" si="151">163.5/50</f>
        <v>3.27</v>
      </c>
      <c r="CR80">
        <f t="shared" si="151"/>
        <v>3.27</v>
      </c>
      <c r="CS80">
        <f t="shared" si="151"/>
        <v>3.27</v>
      </c>
      <c r="CT80">
        <f t="shared" si="151"/>
        <v>3.27</v>
      </c>
      <c r="CU80">
        <f t="shared" si="151"/>
        <v>3.27</v>
      </c>
      <c r="CV80">
        <f t="shared" si="151"/>
        <v>3.27</v>
      </c>
      <c r="CW80">
        <f t="shared" si="151"/>
        <v>3.27</v>
      </c>
      <c r="CX80">
        <f t="shared" si="151"/>
        <v>3.27</v>
      </c>
      <c r="CY80">
        <f t="shared" si="151"/>
        <v>3.27</v>
      </c>
      <c r="DC80" t="s">
        <v>110</v>
      </c>
      <c r="DD80">
        <f>163.5/50</f>
        <v>3.27</v>
      </c>
      <c r="DE80">
        <f t="shared" ref="DE80:DM80" si="152">163.5/50</f>
        <v>3.27</v>
      </c>
      <c r="DF80">
        <f t="shared" si="152"/>
        <v>3.27</v>
      </c>
      <c r="DG80">
        <f t="shared" si="152"/>
        <v>3.27</v>
      </c>
      <c r="DH80">
        <f t="shared" si="152"/>
        <v>3.27</v>
      </c>
      <c r="DI80">
        <f t="shared" si="152"/>
        <v>3.27</v>
      </c>
      <c r="DJ80">
        <f t="shared" si="152"/>
        <v>3.27</v>
      </c>
      <c r="DK80">
        <f t="shared" si="152"/>
        <v>3.27</v>
      </c>
      <c r="DL80">
        <f t="shared" si="152"/>
        <v>3.27</v>
      </c>
      <c r="DM80">
        <f t="shared" si="152"/>
        <v>3.27</v>
      </c>
      <c r="DP80" t="s">
        <v>14</v>
      </c>
      <c r="DQ80">
        <f>Index!$C$69</f>
        <v>11.9580460758</v>
      </c>
      <c r="DR80">
        <f>Index!$C$69</f>
        <v>11.9580460758</v>
      </c>
      <c r="DS80">
        <f>Index!$C$69</f>
        <v>11.9580460758</v>
      </c>
      <c r="DT80">
        <f>Index!$C$69</f>
        <v>11.9580460758</v>
      </c>
      <c r="DU80">
        <f>Index!$C$69</f>
        <v>11.9580460758</v>
      </c>
      <c r="DV80">
        <f>Index!$C$69</f>
        <v>11.9580460758</v>
      </c>
      <c r="DW80">
        <f>Index!$C$69</f>
        <v>11.9580460758</v>
      </c>
      <c r="DX80">
        <f>Index!$C$69</f>
        <v>11.9580460758</v>
      </c>
      <c r="DY80">
        <f>Index!$C$69</f>
        <v>11.9580460758</v>
      </c>
      <c r="DZ80">
        <f>Index!$C$69</f>
        <v>11.9580460758</v>
      </c>
      <c r="EE80" t="s">
        <v>110</v>
      </c>
      <c r="EF80">
        <f>163.5/50</f>
        <v>3.27</v>
      </c>
      <c r="EG80">
        <f t="shared" ref="EG80:EO80" si="153">163.5/50</f>
        <v>3.27</v>
      </c>
      <c r="EH80">
        <f t="shared" si="153"/>
        <v>3.27</v>
      </c>
      <c r="EI80">
        <f t="shared" si="153"/>
        <v>3.27</v>
      </c>
      <c r="EJ80">
        <f t="shared" si="153"/>
        <v>3.27</v>
      </c>
      <c r="EK80">
        <f t="shared" si="153"/>
        <v>3.27</v>
      </c>
      <c r="EL80">
        <f t="shared" si="153"/>
        <v>3.27</v>
      </c>
      <c r="EM80">
        <f t="shared" si="153"/>
        <v>3.27</v>
      </c>
      <c r="EN80">
        <f t="shared" si="153"/>
        <v>3.27</v>
      </c>
      <c r="EO80">
        <f t="shared" si="153"/>
        <v>3.27</v>
      </c>
      <c r="ES80" t="s">
        <v>110</v>
      </c>
      <c r="ET80">
        <f>163.5/50</f>
        <v>3.27</v>
      </c>
      <c r="EU80">
        <f t="shared" ref="EU80:FC80" si="154">163.5/50</f>
        <v>3.27</v>
      </c>
      <c r="EV80">
        <f t="shared" si="154"/>
        <v>3.27</v>
      </c>
      <c r="EW80">
        <f t="shared" si="154"/>
        <v>3.27</v>
      </c>
      <c r="EX80">
        <f t="shared" si="154"/>
        <v>3.27</v>
      </c>
      <c r="EY80">
        <f t="shared" si="154"/>
        <v>3.27</v>
      </c>
      <c r="EZ80">
        <f t="shared" si="154"/>
        <v>3.27</v>
      </c>
      <c r="FA80">
        <f t="shared" si="154"/>
        <v>3.27</v>
      </c>
      <c r="FB80">
        <f t="shared" si="154"/>
        <v>3.27</v>
      </c>
      <c r="FC80">
        <f t="shared" si="154"/>
        <v>3.27</v>
      </c>
      <c r="FG80" t="s">
        <v>14</v>
      </c>
      <c r="FH80">
        <f>Index!$C$69</f>
        <v>11.9580460758</v>
      </c>
      <c r="FI80">
        <f>Index!$C$69</f>
        <v>11.9580460758</v>
      </c>
      <c r="FJ80">
        <f>Index!$C$69</f>
        <v>11.9580460758</v>
      </c>
      <c r="FK80">
        <f>Index!$C$69</f>
        <v>11.9580460758</v>
      </c>
      <c r="FL80">
        <f>Index!$C$69</f>
        <v>11.9580460758</v>
      </c>
      <c r="FM80">
        <f>Index!$C$69</f>
        <v>11.9580460758</v>
      </c>
      <c r="FN80">
        <f>Index!$C$69</f>
        <v>11.9580460758</v>
      </c>
      <c r="FO80">
        <f>Index!$C$69</f>
        <v>11.9580460758</v>
      </c>
      <c r="FP80">
        <f>Index!$C$69</f>
        <v>11.9580460758</v>
      </c>
      <c r="FQ80">
        <f>Index!$C$69</f>
        <v>11.9580460758</v>
      </c>
      <c r="FU80" t="s">
        <v>14</v>
      </c>
      <c r="FV80">
        <f>Index!$C$69</f>
        <v>11.9580460758</v>
      </c>
      <c r="FW80">
        <f>Index!$C$69</f>
        <v>11.9580460758</v>
      </c>
      <c r="FX80">
        <f>Index!$C$69</f>
        <v>11.9580460758</v>
      </c>
      <c r="FY80">
        <f>Index!$C$69</f>
        <v>11.9580460758</v>
      </c>
      <c r="FZ80">
        <f>Index!$C$69</f>
        <v>11.9580460758</v>
      </c>
      <c r="GA80">
        <f>Index!$C$69</f>
        <v>11.9580460758</v>
      </c>
      <c r="GB80">
        <f>Index!$C$69</f>
        <v>11.9580460758</v>
      </c>
      <c r="GC80">
        <f>Index!$C$69</f>
        <v>11.9580460758</v>
      </c>
      <c r="GD80">
        <f>Index!$C$69</f>
        <v>11.9580460758</v>
      </c>
      <c r="GE80">
        <f>Index!$C$69</f>
        <v>11.9580460758</v>
      </c>
      <c r="GI80" t="s">
        <v>110</v>
      </c>
      <c r="GJ80">
        <f>163.5/50</f>
        <v>3.27</v>
      </c>
      <c r="GK80">
        <f t="shared" ref="GK80:GS80" si="155">163.5/50</f>
        <v>3.27</v>
      </c>
      <c r="GL80">
        <f t="shared" si="155"/>
        <v>3.27</v>
      </c>
      <c r="GM80">
        <f t="shared" si="155"/>
        <v>3.27</v>
      </c>
      <c r="GN80">
        <f t="shared" si="155"/>
        <v>3.27</v>
      </c>
      <c r="GO80">
        <f t="shared" si="155"/>
        <v>3.27</v>
      </c>
      <c r="GP80">
        <f t="shared" si="155"/>
        <v>3.27</v>
      </c>
      <c r="GQ80">
        <f t="shared" si="155"/>
        <v>3.27</v>
      </c>
      <c r="GR80">
        <f t="shared" si="155"/>
        <v>3.27</v>
      </c>
      <c r="GS80">
        <f t="shared" si="155"/>
        <v>3.27</v>
      </c>
      <c r="GW80" t="s">
        <v>110</v>
      </c>
      <c r="GX80">
        <f>163.5/50</f>
        <v>3.27</v>
      </c>
      <c r="GY80">
        <f t="shared" ref="GY80:HG80" si="156">163.5/50</f>
        <v>3.27</v>
      </c>
      <c r="GZ80">
        <f t="shared" si="156"/>
        <v>3.27</v>
      </c>
      <c r="HA80">
        <f t="shared" si="156"/>
        <v>3.27</v>
      </c>
      <c r="HB80">
        <f t="shared" si="156"/>
        <v>3.27</v>
      </c>
      <c r="HC80">
        <f t="shared" si="156"/>
        <v>3.27</v>
      </c>
      <c r="HD80">
        <f t="shared" si="156"/>
        <v>3.27</v>
      </c>
      <c r="HE80">
        <f t="shared" si="156"/>
        <v>3.27</v>
      </c>
      <c r="HF80">
        <f t="shared" si="156"/>
        <v>3.27</v>
      </c>
      <c r="HG80">
        <f t="shared" si="156"/>
        <v>3.27</v>
      </c>
    </row>
    <row r="81" spans="7:230" x14ac:dyDescent="0.25">
      <c r="G81" t="s">
        <v>112</v>
      </c>
      <c r="H81">
        <v>1.95</v>
      </c>
      <c r="I81">
        <v>1.95</v>
      </c>
      <c r="J81">
        <v>1.95</v>
      </c>
      <c r="K81">
        <v>1.95</v>
      </c>
      <c r="L81">
        <v>1.95</v>
      </c>
      <c r="M81">
        <v>1.95</v>
      </c>
      <c r="N81">
        <v>1.95</v>
      </c>
      <c r="O81">
        <v>1.95</v>
      </c>
      <c r="P81">
        <v>1.95</v>
      </c>
      <c r="Q81">
        <v>1.95</v>
      </c>
      <c r="V81" t="s">
        <v>14</v>
      </c>
      <c r="W81">
        <f>Index!$C$69</f>
        <v>11.9580460758</v>
      </c>
      <c r="X81">
        <f>Index!$C$69</f>
        <v>11.9580460758</v>
      </c>
      <c r="Y81">
        <f>Index!$C$69</f>
        <v>11.9580460758</v>
      </c>
      <c r="Z81">
        <f>Index!$C$69</f>
        <v>11.9580460758</v>
      </c>
      <c r="AA81">
        <f>Index!$C$69</f>
        <v>11.9580460758</v>
      </c>
      <c r="AB81">
        <f>Index!$C$69</f>
        <v>11.9580460758</v>
      </c>
      <c r="AC81">
        <f>Index!$C$69</f>
        <v>11.9580460758</v>
      </c>
      <c r="AD81">
        <f>Index!$C$69</f>
        <v>11.9580460758</v>
      </c>
      <c r="AE81">
        <f>Index!$C$69</f>
        <v>11.9580460758</v>
      </c>
      <c r="AF81">
        <f>Index!$C$69</f>
        <v>11.9580460758</v>
      </c>
      <c r="AJ81" t="s">
        <v>14</v>
      </c>
      <c r="AK81">
        <f>Index!$C$69</f>
        <v>11.9580460758</v>
      </c>
      <c r="AL81">
        <f>Index!$C$69</f>
        <v>11.9580460758</v>
      </c>
      <c r="AM81">
        <f>Index!$C$69</f>
        <v>11.9580460758</v>
      </c>
      <c r="AN81">
        <f>Index!$C$69</f>
        <v>11.9580460758</v>
      </c>
      <c r="AO81">
        <f>Index!$C$69</f>
        <v>11.9580460758</v>
      </c>
      <c r="AP81">
        <f>Index!$C$69</f>
        <v>11.9580460758</v>
      </c>
      <c r="AQ81">
        <f>Index!$C$69</f>
        <v>11.9580460758</v>
      </c>
      <c r="AR81">
        <f>Index!$C$69</f>
        <v>11.9580460758</v>
      </c>
      <c r="AS81">
        <f>Index!$C$69</f>
        <v>11.9580460758</v>
      </c>
      <c r="AT81">
        <f>Index!$C$69</f>
        <v>11.9580460758</v>
      </c>
      <c r="AY81" t="s">
        <v>14</v>
      </c>
      <c r="AZ81">
        <f>Index!$C$69</f>
        <v>11.9580460758</v>
      </c>
      <c r="BA81">
        <f>Index!$C$69</f>
        <v>11.9580460758</v>
      </c>
      <c r="BB81">
        <f>Index!$C$69</f>
        <v>11.9580460758</v>
      </c>
      <c r="BC81">
        <f>Index!$C$69</f>
        <v>11.9580460758</v>
      </c>
      <c r="BD81">
        <f>Index!$C$69</f>
        <v>11.9580460758</v>
      </c>
      <c r="BE81">
        <f>Index!$C$69</f>
        <v>11.9580460758</v>
      </c>
      <c r="BF81">
        <f>Index!$C$69</f>
        <v>11.9580460758</v>
      </c>
      <c r="BG81">
        <f>Index!$C$69</f>
        <v>11.9580460758</v>
      </c>
      <c r="BH81">
        <f>Index!$C$69</f>
        <v>11.9580460758</v>
      </c>
      <c r="BI81">
        <f>Index!$C$69</f>
        <v>11.9580460758</v>
      </c>
      <c r="BM81" t="s">
        <v>14</v>
      </c>
      <c r="BN81">
        <f>Index!$C$69</f>
        <v>11.9580460758</v>
      </c>
      <c r="BO81">
        <f>Index!$C$69</f>
        <v>11.9580460758</v>
      </c>
      <c r="BP81">
        <f>Index!$C$69</f>
        <v>11.9580460758</v>
      </c>
      <c r="BQ81">
        <f>Index!$C$69</f>
        <v>11.9580460758</v>
      </c>
      <c r="BR81">
        <f>Index!$C$69</f>
        <v>11.9580460758</v>
      </c>
      <c r="BS81">
        <f>Index!$C$69</f>
        <v>11.9580460758</v>
      </c>
      <c r="BT81">
        <f>Index!$C$69</f>
        <v>11.9580460758</v>
      </c>
      <c r="BU81">
        <f>Index!$C$69</f>
        <v>11.9580460758</v>
      </c>
      <c r="BV81">
        <f>Index!$C$69</f>
        <v>11.9580460758</v>
      </c>
      <c r="BW81">
        <f>Index!$C$69</f>
        <v>11.9580460758</v>
      </c>
      <c r="CA81" t="s">
        <v>14</v>
      </c>
      <c r="CB81">
        <f>Index!$C$69</f>
        <v>11.9580460758</v>
      </c>
      <c r="CC81">
        <f>Index!$C$69</f>
        <v>11.9580460758</v>
      </c>
      <c r="CD81">
        <f>Index!$C$69</f>
        <v>11.9580460758</v>
      </c>
      <c r="CE81">
        <f>Index!$C$69</f>
        <v>11.9580460758</v>
      </c>
      <c r="CF81">
        <f>Index!$C$69</f>
        <v>11.9580460758</v>
      </c>
      <c r="CG81">
        <f>Index!$C$69</f>
        <v>11.9580460758</v>
      </c>
      <c r="CH81">
        <f>Index!$C$69</f>
        <v>11.9580460758</v>
      </c>
      <c r="CI81">
        <f>Index!$C$69</f>
        <v>11.9580460758</v>
      </c>
      <c r="CJ81">
        <f>Index!$C$69</f>
        <v>11.9580460758</v>
      </c>
      <c r="CK81">
        <f>Index!$C$69</f>
        <v>11.9580460758</v>
      </c>
      <c r="CO81" t="s">
        <v>14</v>
      </c>
      <c r="CP81">
        <f>Index!$C$69</f>
        <v>11.9580460758</v>
      </c>
      <c r="CQ81">
        <f>Index!$C$69</f>
        <v>11.9580460758</v>
      </c>
      <c r="CR81">
        <f>Index!$C$69</f>
        <v>11.9580460758</v>
      </c>
      <c r="CS81">
        <f>Index!$C$69</f>
        <v>11.9580460758</v>
      </c>
      <c r="CT81">
        <f>Index!$C$69</f>
        <v>11.9580460758</v>
      </c>
      <c r="CU81">
        <f>Index!$C$69</f>
        <v>11.9580460758</v>
      </c>
      <c r="CV81">
        <f>Index!$C$69</f>
        <v>11.9580460758</v>
      </c>
      <c r="CW81">
        <f>Index!$C$69</f>
        <v>11.9580460758</v>
      </c>
      <c r="CX81">
        <f>Index!$C$69</f>
        <v>11.9580460758</v>
      </c>
      <c r="CY81">
        <f>Index!$C$69</f>
        <v>11.9580460758</v>
      </c>
      <c r="DC81" t="s">
        <v>14</v>
      </c>
      <c r="DD81">
        <f>Index!$C$69</f>
        <v>11.9580460758</v>
      </c>
      <c r="DE81">
        <f>Index!$C$69</f>
        <v>11.9580460758</v>
      </c>
      <c r="DF81">
        <f>Index!$C$69</f>
        <v>11.9580460758</v>
      </c>
      <c r="DG81">
        <f>Index!$C$69</f>
        <v>11.9580460758</v>
      </c>
      <c r="DH81">
        <f>Index!$C$69</f>
        <v>11.9580460758</v>
      </c>
      <c r="DI81">
        <f>Index!$C$69</f>
        <v>11.9580460758</v>
      </c>
      <c r="DJ81">
        <f>Index!$C$69</f>
        <v>11.9580460758</v>
      </c>
      <c r="DK81">
        <f>Index!$C$69</f>
        <v>11.9580460758</v>
      </c>
      <c r="DL81">
        <f>Index!$C$69</f>
        <v>11.9580460758</v>
      </c>
      <c r="DM81">
        <f>Index!$C$69</f>
        <v>11.9580460758</v>
      </c>
      <c r="DP81" t="s">
        <v>111</v>
      </c>
      <c r="DQ81">
        <v>36.718627421191144</v>
      </c>
      <c r="DR81">
        <v>36.718627421191144</v>
      </c>
      <c r="DS81">
        <v>36.718627421191144</v>
      </c>
      <c r="DT81">
        <v>36.718627421191144</v>
      </c>
      <c r="DU81">
        <v>36.718627421191144</v>
      </c>
      <c r="DV81">
        <v>36.718627421191144</v>
      </c>
      <c r="DW81">
        <v>36.718627421191144</v>
      </c>
      <c r="DX81">
        <v>36.718627421191144</v>
      </c>
      <c r="DY81">
        <v>36.718627421191144</v>
      </c>
      <c r="DZ81">
        <v>36.718627421191144</v>
      </c>
      <c r="EE81" t="s">
        <v>14</v>
      </c>
      <c r="EF81">
        <f>Index!$C$69</f>
        <v>11.9580460758</v>
      </c>
      <c r="EG81">
        <f>Index!$C$69</f>
        <v>11.9580460758</v>
      </c>
      <c r="EH81">
        <f>Index!$C$69</f>
        <v>11.9580460758</v>
      </c>
      <c r="EI81">
        <f>Index!$C$69</f>
        <v>11.9580460758</v>
      </c>
      <c r="EJ81">
        <f>Index!$C$69</f>
        <v>11.9580460758</v>
      </c>
      <c r="EK81">
        <f>Index!$C$69</f>
        <v>11.9580460758</v>
      </c>
      <c r="EL81">
        <f>Index!$C$69</f>
        <v>11.9580460758</v>
      </c>
      <c r="EM81">
        <f>Index!$C$69</f>
        <v>11.9580460758</v>
      </c>
      <c r="EN81">
        <f>Index!$C$69</f>
        <v>11.9580460758</v>
      </c>
      <c r="EO81">
        <f>Index!$C$69</f>
        <v>11.9580460758</v>
      </c>
      <c r="ES81" t="s">
        <v>14</v>
      </c>
      <c r="ET81">
        <f>Index!$C$69</f>
        <v>11.9580460758</v>
      </c>
      <c r="EU81">
        <f>Index!$C$69</f>
        <v>11.9580460758</v>
      </c>
      <c r="EV81">
        <f>Index!$C$69</f>
        <v>11.9580460758</v>
      </c>
      <c r="EW81">
        <f>Index!$C$69</f>
        <v>11.9580460758</v>
      </c>
      <c r="EX81">
        <f>Index!$C$69</f>
        <v>11.9580460758</v>
      </c>
      <c r="EY81">
        <f>Index!$C$69</f>
        <v>11.9580460758</v>
      </c>
      <c r="EZ81">
        <f>Index!$C$69</f>
        <v>11.9580460758</v>
      </c>
      <c r="FA81">
        <f>Index!$C$69</f>
        <v>11.9580460758</v>
      </c>
      <c r="FB81">
        <f>Index!$C$69</f>
        <v>11.9580460758</v>
      </c>
      <c r="FC81">
        <f>Index!$C$69</f>
        <v>11.9580460758</v>
      </c>
      <c r="FG81" t="s">
        <v>111</v>
      </c>
      <c r="FH81">
        <v>36.718627421191144</v>
      </c>
      <c r="FI81">
        <v>36.718627421191144</v>
      </c>
      <c r="FJ81">
        <v>36.718627421191144</v>
      </c>
      <c r="FK81">
        <v>36.718627421191144</v>
      </c>
      <c r="FL81">
        <v>36.718627421191144</v>
      </c>
      <c r="FM81">
        <v>36.718627421191144</v>
      </c>
      <c r="FN81">
        <v>36.718627421191144</v>
      </c>
      <c r="FO81">
        <v>36.718627421191144</v>
      </c>
      <c r="FP81">
        <v>36.718627421191144</v>
      </c>
      <c r="FQ81">
        <v>36.718627421191144</v>
      </c>
      <c r="FU81" t="s">
        <v>111</v>
      </c>
      <c r="FV81">
        <v>36.718627421191144</v>
      </c>
      <c r="FW81">
        <v>36.718627421191144</v>
      </c>
      <c r="FX81">
        <v>36.718627421191144</v>
      </c>
      <c r="FY81">
        <v>36.718627421191144</v>
      </c>
      <c r="FZ81">
        <v>36.718627421191144</v>
      </c>
      <c r="GA81">
        <v>36.718627421191144</v>
      </c>
      <c r="GB81">
        <v>36.718627421191144</v>
      </c>
      <c r="GC81">
        <v>36.718627421191144</v>
      </c>
      <c r="GD81">
        <v>36.718627421191144</v>
      </c>
      <c r="GE81">
        <v>36.718627421191144</v>
      </c>
      <c r="GI81" t="s">
        <v>14</v>
      </c>
      <c r="GJ81">
        <f>Index!$C$69</f>
        <v>11.9580460758</v>
      </c>
      <c r="GK81">
        <f>Index!$C$69</f>
        <v>11.9580460758</v>
      </c>
      <c r="GL81">
        <f>Index!$C$69</f>
        <v>11.9580460758</v>
      </c>
      <c r="GM81">
        <f>Index!$C$69</f>
        <v>11.9580460758</v>
      </c>
      <c r="GN81">
        <f>Index!$C$69</f>
        <v>11.9580460758</v>
      </c>
      <c r="GO81">
        <f>Index!$C$69</f>
        <v>11.9580460758</v>
      </c>
      <c r="GP81">
        <f>Index!$C$69</f>
        <v>11.9580460758</v>
      </c>
      <c r="GQ81">
        <f>Index!$C$69</f>
        <v>11.9580460758</v>
      </c>
      <c r="GR81">
        <f>Index!$C$69</f>
        <v>11.9580460758</v>
      </c>
      <c r="GS81">
        <f>Index!$C$69</f>
        <v>11.9580460758</v>
      </c>
      <c r="GW81" t="s">
        <v>14</v>
      </c>
      <c r="GX81">
        <f>Index!$C$69</f>
        <v>11.9580460758</v>
      </c>
      <c r="GY81">
        <f>Index!$C$69</f>
        <v>11.9580460758</v>
      </c>
      <c r="GZ81">
        <f>Index!$C$69</f>
        <v>11.9580460758</v>
      </c>
      <c r="HA81">
        <f>Index!$C$69</f>
        <v>11.9580460758</v>
      </c>
      <c r="HB81">
        <f>Index!$C$69</f>
        <v>11.9580460758</v>
      </c>
      <c r="HC81">
        <f>Index!$C$69</f>
        <v>11.9580460758</v>
      </c>
      <c r="HD81">
        <f>Index!$C$69</f>
        <v>11.9580460758</v>
      </c>
      <c r="HE81">
        <f>Index!$C$69</f>
        <v>11.9580460758</v>
      </c>
      <c r="HF81">
        <f>Index!$C$69</f>
        <v>11.9580460758</v>
      </c>
      <c r="HG81">
        <f>Index!$C$69</f>
        <v>11.9580460758</v>
      </c>
    </row>
    <row r="82" spans="7:230" x14ac:dyDescent="0.25">
      <c r="V82" t="s">
        <v>111</v>
      </c>
      <c r="W82">
        <v>36.718627421191144</v>
      </c>
      <c r="X82">
        <v>36.718627421191144</v>
      </c>
      <c r="Y82">
        <v>36.718627421191144</v>
      </c>
      <c r="Z82">
        <v>36.718627421191144</v>
      </c>
      <c r="AA82">
        <v>36.718627421191144</v>
      </c>
      <c r="AB82">
        <v>36.718627421191144</v>
      </c>
      <c r="AC82">
        <v>36.718627421191144</v>
      </c>
      <c r="AD82">
        <v>36.718627421191144</v>
      </c>
      <c r="AE82">
        <v>36.718627421191144</v>
      </c>
      <c r="AF82">
        <v>36.718627421191144</v>
      </c>
      <c r="AJ82" t="s">
        <v>111</v>
      </c>
      <c r="AK82">
        <v>36.718627421191144</v>
      </c>
      <c r="AL82">
        <v>36.718627421191144</v>
      </c>
      <c r="AM82">
        <v>36.718627421191144</v>
      </c>
      <c r="AN82">
        <v>36.718627421191144</v>
      </c>
      <c r="AO82">
        <v>36.718627421191144</v>
      </c>
      <c r="AP82">
        <v>36.718627421191144</v>
      </c>
      <c r="AQ82">
        <v>36.718627421191144</v>
      </c>
      <c r="AR82">
        <v>36.718627421191144</v>
      </c>
      <c r="AS82">
        <v>36.718627421191144</v>
      </c>
      <c r="AT82">
        <v>36.718627421191144</v>
      </c>
      <c r="AY82" t="s">
        <v>111</v>
      </c>
      <c r="AZ82">
        <v>36.718627421191144</v>
      </c>
      <c r="BA82">
        <v>36.718627421191144</v>
      </c>
      <c r="BB82">
        <v>36.718627421191144</v>
      </c>
      <c r="BC82">
        <v>36.718627421191144</v>
      </c>
      <c r="BD82">
        <v>36.718627421191144</v>
      </c>
      <c r="BE82">
        <v>36.718627421191144</v>
      </c>
      <c r="BF82">
        <v>36.718627421191144</v>
      </c>
      <c r="BG82">
        <v>36.718627421191144</v>
      </c>
      <c r="BH82">
        <v>36.718627421191144</v>
      </c>
      <c r="BI82">
        <v>36.718627421191144</v>
      </c>
      <c r="BM82" t="s">
        <v>111</v>
      </c>
      <c r="BN82">
        <v>36.718627421191144</v>
      </c>
      <c r="BO82">
        <v>36.718627421191144</v>
      </c>
      <c r="BP82">
        <v>36.718627421191144</v>
      </c>
      <c r="BQ82">
        <v>36.718627421191144</v>
      </c>
      <c r="BR82">
        <v>36.718627421191144</v>
      </c>
      <c r="BS82">
        <v>36.718627421191144</v>
      </c>
      <c r="BT82">
        <v>36.718627421191144</v>
      </c>
      <c r="BU82">
        <v>36.718627421191144</v>
      </c>
      <c r="BV82">
        <v>36.718627421191144</v>
      </c>
      <c r="BW82">
        <v>36.718627421191144</v>
      </c>
      <c r="CA82" t="s">
        <v>111</v>
      </c>
      <c r="CB82">
        <v>36.718627421191144</v>
      </c>
      <c r="CC82">
        <v>36.718627421191144</v>
      </c>
      <c r="CD82">
        <v>36.718627421191144</v>
      </c>
      <c r="CE82">
        <v>36.718627421191144</v>
      </c>
      <c r="CF82">
        <v>36.718627421191144</v>
      </c>
      <c r="CG82">
        <v>36.718627421191144</v>
      </c>
      <c r="CH82">
        <v>36.718627421191144</v>
      </c>
      <c r="CI82">
        <v>36.718627421191144</v>
      </c>
      <c r="CJ82">
        <v>36.718627421191144</v>
      </c>
      <c r="CK82">
        <v>36.718627421191144</v>
      </c>
      <c r="CO82" t="s">
        <v>111</v>
      </c>
      <c r="CP82">
        <v>36.718627421191144</v>
      </c>
      <c r="CQ82">
        <v>36.718627421191144</v>
      </c>
      <c r="CR82">
        <v>36.718627421191144</v>
      </c>
      <c r="CS82">
        <v>36.718627421191144</v>
      </c>
      <c r="CT82">
        <v>36.718627421191144</v>
      </c>
      <c r="CU82">
        <v>36.718627421191144</v>
      </c>
      <c r="CV82">
        <v>36.718627421191144</v>
      </c>
      <c r="CW82">
        <v>36.718627421191144</v>
      </c>
      <c r="CX82">
        <v>36.718627421191144</v>
      </c>
      <c r="CY82">
        <v>36.718627421191144</v>
      </c>
      <c r="DC82" t="s">
        <v>111</v>
      </c>
      <c r="DD82">
        <v>36.718627421191144</v>
      </c>
      <c r="DE82">
        <v>36.718627421191144</v>
      </c>
      <c r="DF82">
        <v>36.718627421191144</v>
      </c>
      <c r="DG82">
        <v>36.718627421191144</v>
      </c>
      <c r="DH82">
        <v>36.718627421191144</v>
      </c>
      <c r="DI82">
        <v>36.718627421191144</v>
      </c>
      <c r="DJ82">
        <v>36.718627421191144</v>
      </c>
      <c r="DK82">
        <v>36.718627421191144</v>
      </c>
      <c r="DL82">
        <v>36.718627421191144</v>
      </c>
      <c r="DM82">
        <v>36.718627421191144</v>
      </c>
      <c r="DP82" t="s">
        <v>112</v>
      </c>
      <c r="DQ82">
        <v>1.95</v>
      </c>
      <c r="DR82">
        <v>1.95</v>
      </c>
      <c r="DS82">
        <v>1.95</v>
      </c>
      <c r="DT82">
        <v>1.95</v>
      </c>
      <c r="DU82">
        <v>1.95</v>
      </c>
      <c r="DV82">
        <v>1.95</v>
      </c>
      <c r="DW82">
        <v>1.95</v>
      </c>
      <c r="DX82">
        <v>1.95</v>
      </c>
      <c r="DY82">
        <v>1.95</v>
      </c>
      <c r="DZ82">
        <v>1.95</v>
      </c>
      <c r="EE82" t="s">
        <v>111</v>
      </c>
      <c r="EF82">
        <v>36.718627421191144</v>
      </c>
      <c r="EG82">
        <v>36.718627421191144</v>
      </c>
      <c r="EH82">
        <v>36.718627421191144</v>
      </c>
      <c r="EI82">
        <v>36.718627421191144</v>
      </c>
      <c r="EJ82">
        <v>36.718627421191144</v>
      </c>
      <c r="EK82">
        <v>36.718627421191144</v>
      </c>
      <c r="EL82">
        <v>36.718627421191144</v>
      </c>
      <c r="EM82">
        <v>36.718627421191144</v>
      </c>
      <c r="EN82">
        <v>36.718627421191144</v>
      </c>
      <c r="EO82">
        <v>36.718627421191144</v>
      </c>
      <c r="ES82" t="s">
        <v>111</v>
      </c>
      <c r="ET82">
        <v>36.718627421191144</v>
      </c>
      <c r="EU82">
        <v>36.718627421191144</v>
      </c>
      <c r="EV82">
        <v>36.718627421191144</v>
      </c>
      <c r="EW82">
        <v>36.718627421191144</v>
      </c>
      <c r="EX82">
        <v>36.718627421191144</v>
      </c>
      <c r="EY82">
        <v>36.718627421191144</v>
      </c>
      <c r="EZ82">
        <v>36.718627421191144</v>
      </c>
      <c r="FA82">
        <v>36.718627421191144</v>
      </c>
      <c r="FB82">
        <v>36.718627421191144</v>
      </c>
      <c r="FC82">
        <v>36.718627421191144</v>
      </c>
      <c r="FG82" t="s">
        <v>112</v>
      </c>
      <c r="FH82">
        <v>1.95</v>
      </c>
      <c r="FI82">
        <v>1.95</v>
      </c>
      <c r="FJ82">
        <v>1.95</v>
      </c>
      <c r="FK82">
        <v>1.95</v>
      </c>
      <c r="FL82">
        <v>1.95</v>
      </c>
      <c r="FM82">
        <v>1.95</v>
      </c>
      <c r="FN82">
        <v>1.95</v>
      </c>
      <c r="FO82">
        <v>1.95</v>
      </c>
      <c r="FP82">
        <v>1.95</v>
      </c>
      <c r="FQ82">
        <v>1.95</v>
      </c>
      <c r="FU82" t="s">
        <v>112</v>
      </c>
      <c r="FV82">
        <v>1.95</v>
      </c>
      <c r="FW82">
        <v>1.95</v>
      </c>
      <c r="FX82">
        <v>1.95</v>
      </c>
      <c r="FY82">
        <v>1.95</v>
      </c>
      <c r="FZ82">
        <v>1.95</v>
      </c>
      <c r="GA82">
        <v>1.95</v>
      </c>
      <c r="GB82">
        <v>1.95</v>
      </c>
      <c r="GC82">
        <v>1.95</v>
      </c>
      <c r="GD82">
        <v>1.95</v>
      </c>
      <c r="GE82">
        <v>1.95</v>
      </c>
      <c r="GI82" t="s">
        <v>111</v>
      </c>
      <c r="GJ82">
        <v>36.718627421191144</v>
      </c>
      <c r="GK82">
        <v>36.718627421191144</v>
      </c>
      <c r="GL82">
        <v>36.718627421191144</v>
      </c>
      <c r="GM82">
        <v>36.718627421191144</v>
      </c>
      <c r="GN82">
        <v>36.718627421191144</v>
      </c>
      <c r="GO82">
        <v>36.718627421191144</v>
      </c>
      <c r="GP82">
        <v>36.718627421191144</v>
      </c>
      <c r="GQ82">
        <v>36.718627421191144</v>
      </c>
      <c r="GR82">
        <v>36.718627421191144</v>
      </c>
      <c r="GS82">
        <v>36.718627421191144</v>
      </c>
      <c r="GW82" t="s">
        <v>111</v>
      </c>
      <c r="GX82">
        <v>36.718627421191144</v>
      </c>
      <c r="GY82">
        <v>36.718627421191144</v>
      </c>
      <c r="GZ82">
        <v>36.718627421191144</v>
      </c>
      <c r="HA82">
        <v>36.718627421191144</v>
      </c>
      <c r="HB82">
        <v>36.718627421191144</v>
      </c>
      <c r="HC82">
        <v>36.718627421191144</v>
      </c>
      <c r="HD82">
        <v>36.718627421191144</v>
      </c>
      <c r="HE82">
        <v>36.718627421191144</v>
      </c>
      <c r="HF82">
        <v>36.718627421191144</v>
      </c>
      <c r="HG82">
        <v>36.718627421191144</v>
      </c>
    </row>
    <row r="83" spans="7:230" x14ac:dyDescent="0.25">
      <c r="V83" t="s">
        <v>112</v>
      </c>
      <c r="W83">
        <v>1.95</v>
      </c>
      <c r="X83">
        <v>1.95</v>
      </c>
      <c r="Y83">
        <v>1.95</v>
      </c>
      <c r="Z83">
        <v>1.95</v>
      </c>
      <c r="AA83">
        <v>1.95</v>
      </c>
      <c r="AB83">
        <v>1.95</v>
      </c>
      <c r="AC83">
        <v>1.95</v>
      </c>
      <c r="AD83">
        <v>1.95</v>
      </c>
      <c r="AE83">
        <v>1.95</v>
      </c>
      <c r="AF83">
        <v>1.95</v>
      </c>
      <c r="AJ83" t="s">
        <v>112</v>
      </c>
      <c r="AK83">
        <v>1.95</v>
      </c>
      <c r="AL83">
        <v>1.95</v>
      </c>
      <c r="AM83">
        <v>1.95</v>
      </c>
      <c r="AN83">
        <v>1.95</v>
      </c>
      <c r="AO83">
        <v>1.95</v>
      </c>
      <c r="AP83">
        <v>1.95</v>
      </c>
      <c r="AQ83">
        <v>1.95</v>
      </c>
      <c r="AR83">
        <v>1.95</v>
      </c>
      <c r="AS83">
        <v>1.95</v>
      </c>
      <c r="AT83">
        <v>1.95</v>
      </c>
      <c r="AY83" t="s">
        <v>112</v>
      </c>
      <c r="AZ83">
        <v>1.95</v>
      </c>
      <c r="BA83">
        <v>1.95</v>
      </c>
      <c r="BB83">
        <v>1.95</v>
      </c>
      <c r="BC83">
        <v>1.95</v>
      </c>
      <c r="BD83">
        <v>1.95</v>
      </c>
      <c r="BE83">
        <v>1.95</v>
      </c>
      <c r="BF83">
        <v>1.95</v>
      </c>
      <c r="BG83">
        <v>1.95</v>
      </c>
      <c r="BH83">
        <v>1.95</v>
      </c>
      <c r="BI83">
        <v>1.95</v>
      </c>
      <c r="BM83" t="s">
        <v>112</v>
      </c>
      <c r="BN83">
        <v>1.95</v>
      </c>
      <c r="BO83">
        <v>1.95</v>
      </c>
      <c r="BP83">
        <v>1.95</v>
      </c>
      <c r="BQ83">
        <v>1.95</v>
      </c>
      <c r="BR83">
        <v>1.95</v>
      </c>
      <c r="BS83">
        <v>1.95</v>
      </c>
      <c r="BT83">
        <v>1.95</v>
      </c>
      <c r="BU83">
        <v>1.95</v>
      </c>
      <c r="BV83">
        <v>1.95</v>
      </c>
      <c r="BW83">
        <v>1.95</v>
      </c>
      <c r="CA83" t="s">
        <v>112</v>
      </c>
      <c r="CB83">
        <v>1.95</v>
      </c>
      <c r="CC83">
        <v>1.95</v>
      </c>
      <c r="CD83">
        <v>1.95</v>
      </c>
      <c r="CE83">
        <v>1.95</v>
      </c>
      <c r="CF83">
        <v>1.95</v>
      </c>
      <c r="CG83">
        <v>1.95</v>
      </c>
      <c r="CH83">
        <v>1.95</v>
      </c>
      <c r="CI83">
        <v>1.95</v>
      </c>
      <c r="CJ83">
        <v>1.95</v>
      </c>
      <c r="CK83">
        <v>1.95</v>
      </c>
      <c r="CO83" t="s">
        <v>112</v>
      </c>
      <c r="CP83">
        <v>1.95</v>
      </c>
      <c r="CQ83">
        <v>1.95</v>
      </c>
      <c r="CR83">
        <v>1.95</v>
      </c>
      <c r="CS83">
        <v>1.95</v>
      </c>
      <c r="CT83">
        <v>1.95</v>
      </c>
      <c r="CU83">
        <v>1.95</v>
      </c>
      <c r="CV83">
        <v>1.95</v>
      </c>
      <c r="CW83">
        <v>1.95</v>
      </c>
      <c r="CX83">
        <v>1.95</v>
      </c>
      <c r="CY83">
        <v>1.95</v>
      </c>
      <c r="DC83" t="s">
        <v>112</v>
      </c>
      <c r="DD83">
        <v>1.95</v>
      </c>
      <c r="DE83">
        <v>1.95</v>
      </c>
      <c r="DF83">
        <v>1.95</v>
      </c>
      <c r="DG83">
        <v>1.95</v>
      </c>
      <c r="DH83">
        <v>1.95</v>
      </c>
      <c r="DI83">
        <v>1.95</v>
      </c>
      <c r="DJ83">
        <v>1.95</v>
      </c>
      <c r="DK83">
        <v>1.95</v>
      </c>
      <c r="DL83">
        <v>1.95</v>
      </c>
      <c r="DM83">
        <v>1.95</v>
      </c>
      <c r="EE83" t="s">
        <v>112</v>
      </c>
      <c r="EF83">
        <v>1.95</v>
      </c>
      <c r="EG83">
        <v>1.95</v>
      </c>
      <c r="EH83">
        <v>1.95</v>
      </c>
      <c r="EI83">
        <v>1.95</v>
      </c>
      <c r="EJ83">
        <v>1.95</v>
      </c>
      <c r="EK83">
        <v>1.95</v>
      </c>
      <c r="EL83">
        <v>1.95</v>
      </c>
      <c r="EM83">
        <v>1.95</v>
      </c>
      <c r="EN83">
        <v>1.95</v>
      </c>
      <c r="EO83">
        <v>1.95</v>
      </c>
      <c r="ES83" t="s">
        <v>112</v>
      </c>
      <c r="ET83">
        <v>1.95</v>
      </c>
      <c r="EU83">
        <v>1.95</v>
      </c>
      <c r="EV83">
        <v>1.95</v>
      </c>
      <c r="EW83">
        <v>1.95</v>
      </c>
      <c r="EX83">
        <v>1.95</v>
      </c>
      <c r="EY83">
        <v>1.95</v>
      </c>
      <c r="EZ83">
        <v>1.95</v>
      </c>
      <c r="FA83">
        <v>1.95</v>
      </c>
      <c r="FB83">
        <v>1.95</v>
      </c>
      <c r="FC83">
        <v>1.95</v>
      </c>
      <c r="GI83" t="s">
        <v>112</v>
      </c>
      <c r="GJ83">
        <v>1.95</v>
      </c>
      <c r="GK83">
        <v>1.95</v>
      </c>
      <c r="GL83">
        <v>1.95</v>
      </c>
      <c r="GM83">
        <v>1.95</v>
      </c>
      <c r="GN83">
        <v>1.95</v>
      </c>
      <c r="GO83">
        <v>1.95</v>
      </c>
      <c r="GP83">
        <v>1.95</v>
      </c>
      <c r="GQ83">
        <v>1.95</v>
      </c>
      <c r="GR83">
        <v>1.95</v>
      </c>
      <c r="GS83">
        <v>1.95</v>
      </c>
      <c r="GW83" t="s">
        <v>112</v>
      </c>
      <c r="GX83">
        <v>1.95</v>
      </c>
      <c r="GY83">
        <v>1.95</v>
      </c>
      <c r="GZ83">
        <v>1.95</v>
      </c>
      <c r="HA83">
        <v>1.95</v>
      </c>
      <c r="HB83">
        <v>1.95</v>
      </c>
      <c r="HC83">
        <v>1.95</v>
      </c>
      <c r="HD83">
        <v>1.95</v>
      </c>
      <c r="HE83">
        <v>1.95</v>
      </c>
      <c r="HF83">
        <v>1.95</v>
      </c>
      <c r="HG83">
        <v>1.95</v>
      </c>
    </row>
    <row r="84" spans="7:230" x14ac:dyDescent="0.25">
      <c r="G84" s="10" t="s">
        <v>205</v>
      </c>
    </row>
    <row r="85" spans="7:230" x14ac:dyDescent="0.25">
      <c r="G85" t="s">
        <v>110</v>
      </c>
      <c r="H85">
        <f>H78*H73</f>
        <v>69.487499999999997</v>
      </c>
      <c r="I85">
        <f t="shared" ref="I85:Q85" si="157">I78*I73</f>
        <v>81.75</v>
      </c>
      <c r="J85">
        <f t="shared" si="157"/>
        <v>106.27500000000001</v>
      </c>
      <c r="K85">
        <f t="shared" si="157"/>
        <v>130.80000000000001</v>
      </c>
      <c r="L85">
        <f t="shared" si="157"/>
        <v>155.32499999999999</v>
      </c>
      <c r="M85">
        <f t="shared" si="157"/>
        <v>179.85</v>
      </c>
      <c r="N85">
        <f t="shared" si="157"/>
        <v>204.375</v>
      </c>
      <c r="O85">
        <f t="shared" si="157"/>
        <v>228.9</v>
      </c>
      <c r="P85">
        <f t="shared" si="157"/>
        <v>253.42500000000001</v>
      </c>
      <c r="Q85">
        <f t="shared" si="157"/>
        <v>277.95</v>
      </c>
    </row>
    <row r="86" spans="7:230" x14ac:dyDescent="0.25">
      <c r="G86" t="s">
        <v>14</v>
      </c>
      <c r="H86">
        <f t="shared" ref="H86:Q88" si="158">H79*H74</f>
        <v>92.07695478366</v>
      </c>
      <c r="I86">
        <f t="shared" si="158"/>
        <v>110.01402389735999</v>
      </c>
      <c r="J86">
        <f t="shared" si="158"/>
        <v>145.88816212475999</v>
      </c>
      <c r="K86">
        <f t="shared" si="158"/>
        <v>181.76230035216</v>
      </c>
      <c r="L86">
        <f t="shared" si="158"/>
        <v>217.63643857956001</v>
      </c>
      <c r="M86">
        <f t="shared" si="158"/>
        <v>253.51057680695999</v>
      </c>
      <c r="N86">
        <f t="shared" si="158"/>
        <v>289.38471503436</v>
      </c>
      <c r="O86">
        <f t="shared" si="158"/>
        <v>325.25885326176001</v>
      </c>
      <c r="P86">
        <f t="shared" si="158"/>
        <v>361.13299148916002</v>
      </c>
      <c r="Q86">
        <f t="shared" si="158"/>
        <v>397.00712971656003</v>
      </c>
      <c r="V86" s="10" t="s">
        <v>205</v>
      </c>
      <c r="AJ86" s="10" t="s">
        <v>205</v>
      </c>
      <c r="AY86" s="10" t="s">
        <v>205</v>
      </c>
      <c r="BM86" s="10" t="s">
        <v>205</v>
      </c>
      <c r="CA86" s="10" t="s">
        <v>205</v>
      </c>
      <c r="CO86" s="10" t="s">
        <v>205</v>
      </c>
      <c r="DC86" s="10" t="s">
        <v>205</v>
      </c>
      <c r="DP86" s="10" t="s">
        <v>205</v>
      </c>
      <c r="EE86" s="10" t="s">
        <v>205</v>
      </c>
      <c r="ES86" s="10" t="s">
        <v>205</v>
      </c>
      <c r="FG86" s="10" t="s">
        <v>205</v>
      </c>
      <c r="FU86" s="10" t="s">
        <v>205</v>
      </c>
      <c r="GI86" s="10" t="s">
        <v>205</v>
      </c>
      <c r="GW86" s="10" t="s">
        <v>205</v>
      </c>
    </row>
    <row r="87" spans="7:230" x14ac:dyDescent="0.25">
      <c r="G87" t="s">
        <v>111</v>
      </c>
      <c r="H87">
        <f>H80*H75</f>
        <v>176.70839446448238</v>
      </c>
      <c r="I87">
        <f t="shared" si="158"/>
        <v>211.13210767184907</v>
      </c>
      <c r="J87">
        <f t="shared" si="158"/>
        <v>279.97953408658248</v>
      </c>
      <c r="K87">
        <f t="shared" si="158"/>
        <v>348.82696050131585</v>
      </c>
      <c r="L87">
        <f t="shared" si="158"/>
        <v>417.67438691604929</v>
      </c>
      <c r="M87">
        <f t="shared" si="158"/>
        <v>486.52181333078266</v>
      </c>
      <c r="N87">
        <f t="shared" si="158"/>
        <v>555.3692397455161</v>
      </c>
      <c r="O87">
        <f t="shared" si="158"/>
        <v>624.21666616024947</v>
      </c>
      <c r="P87">
        <f t="shared" si="158"/>
        <v>693.06409257498285</v>
      </c>
      <c r="Q87">
        <f t="shared" si="158"/>
        <v>761.91151898971623</v>
      </c>
      <c r="V87" t="s">
        <v>110</v>
      </c>
      <c r="W87">
        <f>W80*W75</f>
        <v>106.27500000000001</v>
      </c>
      <c r="X87">
        <f t="shared" ref="X87:AF87" si="159">X80*X75</f>
        <v>130.80000000000001</v>
      </c>
      <c r="Y87">
        <f t="shared" si="159"/>
        <v>179.85</v>
      </c>
      <c r="Z87">
        <f t="shared" si="159"/>
        <v>228.9</v>
      </c>
      <c r="AA87">
        <f t="shared" si="159"/>
        <v>212.55</v>
      </c>
      <c r="AB87">
        <f t="shared" si="159"/>
        <v>245.25</v>
      </c>
      <c r="AC87">
        <f t="shared" si="159"/>
        <v>237.07499999999999</v>
      </c>
      <c r="AD87">
        <f t="shared" si="159"/>
        <v>261.60000000000002</v>
      </c>
      <c r="AE87">
        <f t="shared" si="159"/>
        <v>258.33</v>
      </c>
      <c r="AF87">
        <f t="shared" si="159"/>
        <v>277.95</v>
      </c>
      <c r="AJ87" t="s">
        <v>110</v>
      </c>
      <c r="AK87">
        <f>AK80*AK75</f>
        <v>179.85</v>
      </c>
      <c r="AL87">
        <f t="shared" ref="AL87:AT87" si="160">AL80*AL75</f>
        <v>228.9</v>
      </c>
      <c r="AM87">
        <f t="shared" si="160"/>
        <v>245.25</v>
      </c>
      <c r="AN87">
        <f t="shared" si="160"/>
        <v>261.60000000000002</v>
      </c>
      <c r="AO87">
        <f t="shared" si="160"/>
        <v>277.95</v>
      </c>
      <c r="AP87">
        <f t="shared" si="160"/>
        <v>294.3</v>
      </c>
      <c r="AQ87">
        <f t="shared" si="160"/>
        <v>310.64999999999998</v>
      </c>
      <c r="AR87">
        <f t="shared" si="160"/>
        <v>327</v>
      </c>
      <c r="AS87">
        <f t="shared" si="160"/>
        <v>343.35</v>
      </c>
      <c r="AT87">
        <f t="shared" si="160"/>
        <v>359.7</v>
      </c>
      <c r="AY87" t="s">
        <v>110</v>
      </c>
      <c r="AZ87">
        <f>AZ80*AZ75</f>
        <v>253.42500000000001</v>
      </c>
      <c r="BA87">
        <f t="shared" ref="BA87:BI87" si="161">BA80*BA75</f>
        <v>245.25</v>
      </c>
      <c r="BB87">
        <f t="shared" si="161"/>
        <v>258.33</v>
      </c>
      <c r="BC87">
        <f t="shared" si="161"/>
        <v>294.3</v>
      </c>
      <c r="BD87">
        <f t="shared" si="161"/>
        <v>314.73750000000001</v>
      </c>
      <c r="BE87">
        <f t="shared" si="161"/>
        <v>343.35</v>
      </c>
      <c r="BF87">
        <f t="shared" si="161"/>
        <v>367.13181818181818</v>
      </c>
      <c r="BG87">
        <f t="shared" si="161"/>
        <v>392.4</v>
      </c>
      <c r="BH87">
        <f t="shared" si="161"/>
        <v>418.09285714285716</v>
      </c>
      <c r="BI87">
        <f t="shared" si="161"/>
        <v>441.45</v>
      </c>
      <c r="BM87" t="s">
        <v>110</v>
      </c>
      <c r="BN87">
        <f>BN80*BN75</f>
        <v>294.3</v>
      </c>
      <c r="BO87">
        <f t="shared" ref="BO87:BW87" si="162">BO80*BO75</f>
        <v>277.95</v>
      </c>
      <c r="BP87">
        <f t="shared" si="162"/>
        <v>314.73750000000001</v>
      </c>
      <c r="BQ87">
        <f t="shared" si="162"/>
        <v>359.7</v>
      </c>
      <c r="BR87">
        <f t="shared" si="162"/>
        <v>401.20384615384614</v>
      </c>
      <c r="BS87">
        <f t="shared" si="162"/>
        <v>441.45</v>
      </c>
      <c r="BT87">
        <f t="shared" si="162"/>
        <v>485.04999999999995</v>
      </c>
      <c r="BU87">
        <f t="shared" si="162"/>
        <v>523.20000000000005</v>
      </c>
      <c r="BV87">
        <f t="shared" si="162"/>
        <v>567.9847826086957</v>
      </c>
      <c r="BW87">
        <f t="shared" si="162"/>
        <v>604.95000000000005</v>
      </c>
      <c r="CA87" t="s">
        <v>110</v>
      </c>
      <c r="CB87">
        <f>CB80*CB75</f>
        <v>302.47500000000002</v>
      </c>
      <c r="CC87">
        <f t="shared" ref="CC87:CK87" si="163">CC80*CC75</f>
        <v>314.73750000000001</v>
      </c>
      <c r="CD87">
        <f t="shared" si="163"/>
        <v>380.13749999999999</v>
      </c>
      <c r="CE87">
        <f t="shared" si="163"/>
        <v>441.45</v>
      </c>
      <c r="CF87">
        <f t="shared" si="163"/>
        <v>504.2684210526316</v>
      </c>
      <c r="CG87">
        <f t="shared" si="163"/>
        <v>567.9847826086957</v>
      </c>
      <c r="CH87">
        <f t="shared" si="163"/>
        <v>632.19999999999993</v>
      </c>
      <c r="CI87">
        <f t="shared" si="163"/>
        <v>686.7</v>
      </c>
      <c r="CJ87">
        <f t="shared" si="163"/>
        <v>750.65735294117644</v>
      </c>
      <c r="CK87">
        <f t="shared" si="163"/>
        <v>814.91842105263163</v>
      </c>
      <c r="CO87" t="s">
        <v>110</v>
      </c>
      <c r="CP87">
        <f>CP80*CP75</f>
        <v>343.35</v>
      </c>
      <c r="CQ87">
        <f t="shared" ref="CQ87:CY87" si="164">CQ80*CQ75</f>
        <v>359.7</v>
      </c>
      <c r="CR87">
        <f t="shared" si="164"/>
        <v>441.45</v>
      </c>
      <c r="CS87">
        <f t="shared" si="164"/>
        <v>523.20000000000005</v>
      </c>
      <c r="CT87">
        <f t="shared" si="164"/>
        <v>604.95000000000005</v>
      </c>
      <c r="CU87">
        <f t="shared" si="164"/>
        <v>686.7</v>
      </c>
      <c r="CV87">
        <f t="shared" si="164"/>
        <v>768.45</v>
      </c>
      <c r="CW87">
        <f t="shared" si="164"/>
        <v>850.2</v>
      </c>
      <c r="CX87">
        <f t="shared" si="164"/>
        <v>931.95</v>
      </c>
      <c r="CY87">
        <f t="shared" si="164"/>
        <v>1013.7</v>
      </c>
      <c r="DC87" t="s">
        <v>110</v>
      </c>
      <c r="DD87">
        <f>DD80*DD75</f>
        <v>465.97500000000002</v>
      </c>
      <c r="DE87">
        <f t="shared" ref="DE87:DM87" si="165">DE80*DE75</f>
        <v>457.8</v>
      </c>
      <c r="DF87">
        <f t="shared" si="165"/>
        <v>539.54999999999995</v>
      </c>
      <c r="DG87">
        <f t="shared" si="165"/>
        <v>621.29999999999995</v>
      </c>
      <c r="DH87">
        <f t="shared" si="165"/>
        <v>703.05</v>
      </c>
      <c r="DI87">
        <f t="shared" si="165"/>
        <v>784.8</v>
      </c>
      <c r="DJ87">
        <f t="shared" si="165"/>
        <v>866.55</v>
      </c>
      <c r="DK87">
        <f t="shared" si="165"/>
        <v>948.3</v>
      </c>
      <c r="DL87">
        <f t="shared" si="165"/>
        <v>1030.05</v>
      </c>
      <c r="DM87">
        <f t="shared" si="165"/>
        <v>1111.8</v>
      </c>
      <c r="DP87" t="s">
        <v>110</v>
      </c>
      <c r="DQ87">
        <f t="shared" ref="DQ87:DZ87" si="166">DQ79*DQ74</f>
        <v>588.6</v>
      </c>
      <c r="DR87">
        <f t="shared" si="166"/>
        <v>555.9</v>
      </c>
      <c r="DS87">
        <f t="shared" si="166"/>
        <v>637.65</v>
      </c>
      <c r="DT87">
        <f t="shared" si="166"/>
        <v>719.4</v>
      </c>
      <c r="DU87">
        <f t="shared" si="166"/>
        <v>801.15</v>
      </c>
      <c r="DV87">
        <f t="shared" si="166"/>
        <v>882.9</v>
      </c>
      <c r="DW87">
        <f t="shared" si="166"/>
        <v>964.65</v>
      </c>
      <c r="DX87">
        <f t="shared" si="166"/>
        <v>1046.4000000000001</v>
      </c>
      <c r="DY87">
        <f t="shared" si="166"/>
        <v>1128.1500000000001</v>
      </c>
      <c r="DZ87">
        <f t="shared" si="166"/>
        <v>1209.9000000000001</v>
      </c>
      <c r="EE87" t="s">
        <v>110</v>
      </c>
      <c r="EF87">
        <f>EF80*EF75</f>
        <v>833.85</v>
      </c>
      <c r="EG87">
        <f t="shared" ref="EG87:EO87" si="167">EG80*EG75</f>
        <v>752.1</v>
      </c>
      <c r="EH87">
        <f t="shared" si="167"/>
        <v>833.85</v>
      </c>
      <c r="EI87">
        <f t="shared" si="167"/>
        <v>915.6</v>
      </c>
      <c r="EJ87">
        <f t="shared" si="167"/>
        <v>997.35</v>
      </c>
      <c r="EK87">
        <f t="shared" si="167"/>
        <v>1079.0999999999999</v>
      </c>
      <c r="EL87">
        <f t="shared" si="167"/>
        <v>1160.8499999999999</v>
      </c>
      <c r="EM87">
        <f t="shared" si="167"/>
        <v>1242.5999999999999</v>
      </c>
      <c r="EN87">
        <f t="shared" si="167"/>
        <v>1324.35</v>
      </c>
      <c r="EO87">
        <f t="shared" si="167"/>
        <v>1406.1</v>
      </c>
      <c r="ES87" t="s">
        <v>110</v>
      </c>
      <c r="ET87">
        <f>ET80*ET75</f>
        <v>1079.0999999999999</v>
      </c>
      <c r="EU87">
        <f t="shared" ref="EU87:FC87" si="168">EU80*EU75</f>
        <v>948.3</v>
      </c>
      <c r="EV87">
        <f t="shared" si="168"/>
        <v>1030.05</v>
      </c>
      <c r="EW87">
        <f t="shared" si="168"/>
        <v>1111.8</v>
      </c>
      <c r="EX87">
        <f t="shared" si="168"/>
        <v>1193.55</v>
      </c>
      <c r="EY87">
        <f t="shared" si="168"/>
        <v>1275.3</v>
      </c>
      <c r="EZ87">
        <f t="shared" si="168"/>
        <v>1357.05</v>
      </c>
      <c r="FA87">
        <f t="shared" si="168"/>
        <v>1438.8</v>
      </c>
      <c r="FB87">
        <f t="shared" si="168"/>
        <v>1520.55</v>
      </c>
      <c r="FC87">
        <f t="shared" si="168"/>
        <v>1602.3</v>
      </c>
      <c r="FG87" t="s">
        <v>110</v>
      </c>
      <c r="FH87">
        <f t="shared" ref="FH87:FQ87" si="169">FH79*FH74</f>
        <v>1324.35</v>
      </c>
      <c r="FI87">
        <f t="shared" si="169"/>
        <v>1144.5</v>
      </c>
      <c r="FJ87">
        <f t="shared" si="169"/>
        <v>1226.25</v>
      </c>
      <c r="FK87">
        <f t="shared" si="169"/>
        <v>1308</v>
      </c>
      <c r="FL87">
        <f t="shared" si="169"/>
        <v>1389.75</v>
      </c>
      <c r="FM87">
        <f t="shared" si="169"/>
        <v>1471.5</v>
      </c>
      <c r="FN87">
        <f t="shared" si="169"/>
        <v>1553.25</v>
      </c>
      <c r="FO87">
        <f t="shared" si="169"/>
        <v>1635</v>
      </c>
      <c r="FP87">
        <f t="shared" si="169"/>
        <v>1716.75</v>
      </c>
      <c r="FQ87">
        <f t="shared" si="169"/>
        <v>1798.5</v>
      </c>
      <c r="FU87" t="s">
        <v>110</v>
      </c>
      <c r="FV87">
        <f t="shared" ref="FV87:GE87" si="170">FV79*FV74</f>
        <v>1569.6</v>
      </c>
      <c r="FW87">
        <f t="shared" si="170"/>
        <v>1340.7</v>
      </c>
      <c r="FX87">
        <f t="shared" si="170"/>
        <v>1422.45</v>
      </c>
      <c r="FY87">
        <f t="shared" si="170"/>
        <v>1504.2</v>
      </c>
      <c r="FZ87">
        <f t="shared" si="170"/>
        <v>1585.95</v>
      </c>
      <c r="GA87">
        <f t="shared" si="170"/>
        <v>1667.7</v>
      </c>
      <c r="GB87">
        <f t="shared" si="170"/>
        <v>1749.45</v>
      </c>
      <c r="GC87">
        <f t="shared" si="170"/>
        <v>1831.2</v>
      </c>
      <c r="GD87">
        <f t="shared" si="170"/>
        <v>1912.95</v>
      </c>
      <c r="GE87">
        <f t="shared" si="170"/>
        <v>1994.7</v>
      </c>
      <c r="GI87" t="s">
        <v>110</v>
      </c>
      <c r="GJ87">
        <f>GJ80*GJ75</f>
        <v>2060.1</v>
      </c>
      <c r="GK87">
        <f t="shared" ref="GK87:GS87" si="171">GK80*GK75</f>
        <v>1733.1</v>
      </c>
      <c r="GL87">
        <f t="shared" si="171"/>
        <v>1814.85</v>
      </c>
      <c r="GM87">
        <f t="shared" si="171"/>
        <v>1896.6</v>
      </c>
      <c r="GN87">
        <f t="shared" si="171"/>
        <v>1978.35</v>
      </c>
      <c r="GO87">
        <f t="shared" si="171"/>
        <v>2060.1</v>
      </c>
      <c r="GP87">
        <f t="shared" si="171"/>
        <v>2141.85</v>
      </c>
      <c r="GQ87">
        <f t="shared" si="171"/>
        <v>2223.6</v>
      </c>
      <c r="GR87">
        <f t="shared" si="171"/>
        <v>2305.35</v>
      </c>
      <c r="GS87">
        <f t="shared" si="171"/>
        <v>2387.1</v>
      </c>
      <c r="GW87" t="s">
        <v>110</v>
      </c>
      <c r="GX87">
        <f>GX80*GX75</f>
        <v>2550.6</v>
      </c>
      <c r="GY87">
        <f t="shared" ref="GY87:HG87" si="172">GY80*GY75</f>
        <v>2125.5</v>
      </c>
      <c r="GZ87">
        <f t="shared" si="172"/>
        <v>2207.25</v>
      </c>
      <c r="HA87">
        <f t="shared" si="172"/>
        <v>2289</v>
      </c>
      <c r="HB87">
        <f t="shared" si="172"/>
        <v>2370.75</v>
      </c>
      <c r="HC87">
        <f t="shared" si="172"/>
        <v>2452.5</v>
      </c>
      <c r="HD87">
        <f t="shared" si="172"/>
        <v>2534.25</v>
      </c>
      <c r="HE87">
        <f t="shared" si="172"/>
        <v>2616</v>
      </c>
      <c r="HF87">
        <f t="shared" si="172"/>
        <v>2697.75</v>
      </c>
      <c r="HG87">
        <f t="shared" si="172"/>
        <v>2779.5</v>
      </c>
    </row>
    <row r="88" spans="7:230" x14ac:dyDescent="0.25">
      <c r="G88" t="s">
        <v>112</v>
      </c>
      <c r="H88">
        <f t="shared" si="158"/>
        <v>18.768750000000001</v>
      </c>
      <c r="I88">
        <f t="shared" si="158"/>
        <v>22.424999999999997</v>
      </c>
      <c r="J88">
        <f t="shared" si="158"/>
        <v>29.737499999999997</v>
      </c>
      <c r="K88">
        <f t="shared" si="158"/>
        <v>37.04999999999999</v>
      </c>
      <c r="L88">
        <f t="shared" si="158"/>
        <v>44.36249999999999</v>
      </c>
      <c r="M88">
        <f t="shared" si="158"/>
        <v>51.67499999999999</v>
      </c>
      <c r="N88">
        <f t="shared" si="158"/>
        <v>58.98749999999999</v>
      </c>
      <c r="O88">
        <f t="shared" si="158"/>
        <v>66.3</v>
      </c>
      <c r="P88">
        <f t="shared" si="158"/>
        <v>73.612499999999997</v>
      </c>
      <c r="Q88">
        <f t="shared" si="158"/>
        <v>80.924999999999997</v>
      </c>
      <c r="V88" t="s">
        <v>14</v>
      </c>
      <c r="W88">
        <f t="shared" ref="W88:AF90" si="173">W81*W76</f>
        <v>145.88816212475999</v>
      </c>
      <c r="X88">
        <f t="shared" si="173"/>
        <v>181.76230035216</v>
      </c>
      <c r="Y88">
        <f t="shared" si="173"/>
        <v>253.51057680695999</v>
      </c>
      <c r="Z88">
        <f t="shared" si="173"/>
        <v>325.25885326176001</v>
      </c>
      <c r="AA88">
        <f t="shared" si="173"/>
        <v>376.27984985184008</v>
      </c>
      <c r="AB88">
        <f t="shared" si="173"/>
        <v>440.05609558943996</v>
      </c>
      <c r="AC88">
        <f t="shared" si="173"/>
        <v>495.06310753811999</v>
      </c>
      <c r="AD88">
        <f t="shared" si="173"/>
        <v>554.85333791712003</v>
      </c>
      <c r="AE88">
        <f t="shared" si="173"/>
        <v>612.25195908096009</v>
      </c>
      <c r="AF88">
        <f t="shared" si="173"/>
        <v>669.65058024480004</v>
      </c>
      <c r="AJ88" t="s">
        <v>14</v>
      </c>
      <c r="AK88">
        <f t="shared" ref="AK88:AT90" si="174">AK81*AK76</f>
        <v>253.51057680695999</v>
      </c>
      <c r="AL88">
        <f t="shared" si="174"/>
        <v>325.25885326176001</v>
      </c>
      <c r="AM88">
        <f t="shared" si="174"/>
        <v>440.05609558943996</v>
      </c>
      <c r="AN88">
        <f t="shared" si="174"/>
        <v>554.85333791712003</v>
      </c>
      <c r="AO88">
        <f t="shared" si="174"/>
        <v>669.65058024480004</v>
      </c>
      <c r="AP88">
        <f t="shared" si="174"/>
        <v>784.44782257247994</v>
      </c>
      <c r="AQ88">
        <f t="shared" si="174"/>
        <v>899.24506490016006</v>
      </c>
      <c r="AR88">
        <f t="shared" si="174"/>
        <v>1014.04230722784</v>
      </c>
      <c r="AS88">
        <f t="shared" si="174"/>
        <v>1128.8395495555201</v>
      </c>
      <c r="AT88">
        <f t="shared" si="174"/>
        <v>1243.6367918832</v>
      </c>
      <c r="AY88" t="s">
        <v>14</v>
      </c>
      <c r="AZ88">
        <f t="shared" ref="AZ88:BI90" si="175">AZ81*AZ76</f>
        <v>361.13299148916002</v>
      </c>
      <c r="BA88">
        <f t="shared" si="175"/>
        <v>440.05609558943996</v>
      </c>
      <c r="BB88">
        <f t="shared" si="175"/>
        <v>612.25195908096009</v>
      </c>
      <c r="BC88">
        <f t="shared" si="175"/>
        <v>784.44782257247994</v>
      </c>
      <c r="BD88">
        <f t="shared" si="175"/>
        <v>960.23109988674003</v>
      </c>
      <c r="BE88">
        <f t="shared" si="175"/>
        <v>1128.8395495555201</v>
      </c>
      <c r="BF88">
        <f t="shared" si="175"/>
        <v>1306.2534695164802</v>
      </c>
      <c r="BG88">
        <f t="shared" si="175"/>
        <v>1473.23127653856</v>
      </c>
      <c r="BH88">
        <f t="shared" si="175"/>
        <v>1651.5769922976344</v>
      </c>
      <c r="BI88">
        <f t="shared" si="175"/>
        <v>1817.6230035216001</v>
      </c>
      <c r="BM88" t="s">
        <v>14</v>
      </c>
      <c r="BN88">
        <f t="shared" ref="BN88:BW90" si="176">BN81*BN76</f>
        <v>535.72046419584001</v>
      </c>
      <c r="BO88">
        <f t="shared" si="176"/>
        <v>669.65058024480004</v>
      </c>
      <c r="BP88">
        <f t="shared" si="176"/>
        <v>960.23109988674003</v>
      </c>
      <c r="BQ88">
        <f t="shared" si="176"/>
        <v>1243.6367918832</v>
      </c>
      <c r="BR88">
        <f t="shared" si="176"/>
        <v>1536.5169357704863</v>
      </c>
      <c r="BS88">
        <f t="shared" si="176"/>
        <v>1817.6230035216001</v>
      </c>
      <c r="BT88">
        <f t="shared" si="176"/>
        <v>2111.52520262904</v>
      </c>
      <c r="BU88">
        <f t="shared" si="176"/>
        <v>2391.6092151600001</v>
      </c>
      <c r="BV88">
        <f t="shared" si="176"/>
        <v>2686.0890976527448</v>
      </c>
      <c r="BW88">
        <f t="shared" si="176"/>
        <v>2965.5954267984002</v>
      </c>
      <c r="CA88" t="s">
        <v>14</v>
      </c>
      <c r="CB88">
        <f t="shared" ref="CB88:CK90" si="177">CB81*CB76</f>
        <v>741.39885669960006</v>
      </c>
      <c r="CC88">
        <f t="shared" si="177"/>
        <v>960.23109988674003</v>
      </c>
      <c r="CD88">
        <f t="shared" si="177"/>
        <v>1395.50397704586</v>
      </c>
      <c r="CE88">
        <f t="shared" si="177"/>
        <v>1817.6230035216001</v>
      </c>
      <c r="CF88">
        <f t="shared" si="177"/>
        <v>2251.6371389885308</v>
      </c>
      <c r="CG88">
        <f t="shared" si="177"/>
        <v>2686.0890976527448</v>
      </c>
      <c r="CH88">
        <f t="shared" si="177"/>
        <v>3120.7842914265598</v>
      </c>
      <c r="CI88">
        <f t="shared" si="177"/>
        <v>3539.5816384367999</v>
      </c>
      <c r="CJ88">
        <f t="shared" si="177"/>
        <v>3974.1511011208736</v>
      </c>
      <c r="CK88">
        <f t="shared" si="177"/>
        <v>4408.8686510628504</v>
      </c>
      <c r="CO88" t="s">
        <v>14</v>
      </c>
      <c r="CP88">
        <f t="shared" ref="CP88:CY90" si="178">CP81*CP76</f>
        <v>951.86046763367995</v>
      </c>
      <c r="CQ88">
        <f t="shared" si="178"/>
        <v>1243.6367918832</v>
      </c>
      <c r="CR88">
        <f t="shared" si="178"/>
        <v>1817.6230035216001</v>
      </c>
      <c r="CS88">
        <f t="shared" si="178"/>
        <v>2391.6092151600001</v>
      </c>
      <c r="CT88">
        <f t="shared" si="178"/>
        <v>2965.5954267984002</v>
      </c>
      <c r="CU88">
        <f t="shared" si="178"/>
        <v>3539.5816384367999</v>
      </c>
      <c r="CV88">
        <f t="shared" si="178"/>
        <v>4113.5678500752001</v>
      </c>
      <c r="CW88">
        <f t="shared" si="178"/>
        <v>4687.5540617136003</v>
      </c>
      <c r="CX88">
        <f t="shared" si="178"/>
        <v>5261.5402733520004</v>
      </c>
      <c r="CY88">
        <f t="shared" si="178"/>
        <v>5835.5264849904006</v>
      </c>
      <c r="DC88" t="s">
        <v>14</v>
      </c>
      <c r="DD88">
        <f t="shared" ref="DD88:DM88" si="179">DD81*DD76</f>
        <v>1370.3920802866801</v>
      </c>
      <c r="DE88">
        <f t="shared" si="179"/>
        <v>1769.7908192184</v>
      </c>
      <c r="DF88">
        <f t="shared" si="179"/>
        <v>2582.9379523728003</v>
      </c>
      <c r="DG88">
        <f t="shared" si="179"/>
        <v>3396.0850855272001</v>
      </c>
      <c r="DH88">
        <f t="shared" si="179"/>
        <v>4209.2322186816</v>
      </c>
      <c r="DI88">
        <f t="shared" si="179"/>
        <v>5022.3793518359998</v>
      </c>
      <c r="DJ88">
        <f t="shared" si="179"/>
        <v>5835.5264849904006</v>
      </c>
      <c r="DK88">
        <f t="shared" si="179"/>
        <v>6648.6736181448005</v>
      </c>
      <c r="DL88">
        <f t="shared" si="179"/>
        <v>7461.8207512992003</v>
      </c>
      <c r="DM88">
        <f t="shared" si="179"/>
        <v>8274.9678844536011</v>
      </c>
      <c r="DP88" t="s">
        <v>14</v>
      </c>
      <c r="DQ88">
        <f t="shared" ref="DQ88:DZ88" si="180">DQ80*DQ75</f>
        <v>1788.92369293968</v>
      </c>
      <c r="DR88">
        <f t="shared" si="180"/>
        <v>2295.9448465536002</v>
      </c>
      <c r="DS88">
        <f t="shared" si="180"/>
        <v>3348.2529012240002</v>
      </c>
      <c r="DT88">
        <f t="shared" si="180"/>
        <v>4400.5609558943997</v>
      </c>
      <c r="DU88">
        <f t="shared" si="180"/>
        <v>5452.8690105648002</v>
      </c>
      <c r="DV88">
        <f t="shared" si="180"/>
        <v>6505.1770652352006</v>
      </c>
      <c r="DW88">
        <f t="shared" si="180"/>
        <v>7557.4851199056002</v>
      </c>
      <c r="DX88">
        <f t="shared" si="180"/>
        <v>8609.7931745759997</v>
      </c>
      <c r="DY88">
        <f t="shared" si="180"/>
        <v>9662.1012292464002</v>
      </c>
      <c r="DZ88">
        <f t="shared" si="180"/>
        <v>10714.409283916801</v>
      </c>
      <c r="EE88" t="s">
        <v>14</v>
      </c>
      <c r="EF88">
        <f t="shared" ref="EF88:EO90" si="181">EF81*EF76</f>
        <v>2625.98691824568</v>
      </c>
      <c r="EG88">
        <f t="shared" si="181"/>
        <v>3348.2529012240002</v>
      </c>
      <c r="EH88">
        <f t="shared" si="181"/>
        <v>4878.8827989264</v>
      </c>
      <c r="EI88">
        <f t="shared" si="181"/>
        <v>6409.5126966287999</v>
      </c>
      <c r="EJ88">
        <f t="shared" si="181"/>
        <v>7940.1425943312006</v>
      </c>
      <c r="EK88">
        <f t="shared" si="181"/>
        <v>9470.7724920336004</v>
      </c>
      <c r="EL88">
        <f t="shared" si="181"/>
        <v>11001.402389736</v>
      </c>
      <c r="EM88">
        <f t="shared" si="181"/>
        <v>12532.0322874384</v>
      </c>
      <c r="EN88">
        <f t="shared" si="181"/>
        <v>14062.6621851408</v>
      </c>
      <c r="EO88">
        <f t="shared" si="181"/>
        <v>15593.2920828432</v>
      </c>
      <c r="ES88" t="s">
        <v>14</v>
      </c>
      <c r="ET88">
        <f t="shared" ref="ET88:FC90" si="182">ET81*ET76</f>
        <v>3463.0501435516803</v>
      </c>
      <c r="EU88">
        <f t="shared" si="182"/>
        <v>4400.5609558943997</v>
      </c>
      <c r="EV88">
        <f t="shared" si="182"/>
        <v>6409.5126966287999</v>
      </c>
      <c r="EW88">
        <f t="shared" si="182"/>
        <v>8418.4644373632</v>
      </c>
      <c r="EX88">
        <f t="shared" si="182"/>
        <v>10427.416178097601</v>
      </c>
      <c r="EY88">
        <f t="shared" si="182"/>
        <v>12436.367918832</v>
      </c>
      <c r="EZ88">
        <f t="shared" si="182"/>
        <v>14445.319659566401</v>
      </c>
      <c r="FA88">
        <f t="shared" si="182"/>
        <v>16454.2714003008</v>
      </c>
      <c r="FB88">
        <f t="shared" si="182"/>
        <v>18463.2231410352</v>
      </c>
      <c r="FC88">
        <f t="shared" si="182"/>
        <v>20472.174881769603</v>
      </c>
      <c r="FG88" t="s">
        <v>14</v>
      </c>
      <c r="FH88">
        <f t="shared" ref="FH88:FQ88" si="183">FH80*FH75</f>
        <v>4300.1133688576801</v>
      </c>
      <c r="FI88">
        <f t="shared" si="183"/>
        <v>5452.8690105648002</v>
      </c>
      <c r="FJ88">
        <f t="shared" si="183"/>
        <v>7940.1425943312006</v>
      </c>
      <c r="FK88">
        <f t="shared" si="183"/>
        <v>10427.416178097601</v>
      </c>
      <c r="FL88">
        <f t="shared" si="183"/>
        <v>12914.689761864</v>
      </c>
      <c r="FM88">
        <f t="shared" si="183"/>
        <v>15401.9633456304</v>
      </c>
      <c r="FN88">
        <f t="shared" si="183"/>
        <v>17889.2369293968</v>
      </c>
      <c r="FO88">
        <f t="shared" si="183"/>
        <v>20376.510513163201</v>
      </c>
      <c r="FP88">
        <f t="shared" si="183"/>
        <v>22863.784096929601</v>
      </c>
      <c r="FQ88">
        <f t="shared" si="183"/>
        <v>25351.057680696002</v>
      </c>
      <c r="FU88" t="s">
        <v>14</v>
      </c>
      <c r="FV88">
        <f t="shared" ref="FV88:GE88" si="184">FV80*FV75</f>
        <v>5137.1765941636804</v>
      </c>
      <c r="FW88">
        <f t="shared" si="184"/>
        <v>6505.1770652352006</v>
      </c>
      <c r="FX88">
        <f t="shared" si="184"/>
        <v>9470.7724920336004</v>
      </c>
      <c r="FY88">
        <f t="shared" si="184"/>
        <v>12436.367918832</v>
      </c>
      <c r="FZ88">
        <f t="shared" si="184"/>
        <v>15401.9633456304</v>
      </c>
      <c r="GA88">
        <f t="shared" si="184"/>
        <v>18367.558772428802</v>
      </c>
      <c r="GB88">
        <f t="shared" si="184"/>
        <v>21333.1541992272</v>
      </c>
      <c r="GC88">
        <f t="shared" si="184"/>
        <v>24298.749626025601</v>
      </c>
      <c r="GD88">
        <f t="shared" si="184"/>
        <v>27264.345052824003</v>
      </c>
      <c r="GE88">
        <f t="shared" si="184"/>
        <v>30229.940479622401</v>
      </c>
      <c r="GI88" t="s">
        <v>14</v>
      </c>
      <c r="GJ88">
        <f t="shared" ref="GJ88:GS90" si="185">GJ81*GJ76</f>
        <v>6811.303044775681</v>
      </c>
      <c r="GK88">
        <f t="shared" si="185"/>
        <v>8609.7931745759997</v>
      </c>
      <c r="GL88">
        <f t="shared" si="185"/>
        <v>12532.0322874384</v>
      </c>
      <c r="GM88">
        <f t="shared" si="185"/>
        <v>16454.2714003008</v>
      </c>
      <c r="GN88">
        <f t="shared" si="185"/>
        <v>20376.510513163201</v>
      </c>
      <c r="GO88">
        <f t="shared" si="185"/>
        <v>24298.749626025601</v>
      </c>
      <c r="GP88">
        <f t="shared" si="185"/>
        <v>28220.988738888002</v>
      </c>
      <c r="GQ88">
        <f t="shared" si="185"/>
        <v>32143.227851750402</v>
      </c>
      <c r="GR88">
        <f t="shared" si="185"/>
        <v>36065.466964612802</v>
      </c>
      <c r="GS88">
        <f t="shared" si="185"/>
        <v>39987.706077475203</v>
      </c>
      <c r="GW88" t="s">
        <v>14</v>
      </c>
      <c r="GX88">
        <f t="shared" ref="GX88:HG90" si="186">GX81*GX76</f>
        <v>8485.4294953876797</v>
      </c>
      <c r="GY88">
        <f t="shared" si="186"/>
        <v>10714.409283916801</v>
      </c>
      <c r="GZ88">
        <f t="shared" si="186"/>
        <v>15593.2920828432</v>
      </c>
      <c r="HA88">
        <f t="shared" si="186"/>
        <v>20472.174881769603</v>
      </c>
      <c r="HB88">
        <f t="shared" si="186"/>
        <v>25351.057680696002</v>
      </c>
      <c r="HC88">
        <f t="shared" si="186"/>
        <v>30229.940479622401</v>
      </c>
      <c r="HD88">
        <f t="shared" si="186"/>
        <v>35108.8232785488</v>
      </c>
      <c r="HE88">
        <f t="shared" si="186"/>
        <v>39987.706077475203</v>
      </c>
      <c r="HF88">
        <f t="shared" si="186"/>
        <v>44866.588876401598</v>
      </c>
      <c r="HG88">
        <f t="shared" si="186"/>
        <v>49745.471675328001</v>
      </c>
    </row>
    <row r="89" spans="7:230" x14ac:dyDescent="0.25">
      <c r="V89" t="s">
        <v>111</v>
      </c>
      <c r="W89">
        <f t="shared" si="173"/>
        <v>279.97953408658248</v>
      </c>
      <c r="X89">
        <f t="shared" si="173"/>
        <v>348.82696050131585</v>
      </c>
      <c r="Y89">
        <f t="shared" si="173"/>
        <v>486.52181333078266</v>
      </c>
      <c r="Z89">
        <f t="shared" si="173"/>
        <v>624.21666616024947</v>
      </c>
      <c r="AA89">
        <f t="shared" si="173"/>
        <v>722.13300595009264</v>
      </c>
      <c r="AB89">
        <f t="shared" si="173"/>
        <v>844.52843068739628</v>
      </c>
      <c r="AC89">
        <f t="shared" si="173"/>
        <v>950.09448452332083</v>
      </c>
      <c r="AD89">
        <f t="shared" si="173"/>
        <v>1064.8401952145432</v>
      </c>
      <c r="AE89">
        <f t="shared" si="173"/>
        <v>1174.9960774781166</v>
      </c>
      <c r="AF89">
        <f t="shared" si="173"/>
        <v>1285.15195974169</v>
      </c>
      <c r="AJ89" t="s">
        <v>111</v>
      </c>
      <c r="AK89">
        <f t="shared" si="174"/>
        <v>486.52181333078266</v>
      </c>
      <c r="AL89">
        <f t="shared" si="174"/>
        <v>624.21666616024947</v>
      </c>
      <c r="AM89">
        <f t="shared" si="174"/>
        <v>844.52843068739628</v>
      </c>
      <c r="AN89">
        <f t="shared" si="174"/>
        <v>1064.8401952145432</v>
      </c>
      <c r="AO89">
        <f t="shared" si="174"/>
        <v>1285.15195974169</v>
      </c>
      <c r="AP89">
        <f t="shared" si="174"/>
        <v>1505.4637242688368</v>
      </c>
      <c r="AQ89">
        <f t="shared" si="174"/>
        <v>1725.7754887959838</v>
      </c>
      <c r="AR89">
        <f t="shared" si="174"/>
        <v>1946.0872533231307</v>
      </c>
      <c r="AS89">
        <f t="shared" si="174"/>
        <v>2166.3990178502777</v>
      </c>
      <c r="AT89">
        <f t="shared" si="174"/>
        <v>2386.7107823774245</v>
      </c>
      <c r="AY89" t="s">
        <v>111</v>
      </c>
      <c r="AZ89">
        <f t="shared" si="175"/>
        <v>693.06409257498285</v>
      </c>
      <c r="BA89">
        <f t="shared" si="175"/>
        <v>844.52843068739628</v>
      </c>
      <c r="BB89">
        <f t="shared" si="175"/>
        <v>1174.9960774781166</v>
      </c>
      <c r="BC89">
        <f t="shared" si="175"/>
        <v>1505.4637242688368</v>
      </c>
      <c r="BD89">
        <f t="shared" si="175"/>
        <v>1842.8161137010306</v>
      </c>
      <c r="BE89">
        <f t="shared" si="175"/>
        <v>2166.3990178502777</v>
      </c>
      <c r="BF89">
        <f t="shared" si="175"/>
        <v>2506.8808357558682</v>
      </c>
      <c r="BG89">
        <f t="shared" si="175"/>
        <v>2827.3343114317181</v>
      </c>
      <c r="BH89">
        <f t="shared" si="175"/>
        <v>3169.60437417925</v>
      </c>
      <c r="BI89">
        <f t="shared" si="175"/>
        <v>3488.2696050131585</v>
      </c>
      <c r="BM89" t="s">
        <v>111</v>
      </c>
      <c r="BN89">
        <f t="shared" si="176"/>
        <v>1028.1215677933519</v>
      </c>
      <c r="BO89">
        <f t="shared" si="176"/>
        <v>1285.15195974169</v>
      </c>
      <c r="BP89">
        <f t="shared" si="176"/>
        <v>1842.8161137010306</v>
      </c>
      <c r="BQ89">
        <f t="shared" si="176"/>
        <v>2386.7107823774245</v>
      </c>
      <c r="BR89">
        <f t="shared" si="176"/>
        <v>2948.7882329018116</v>
      </c>
      <c r="BS89">
        <f t="shared" si="176"/>
        <v>3488.2696050131585</v>
      </c>
      <c r="BT89">
        <f t="shared" si="176"/>
        <v>4052.3085206775672</v>
      </c>
      <c r="BU89">
        <f t="shared" si="176"/>
        <v>4589.828427648893</v>
      </c>
      <c r="BV89">
        <f t="shared" si="176"/>
        <v>5154.975997522879</v>
      </c>
      <c r="BW89">
        <f t="shared" si="176"/>
        <v>5691.387250284627</v>
      </c>
      <c r="CA89" t="s">
        <v>111</v>
      </c>
      <c r="CB89">
        <f t="shared" si="177"/>
        <v>1422.8468125711568</v>
      </c>
      <c r="CC89">
        <f t="shared" si="177"/>
        <v>1842.8161137010306</v>
      </c>
      <c r="CD89">
        <f t="shared" si="177"/>
        <v>2678.1648875331289</v>
      </c>
      <c r="CE89">
        <f t="shared" si="177"/>
        <v>3488.2696050131585</v>
      </c>
      <c r="CF89">
        <f t="shared" si="177"/>
        <v>4321.2026796728105</v>
      </c>
      <c r="CG89">
        <f t="shared" si="177"/>
        <v>5154.975997522879</v>
      </c>
      <c r="CH89">
        <f t="shared" si="177"/>
        <v>5989.216117145399</v>
      </c>
      <c r="CI89">
        <f t="shared" si="177"/>
        <v>6792.946072920362</v>
      </c>
      <c r="CJ89">
        <f t="shared" si="177"/>
        <v>7626.9448972149175</v>
      </c>
      <c r="CK89">
        <f t="shared" si="177"/>
        <v>8461.2279214121118</v>
      </c>
      <c r="CO89" t="s">
        <v>111</v>
      </c>
      <c r="CP89">
        <f t="shared" si="178"/>
        <v>1826.7517142042593</v>
      </c>
      <c r="CQ89">
        <f t="shared" si="178"/>
        <v>2386.7107823774245</v>
      </c>
      <c r="CR89">
        <f t="shared" si="178"/>
        <v>3488.2696050131585</v>
      </c>
      <c r="CS89">
        <f t="shared" si="178"/>
        <v>4589.828427648893</v>
      </c>
      <c r="CT89">
        <f t="shared" si="178"/>
        <v>5691.387250284627</v>
      </c>
      <c r="CU89">
        <f t="shared" si="178"/>
        <v>6792.946072920362</v>
      </c>
      <c r="CV89">
        <f t="shared" si="178"/>
        <v>7894.504895556096</v>
      </c>
      <c r="CW89">
        <f t="shared" si="178"/>
        <v>8996.06371819183</v>
      </c>
      <c r="CX89">
        <f t="shared" si="178"/>
        <v>10097.622540827564</v>
      </c>
      <c r="CY89">
        <f t="shared" si="178"/>
        <v>11199.181363463298</v>
      </c>
      <c r="DC89" t="s">
        <v>111</v>
      </c>
      <c r="DD89">
        <f t="shared" ref="DD89:DM89" si="187">DD82*DD77</f>
        <v>2629.9716890428158</v>
      </c>
      <c r="DE89">
        <f t="shared" si="187"/>
        <v>3396.473036460181</v>
      </c>
      <c r="DF89">
        <f t="shared" si="187"/>
        <v>4957.0147018608041</v>
      </c>
      <c r="DG89">
        <f t="shared" si="187"/>
        <v>6517.556367261428</v>
      </c>
      <c r="DH89">
        <f t="shared" si="187"/>
        <v>8078.098032662052</v>
      </c>
      <c r="DI89">
        <f t="shared" si="187"/>
        <v>9638.639698062676</v>
      </c>
      <c r="DJ89">
        <f t="shared" si="187"/>
        <v>11199.181363463298</v>
      </c>
      <c r="DK89">
        <f t="shared" si="187"/>
        <v>12759.723028863922</v>
      </c>
      <c r="DL89">
        <f t="shared" si="187"/>
        <v>14320.264694264546</v>
      </c>
      <c r="DM89">
        <f t="shared" si="187"/>
        <v>15880.80635966517</v>
      </c>
      <c r="DP89" t="s">
        <v>111</v>
      </c>
      <c r="DQ89">
        <f t="shared" ref="DQ89:DZ89" si="188">DQ81*DQ76</f>
        <v>3433.1916638813718</v>
      </c>
      <c r="DR89">
        <f t="shared" si="188"/>
        <v>4406.235290542937</v>
      </c>
      <c r="DS89">
        <f t="shared" si="188"/>
        <v>6425.75979870845</v>
      </c>
      <c r="DT89">
        <f t="shared" si="188"/>
        <v>8445.2843068739639</v>
      </c>
      <c r="DU89">
        <f t="shared" si="188"/>
        <v>10464.808815039476</v>
      </c>
      <c r="DV89">
        <f t="shared" si="188"/>
        <v>12484.333323204988</v>
      </c>
      <c r="DW89">
        <f t="shared" si="188"/>
        <v>14503.857831370502</v>
      </c>
      <c r="DX89">
        <f t="shared" si="188"/>
        <v>16523.382339536016</v>
      </c>
      <c r="DY89">
        <f t="shared" si="188"/>
        <v>18542.906847701528</v>
      </c>
      <c r="DZ89">
        <f t="shared" si="188"/>
        <v>20562.43135586704</v>
      </c>
      <c r="EE89" t="s">
        <v>111</v>
      </c>
      <c r="EF89">
        <f t="shared" si="181"/>
        <v>5039.6316135584848</v>
      </c>
      <c r="EG89">
        <f t="shared" si="181"/>
        <v>6425.75979870845</v>
      </c>
      <c r="EH89">
        <f t="shared" si="181"/>
        <v>9363.249992403742</v>
      </c>
      <c r="EI89">
        <f t="shared" si="181"/>
        <v>12300.740186099034</v>
      </c>
      <c r="EJ89">
        <f t="shared" si="181"/>
        <v>15238.230379794324</v>
      </c>
      <c r="EK89">
        <f t="shared" si="181"/>
        <v>18175.720573489616</v>
      </c>
      <c r="EL89">
        <f t="shared" si="181"/>
        <v>21113.210767184908</v>
      </c>
      <c r="EM89">
        <f t="shared" si="181"/>
        <v>24050.7009608802</v>
      </c>
      <c r="EN89">
        <f t="shared" si="181"/>
        <v>26988.191154575492</v>
      </c>
      <c r="EO89">
        <f t="shared" si="181"/>
        <v>29925.681348270784</v>
      </c>
      <c r="ES89" t="s">
        <v>111</v>
      </c>
      <c r="ET89">
        <f t="shared" si="182"/>
        <v>6646.0715632355968</v>
      </c>
      <c r="EU89">
        <f t="shared" si="182"/>
        <v>8445.2843068739639</v>
      </c>
      <c r="EV89">
        <f t="shared" si="182"/>
        <v>12300.740186099034</v>
      </c>
      <c r="EW89">
        <f t="shared" si="182"/>
        <v>16156.196065324104</v>
      </c>
      <c r="EX89">
        <f t="shared" si="182"/>
        <v>20011.651944549172</v>
      </c>
      <c r="EY89">
        <f t="shared" si="182"/>
        <v>23867.107823774244</v>
      </c>
      <c r="EZ89">
        <f t="shared" si="182"/>
        <v>27722.563702999312</v>
      </c>
      <c r="FA89">
        <f t="shared" si="182"/>
        <v>31578.019582224384</v>
      </c>
      <c r="FB89">
        <f t="shared" si="182"/>
        <v>35433.475461449452</v>
      </c>
      <c r="FC89">
        <f t="shared" si="182"/>
        <v>39288.93134067452</v>
      </c>
      <c r="FG89" t="s">
        <v>111</v>
      </c>
      <c r="FH89">
        <f t="shared" ref="FH89:FQ89" si="189">FH81*FH76</f>
        <v>8252.5115129127098</v>
      </c>
      <c r="FI89">
        <f t="shared" si="189"/>
        <v>10464.808815039476</v>
      </c>
      <c r="FJ89">
        <f t="shared" si="189"/>
        <v>15238.230379794324</v>
      </c>
      <c r="FK89">
        <f t="shared" si="189"/>
        <v>20011.651944549172</v>
      </c>
      <c r="FL89">
        <f t="shared" si="189"/>
        <v>24785.073509304024</v>
      </c>
      <c r="FM89">
        <f t="shared" si="189"/>
        <v>29558.495074058872</v>
      </c>
      <c r="FN89">
        <f t="shared" si="189"/>
        <v>34331.916638813716</v>
      </c>
      <c r="FO89">
        <f t="shared" si="189"/>
        <v>39105.338203568572</v>
      </c>
      <c r="FP89">
        <f t="shared" si="189"/>
        <v>43878.75976832342</v>
      </c>
      <c r="FQ89">
        <f t="shared" si="189"/>
        <v>48652.181333078268</v>
      </c>
      <c r="FU89" t="s">
        <v>111</v>
      </c>
      <c r="FV89">
        <f t="shared" ref="FV89:GE89" si="190">FV81*FV76</f>
        <v>9858.9514625898228</v>
      </c>
      <c r="FW89">
        <f t="shared" si="190"/>
        <v>12484.333323204988</v>
      </c>
      <c r="FX89">
        <f t="shared" si="190"/>
        <v>18175.720573489616</v>
      </c>
      <c r="FY89">
        <f t="shared" si="190"/>
        <v>23867.107823774244</v>
      </c>
      <c r="FZ89">
        <f t="shared" si="190"/>
        <v>29558.495074058872</v>
      </c>
      <c r="GA89">
        <f t="shared" si="190"/>
        <v>35249.882324343496</v>
      </c>
      <c r="GB89">
        <f t="shared" si="190"/>
        <v>40941.269574628124</v>
      </c>
      <c r="GC89">
        <f t="shared" si="190"/>
        <v>46632.656824912752</v>
      </c>
      <c r="GD89">
        <f t="shared" si="190"/>
        <v>52324.04407519738</v>
      </c>
      <c r="GE89">
        <f t="shared" si="190"/>
        <v>58015.431325482008</v>
      </c>
      <c r="GI89" t="s">
        <v>111</v>
      </c>
      <c r="GJ89">
        <f t="shared" si="185"/>
        <v>13071.831361944047</v>
      </c>
      <c r="GK89">
        <f t="shared" si="185"/>
        <v>16523.382339536016</v>
      </c>
      <c r="GL89">
        <f t="shared" si="185"/>
        <v>24050.7009608802</v>
      </c>
      <c r="GM89">
        <f t="shared" si="185"/>
        <v>31578.019582224384</v>
      </c>
      <c r="GN89">
        <f t="shared" si="185"/>
        <v>39105.338203568572</v>
      </c>
      <c r="GO89">
        <f t="shared" si="185"/>
        <v>46632.656824912752</v>
      </c>
      <c r="GP89">
        <f t="shared" si="185"/>
        <v>54159.97544625694</v>
      </c>
      <c r="GQ89">
        <f t="shared" si="185"/>
        <v>61687.29406760112</v>
      </c>
      <c r="GR89">
        <f t="shared" si="185"/>
        <v>69214.612688945301</v>
      </c>
      <c r="GS89">
        <f t="shared" si="185"/>
        <v>76741.931310289496</v>
      </c>
      <c r="GW89" t="s">
        <v>111</v>
      </c>
      <c r="GX89">
        <f t="shared" si="186"/>
        <v>16284.711261298273</v>
      </c>
      <c r="GY89">
        <f t="shared" si="186"/>
        <v>20562.43135586704</v>
      </c>
      <c r="GZ89">
        <f t="shared" si="186"/>
        <v>29925.681348270784</v>
      </c>
      <c r="HA89">
        <f t="shared" si="186"/>
        <v>39288.93134067452</v>
      </c>
      <c r="HB89">
        <f t="shared" si="186"/>
        <v>48652.181333078268</v>
      </c>
      <c r="HC89">
        <f t="shared" si="186"/>
        <v>58015.431325482008</v>
      </c>
      <c r="HD89">
        <f t="shared" si="186"/>
        <v>67378.681317885756</v>
      </c>
      <c r="HE89">
        <f t="shared" si="186"/>
        <v>76741.931310289496</v>
      </c>
      <c r="HF89">
        <f t="shared" si="186"/>
        <v>86105.181302693236</v>
      </c>
      <c r="HG89">
        <f t="shared" si="186"/>
        <v>95468.431295096976</v>
      </c>
    </row>
    <row r="90" spans="7:230" x14ac:dyDescent="0.25">
      <c r="V90" t="s">
        <v>112</v>
      </c>
      <c r="W90">
        <f t="shared" si="173"/>
        <v>29.737499999999997</v>
      </c>
      <c r="X90">
        <f t="shared" si="173"/>
        <v>37.04999999999999</v>
      </c>
      <c r="Y90">
        <f t="shared" si="173"/>
        <v>51.67499999999999</v>
      </c>
      <c r="Z90">
        <f t="shared" si="173"/>
        <v>66.3</v>
      </c>
      <c r="AA90">
        <f t="shared" si="173"/>
        <v>76.7</v>
      </c>
      <c r="AB90">
        <f t="shared" si="173"/>
        <v>89.699999999999989</v>
      </c>
      <c r="AC90">
        <f t="shared" si="173"/>
        <v>100.91249999999998</v>
      </c>
      <c r="AD90">
        <f t="shared" si="173"/>
        <v>113.09999999999998</v>
      </c>
      <c r="AE90">
        <f t="shared" si="173"/>
        <v>124.8</v>
      </c>
      <c r="AF90">
        <f t="shared" si="173"/>
        <v>136.5</v>
      </c>
      <c r="AJ90" t="s">
        <v>112</v>
      </c>
      <c r="AK90">
        <f t="shared" si="174"/>
        <v>51.67499999999999</v>
      </c>
      <c r="AL90">
        <f t="shared" si="174"/>
        <v>66.3</v>
      </c>
      <c r="AM90">
        <f t="shared" si="174"/>
        <v>89.699999999999989</v>
      </c>
      <c r="AN90">
        <f t="shared" si="174"/>
        <v>113.09999999999998</v>
      </c>
      <c r="AO90">
        <f t="shared" si="174"/>
        <v>136.5</v>
      </c>
      <c r="AP90">
        <f t="shared" si="174"/>
        <v>159.89999999999998</v>
      </c>
      <c r="AQ90">
        <f t="shared" si="174"/>
        <v>183.29999999999998</v>
      </c>
      <c r="AR90">
        <f t="shared" si="174"/>
        <v>206.69999999999996</v>
      </c>
      <c r="AS90">
        <f t="shared" si="174"/>
        <v>230.1</v>
      </c>
      <c r="AT90">
        <f t="shared" si="174"/>
        <v>253.5</v>
      </c>
      <c r="AY90" t="s">
        <v>112</v>
      </c>
      <c r="AZ90">
        <f t="shared" si="175"/>
        <v>73.612499999999997</v>
      </c>
      <c r="BA90">
        <f t="shared" si="175"/>
        <v>89.699999999999989</v>
      </c>
      <c r="BB90">
        <f t="shared" si="175"/>
        <v>124.8</v>
      </c>
      <c r="BC90">
        <f t="shared" si="175"/>
        <v>159.89999999999998</v>
      </c>
      <c r="BD90">
        <f t="shared" si="175"/>
        <v>195.73124999999996</v>
      </c>
      <c r="BE90">
        <f t="shared" si="175"/>
        <v>230.1</v>
      </c>
      <c r="BF90">
        <f t="shared" si="175"/>
        <v>266.26363636363641</v>
      </c>
      <c r="BG90">
        <f t="shared" si="175"/>
        <v>300.3</v>
      </c>
      <c r="BH90">
        <f t="shared" si="175"/>
        <v>336.65357142857141</v>
      </c>
      <c r="BI90">
        <f t="shared" si="175"/>
        <v>370.5</v>
      </c>
      <c r="BM90" t="s">
        <v>112</v>
      </c>
      <c r="BN90">
        <f t="shared" si="176"/>
        <v>109.19999999999999</v>
      </c>
      <c r="BO90">
        <f t="shared" si="176"/>
        <v>136.5</v>
      </c>
      <c r="BP90">
        <f t="shared" si="176"/>
        <v>195.73124999999996</v>
      </c>
      <c r="BQ90">
        <f t="shared" si="176"/>
        <v>253.5</v>
      </c>
      <c r="BR90">
        <f t="shared" si="176"/>
        <v>313.2</v>
      </c>
      <c r="BS90">
        <f t="shared" si="176"/>
        <v>370.5</v>
      </c>
      <c r="BT90">
        <f t="shared" si="176"/>
        <v>430.40833333333336</v>
      </c>
      <c r="BU90">
        <f t="shared" si="176"/>
        <v>487.5</v>
      </c>
      <c r="BV90">
        <f t="shared" si="176"/>
        <v>547.52608695652179</v>
      </c>
      <c r="BW90">
        <f t="shared" si="176"/>
        <v>604.5</v>
      </c>
      <c r="CA90" t="s">
        <v>112</v>
      </c>
      <c r="CB90">
        <f t="shared" si="177"/>
        <v>151.125</v>
      </c>
      <c r="CC90">
        <f t="shared" si="177"/>
        <v>195.73124999999996</v>
      </c>
      <c r="CD90">
        <f t="shared" si="177"/>
        <v>284.45625000000001</v>
      </c>
      <c r="CE90">
        <f t="shared" si="177"/>
        <v>370.5</v>
      </c>
      <c r="CF90">
        <f t="shared" si="177"/>
        <v>458.96842105263153</v>
      </c>
      <c r="CG90">
        <f t="shared" si="177"/>
        <v>547.52608695652179</v>
      </c>
      <c r="CH90">
        <f t="shared" si="177"/>
        <v>636.13333333333321</v>
      </c>
      <c r="CI90">
        <f t="shared" si="177"/>
        <v>721.5</v>
      </c>
      <c r="CJ90">
        <f t="shared" si="177"/>
        <v>810.08161764705881</v>
      </c>
      <c r="CK90">
        <f t="shared" si="177"/>
        <v>898.69342105263149</v>
      </c>
      <c r="CO90" t="s">
        <v>112</v>
      </c>
      <c r="CP90">
        <f t="shared" si="178"/>
        <v>194.02499999999998</v>
      </c>
      <c r="CQ90">
        <f t="shared" si="178"/>
        <v>253.5</v>
      </c>
      <c r="CR90">
        <f t="shared" si="178"/>
        <v>370.5</v>
      </c>
      <c r="CS90">
        <f t="shared" si="178"/>
        <v>487.5</v>
      </c>
      <c r="CT90">
        <f t="shared" si="178"/>
        <v>604.5</v>
      </c>
      <c r="CU90">
        <f t="shared" si="178"/>
        <v>721.5</v>
      </c>
      <c r="CV90">
        <f t="shared" si="178"/>
        <v>838.5</v>
      </c>
      <c r="CW90">
        <f t="shared" si="178"/>
        <v>955.5</v>
      </c>
      <c r="CX90">
        <f t="shared" si="178"/>
        <v>1072.5</v>
      </c>
      <c r="CY90">
        <f t="shared" si="178"/>
        <v>1189.5</v>
      </c>
      <c r="DC90" t="s">
        <v>112</v>
      </c>
      <c r="DD90">
        <f t="shared" ref="DD90:DM90" si="191">DD83*DD78</f>
        <v>279.33749999999992</v>
      </c>
      <c r="DE90">
        <f t="shared" si="191"/>
        <v>360.75</v>
      </c>
      <c r="DF90">
        <f t="shared" si="191"/>
        <v>526.5</v>
      </c>
      <c r="DG90">
        <f t="shared" si="191"/>
        <v>692.25</v>
      </c>
      <c r="DH90">
        <f t="shared" si="191"/>
        <v>858</v>
      </c>
      <c r="DI90">
        <f t="shared" si="191"/>
        <v>1023.75</v>
      </c>
      <c r="DJ90">
        <f t="shared" si="191"/>
        <v>1189.5</v>
      </c>
      <c r="DK90">
        <f t="shared" si="191"/>
        <v>1355.25</v>
      </c>
      <c r="DL90">
        <f t="shared" si="191"/>
        <v>1521</v>
      </c>
      <c r="DM90">
        <f t="shared" si="191"/>
        <v>1686.75</v>
      </c>
      <c r="DP90" t="s">
        <v>112</v>
      </c>
      <c r="DQ90">
        <f t="shared" ref="DQ90:DZ90" si="192">DQ82*DQ77</f>
        <v>364.64999999999992</v>
      </c>
      <c r="DR90">
        <f t="shared" si="192"/>
        <v>468</v>
      </c>
      <c r="DS90">
        <f t="shared" si="192"/>
        <v>682.5</v>
      </c>
      <c r="DT90">
        <f t="shared" si="192"/>
        <v>897</v>
      </c>
      <c r="DU90">
        <f t="shared" si="192"/>
        <v>1111.5</v>
      </c>
      <c r="DV90">
        <f t="shared" si="192"/>
        <v>1326</v>
      </c>
      <c r="DW90">
        <f t="shared" si="192"/>
        <v>1540.5</v>
      </c>
      <c r="DX90">
        <f t="shared" si="192"/>
        <v>1755</v>
      </c>
      <c r="DY90">
        <f t="shared" si="192"/>
        <v>1969.5</v>
      </c>
      <c r="DZ90">
        <f t="shared" si="192"/>
        <v>2184</v>
      </c>
      <c r="EE90" t="s">
        <v>112</v>
      </c>
      <c r="EF90">
        <f t="shared" si="181"/>
        <v>535.27499999999998</v>
      </c>
      <c r="EG90">
        <f t="shared" si="181"/>
        <v>682.5</v>
      </c>
      <c r="EH90">
        <f t="shared" si="181"/>
        <v>994.5</v>
      </c>
      <c r="EI90">
        <f t="shared" si="181"/>
        <v>1306.5</v>
      </c>
      <c r="EJ90">
        <f t="shared" si="181"/>
        <v>1618.5</v>
      </c>
      <c r="EK90">
        <f t="shared" si="181"/>
        <v>1930.5</v>
      </c>
      <c r="EL90">
        <f t="shared" si="181"/>
        <v>2242.5</v>
      </c>
      <c r="EM90">
        <f t="shared" si="181"/>
        <v>2554.5</v>
      </c>
      <c r="EN90">
        <f t="shared" si="181"/>
        <v>2866.5</v>
      </c>
      <c r="EO90">
        <f t="shared" si="181"/>
        <v>3178.5</v>
      </c>
      <c r="ES90" t="s">
        <v>112</v>
      </c>
      <c r="ET90">
        <f t="shared" si="182"/>
        <v>705.9</v>
      </c>
      <c r="EU90">
        <f t="shared" si="182"/>
        <v>897</v>
      </c>
      <c r="EV90">
        <f t="shared" si="182"/>
        <v>1306.5</v>
      </c>
      <c r="EW90">
        <f t="shared" si="182"/>
        <v>1716</v>
      </c>
      <c r="EX90">
        <f t="shared" si="182"/>
        <v>2125.5</v>
      </c>
      <c r="EY90">
        <f t="shared" si="182"/>
        <v>2535</v>
      </c>
      <c r="EZ90">
        <f t="shared" si="182"/>
        <v>2944.5</v>
      </c>
      <c r="FA90">
        <f t="shared" si="182"/>
        <v>3354</v>
      </c>
      <c r="FB90">
        <f t="shared" si="182"/>
        <v>3763.5</v>
      </c>
      <c r="FC90">
        <f t="shared" si="182"/>
        <v>4173</v>
      </c>
      <c r="FG90" t="s">
        <v>112</v>
      </c>
      <c r="FH90">
        <f t="shared" ref="FH90:FQ90" si="193">FH82*FH77</f>
        <v>876.52499999999998</v>
      </c>
      <c r="FI90">
        <f t="shared" si="193"/>
        <v>1111.5</v>
      </c>
      <c r="FJ90">
        <f t="shared" si="193"/>
        <v>1618.5</v>
      </c>
      <c r="FK90">
        <f t="shared" si="193"/>
        <v>2125.5</v>
      </c>
      <c r="FL90">
        <f t="shared" si="193"/>
        <v>2632.5</v>
      </c>
      <c r="FM90">
        <f t="shared" si="193"/>
        <v>3139.5</v>
      </c>
      <c r="FN90">
        <f t="shared" si="193"/>
        <v>3646.5</v>
      </c>
      <c r="FO90">
        <f t="shared" si="193"/>
        <v>4153.5</v>
      </c>
      <c r="FP90">
        <f t="shared" si="193"/>
        <v>4660.5</v>
      </c>
      <c r="FQ90">
        <f t="shared" si="193"/>
        <v>5167.5</v>
      </c>
      <c r="FU90" t="s">
        <v>112</v>
      </c>
      <c r="FV90">
        <f t="shared" ref="FV90:GE90" si="194">FV82*FV77</f>
        <v>1047.1499999999999</v>
      </c>
      <c r="FW90">
        <f t="shared" si="194"/>
        <v>1326</v>
      </c>
      <c r="FX90">
        <f t="shared" si="194"/>
        <v>1930.5</v>
      </c>
      <c r="FY90">
        <f t="shared" si="194"/>
        <v>2535</v>
      </c>
      <c r="FZ90">
        <f t="shared" si="194"/>
        <v>3139.5</v>
      </c>
      <c r="GA90">
        <f t="shared" si="194"/>
        <v>3744</v>
      </c>
      <c r="GB90">
        <f t="shared" si="194"/>
        <v>4348.5</v>
      </c>
      <c r="GC90">
        <f t="shared" si="194"/>
        <v>4953</v>
      </c>
      <c r="GD90">
        <f t="shared" si="194"/>
        <v>5557.5</v>
      </c>
      <c r="GE90">
        <f t="shared" si="194"/>
        <v>6162</v>
      </c>
      <c r="GI90" t="s">
        <v>112</v>
      </c>
      <c r="GJ90">
        <f t="shared" si="185"/>
        <v>1388.3999999999999</v>
      </c>
      <c r="GK90">
        <f t="shared" si="185"/>
        <v>1755</v>
      </c>
      <c r="GL90">
        <f t="shared" si="185"/>
        <v>2554.5</v>
      </c>
      <c r="GM90">
        <f t="shared" si="185"/>
        <v>3354</v>
      </c>
      <c r="GN90">
        <f t="shared" si="185"/>
        <v>4153.5</v>
      </c>
      <c r="GO90">
        <f t="shared" si="185"/>
        <v>4953</v>
      </c>
      <c r="GP90">
        <f t="shared" si="185"/>
        <v>5752.5</v>
      </c>
      <c r="GQ90">
        <f t="shared" si="185"/>
        <v>6552</v>
      </c>
      <c r="GR90">
        <f t="shared" si="185"/>
        <v>7351.5</v>
      </c>
      <c r="GS90">
        <f t="shared" si="185"/>
        <v>8151</v>
      </c>
      <c r="GW90" t="s">
        <v>112</v>
      </c>
      <c r="GX90">
        <f t="shared" si="186"/>
        <v>1729.6499999999999</v>
      </c>
      <c r="GY90">
        <f t="shared" si="186"/>
        <v>2184</v>
      </c>
      <c r="GZ90">
        <f t="shared" si="186"/>
        <v>3178.5</v>
      </c>
      <c r="HA90">
        <f t="shared" si="186"/>
        <v>4173</v>
      </c>
      <c r="HB90">
        <f t="shared" si="186"/>
        <v>5167.5</v>
      </c>
      <c r="HC90">
        <f t="shared" si="186"/>
        <v>6162</v>
      </c>
      <c r="HD90">
        <f t="shared" si="186"/>
        <v>7156.5</v>
      </c>
      <c r="HE90">
        <f t="shared" si="186"/>
        <v>8151</v>
      </c>
      <c r="HF90">
        <f t="shared" si="186"/>
        <v>9145.5</v>
      </c>
      <c r="HG90">
        <f t="shared" si="186"/>
        <v>10140</v>
      </c>
    </row>
    <row r="91" spans="7:230" x14ac:dyDescent="0.25">
      <c r="BZ91" s="18"/>
      <c r="CM91"/>
      <c r="CN91" s="18"/>
      <c r="DN91" s="18"/>
      <c r="DO91"/>
      <c r="EC91"/>
      <c r="EP91" s="18"/>
      <c r="EQ91"/>
      <c r="FD91" s="18"/>
      <c r="FE91"/>
      <c r="FR91" s="18"/>
      <c r="FS91"/>
      <c r="GF91" s="18"/>
      <c r="GG91"/>
      <c r="GT91" s="18"/>
      <c r="GU91"/>
      <c r="HH91" s="18"/>
      <c r="HI91"/>
      <c r="HV91" s="18"/>
    </row>
    <row r="92" spans="7:230" x14ac:dyDescent="0.25">
      <c r="G92" t="s">
        <v>123</v>
      </c>
      <c r="H92">
        <f t="shared" ref="H92:Q92" si="195">SUM(H85:H88)</f>
        <v>357.0415992481424</v>
      </c>
      <c r="I92">
        <f t="shared" si="195"/>
        <v>425.32113156920906</v>
      </c>
      <c r="J92">
        <f t="shared" si="195"/>
        <v>561.88019621134242</v>
      </c>
      <c r="K92">
        <f t="shared" si="195"/>
        <v>698.43926085347584</v>
      </c>
      <c r="L92">
        <f t="shared" si="195"/>
        <v>834.99832549560915</v>
      </c>
      <c r="M92">
        <f t="shared" si="195"/>
        <v>971.55739013774269</v>
      </c>
      <c r="N92">
        <f t="shared" si="195"/>
        <v>1108.116454779876</v>
      </c>
      <c r="O92">
        <f t="shared" si="195"/>
        <v>1244.6755194220093</v>
      </c>
      <c r="P92">
        <f t="shared" si="195"/>
        <v>1381.2345840641428</v>
      </c>
      <c r="Q92">
        <f t="shared" si="195"/>
        <v>1517.7936487062764</v>
      </c>
      <c r="V92" t="s">
        <v>123</v>
      </c>
      <c r="W92">
        <f>SUM(W87:W90)</f>
        <v>561.88019621134242</v>
      </c>
      <c r="X92">
        <f t="shared" ref="X92:AF92" si="196">SUM(X87:X90)</f>
        <v>698.43926085347584</v>
      </c>
      <c r="Y92">
        <f t="shared" si="196"/>
        <v>971.55739013774269</v>
      </c>
      <c r="Z92">
        <f t="shared" si="196"/>
        <v>1244.6755194220093</v>
      </c>
      <c r="AA92">
        <f t="shared" si="196"/>
        <v>1387.6628558019327</v>
      </c>
      <c r="AB92">
        <f t="shared" si="196"/>
        <v>1619.5345262768362</v>
      </c>
      <c r="AC92">
        <f t="shared" si="196"/>
        <v>1783.1450920614407</v>
      </c>
      <c r="AD92">
        <f t="shared" si="196"/>
        <v>1994.3935331316632</v>
      </c>
      <c r="AE92">
        <f t="shared" si="196"/>
        <v>2170.3780365590769</v>
      </c>
      <c r="AF92">
        <f t="shared" si="196"/>
        <v>2369.2525399864899</v>
      </c>
      <c r="AJ92" t="s">
        <v>123</v>
      </c>
      <c r="AK92">
        <f>SUM(AK87:AK90)</f>
        <v>971.55739013774269</v>
      </c>
      <c r="AL92">
        <f t="shared" ref="AL92:AT92" si="197">SUM(AL87:AL90)</f>
        <v>1244.6755194220093</v>
      </c>
      <c r="AM92">
        <f t="shared" si="197"/>
        <v>1619.5345262768362</v>
      </c>
      <c r="AN92">
        <f t="shared" si="197"/>
        <v>1994.3935331316632</v>
      </c>
      <c r="AO92">
        <f t="shared" si="197"/>
        <v>2369.2525399864899</v>
      </c>
      <c r="AP92">
        <f t="shared" si="197"/>
        <v>2744.1115468413168</v>
      </c>
      <c r="AQ92">
        <f t="shared" si="197"/>
        <v>3118.9705536961437</v>
      </c>
      <c r="AR92">
        <f t="shared" si="197"/>
        <v>3493.8295605509702</v>
      </c>
      <c r="AS92">
        <f t="shared" si="197"/>
        <v>3868.6885674057976</v>
      </c>
      <c r="AT92">
        <f t="shared" si="197"/>
        <v>4243.547574260625</v>
      </c>
      <c r="AY92" t="s">
        <v>123</v>
      </c>
      <c r="AZ92">
        <f>SUM(AZ87:AZ90)</f>
        <v>1381.2345840641428</v>
      </c>
      <c r="BA92">
        <f t="shared" ref="BA92:BI92" si="198">SUM(BA87:BA90)</f>
        <v>1619.5345262768362</v>
      </c>
      <c r="BB92">
        <f t="shared" si="198"/>
        <v>2170.3780365590769</v>
      </c>
      <c r="BC92">
        <f t="shared" si="198"/>
        <v>2744.1115468413168</v>
      </c>
      <c r="BD92">
        <f t="shared" si="198"/>
        <v>3313.5159635877708</v>
      </c>
      <c r="BE92">
        <f t="shared" si="198"/>
        <v>3868.6885674057976</v>
      </c>
      <c r="BF92">
        <f t="shared" si="198"/>
        <v>4446.5297598178031</v>
      </c>
      <c r="BG92">
        <f t="shared" si="198"/>
        <v>4993.2655879702788</v>
      </c>
      <c r="BH92">
        <f t="shared" si="198"/>
        <v>5575.9277950483129</v>
      </c>
      <c r="BI92">
        <f t="shared" si="198"/>
        <v>6117.8426085347583</v>
      </c>
      <c r="BM92" t="s">
        <v>123</v>
      </c>
      <c r="BN92">
        <f>SUM(BN87:BN90)</f>
        <v>1967.342031989192</v>
      </c>
      <c r="BO92">
        <f t="shared" ref="BO92:BW92" si="199">SUM(BO87:BO90)</f>
        <v>2369.2525399864899</v>
      </c>
      <c r="BP92">
        <f t="shared" si="199"/>
        <v>3313.5159635877708</v>
      </c>
      <c r="BQ92">
        <f t="shared" si="199"/>
        <v>4243.547574260625</v>
      </c>
      <c r="BR92">
        <f t="shared" si="199"/>
        <v>5199.7090148261441</v>
      </c>
      <c r="BS92">
        <f t="shared" si="199"/>
        <v>6117.8426085347583</v>
      </c>
      <c r="BT92">
        <f t="shared" si="199"/>
        <v>7079.2920566399416</v>
      </c>
      <c r="BU92">
        <f t="shared" si="199"/>
        <v>7992.1376428088934</v>
      </c>
      <c r="BV92">
        <f t="shared" si="199"/>
        <v>8956.5759647408413</v>
      </c>
      <c r="BW92">
        <f t="shared" si="199"/>
        <v>9866.4326770830266</v>
      </c>
      <c r="CA92" t="s">
        <v>123</v>
      </c>
      <c r="CB92">
        <f>SUM(CB87:CB90)</f>
        <v>2617.8456692707568</v>
      </c>
      <c r="CC92">
        <f t="shared" ref="CC92:CK92" si="200">SUM(CC87:CC90)</f>
        <v>3313.5159635877708</v>
      </c>
      <c r="CD92">
        <f t="shared" si="200"/>
        <v>4738.2626145789891</v>
      </c>
      <c r="CE92">
        <f t="shared" si="200"/>
        <v>6117.8426085347583</v>
      </c>
      <c r="CF92">
        <f t="shared" si="200"/>
        <v>7536.0766607666037</v>
      </c>
      <c r="CG92">
        <f t="shared" si="200"/>
        <v>8956.5759647408413</v>
      </c>
      <c r="CH92">
        <f t="shared" si="200"/>
        <v>10378.333741905291</v>
      </c>
      <c r="CI92">
        <f t="shared" si="200"/>
        <v>11740.727711357162</v>
      </c>
      <c r="CJ92">
        <f t="shared" si="200"/>
        <v>13161.834968924026</v>
      </c>
      <c r="CK92">
        <f t="shared" si="200"/>
        <v>14583.708414580226</v>
      </c>
      <c r="CO92" t="s">
        <v>123</v>
      </c>
      <c r="CP92">
        <f>SUM(CP87:CP90)</f>
        <v>3315.9871818379393</v>
      </c>
      <c r="CQ92">
        <f t="shared" ref="CQ92:CY92" si="201">SUM(CQ87:CQ90)</f>
        <v>4243.547574260625</v>
      </c>
      <c r="CR92">
        <f t="shared" si="201"/>
        <v>6117.8426085347583</v>
      </c>
      <c r="CS92">
        <f t="shared" si="201"/>
        <v>7992.1376428088934</v>
      </c>
      <c r="CT92">
        <f t="shared" si="201"/>
        <v>9866.4326770830266</v>
      </c>
      <c r="CU92">
        <f t="shared" si="201"/>
        <v>11740.727711357162</v>
      </c>
      <c r="CV92">
        <f t="shared" si="201"/>
        <v>13615.022745631297</v>
      </c>
      <c r="CW92">
        <f t="shared" si="201"/>
        <v>15489.31777990543</v>
      </c>
      <c r="CX92">
        <f t="shared" si="201"/>
        <v>17363.612814179563</v>
      </c>
      <c r="CY92">
        <f t="shared" si="201"/>
        <v>19237.907848453699</v>
      </c>
      <c r="DC92" t="s">
        <v>123</v>
      </c>
      <c r="DD92">
        <f>SUM(DD87:DD90)</f>
        <v>4745.676269329495</v>
      </c>
      <c r="DE92">
        <f t="shared" ref="DE92:DM92" si="202">SUM(DE87:DE90)</f>
        <v>5984.8138556785816</v>
      </c>
      <c r="DF92">
        <f t="shared" si="202"/>
        <v>8606.0026542336054</v>
      </c>
      <c r="DG92">
        <f t="shared" si="202"/>
        <v>11227.191452788629</v>
      </c>
      <c r="DH92">
        <f t="shared" si="202"/>
        <v>13848.380251343653</v>
      </c>
      <c r="DI92">
        <f t="shared" si="202"/>
        <v>16469.569049898677</v>
      </c>
      <c r="DJ92">
        <f t="shared" si="202"/>
        <v>19090.757848453701</v>
      </c>
      <c r="DK92">
        <f t="shared" si="202"/>
        <v>21711.946647008721</v>
      </c>
      <c r="DL92">
        <f t="shared" si="202"/>
        <v>24333.135445563748</v>
      </c>
      <c r="DM92">
        <f t="shared" si="202"/>
        <v>26954.324244118769</v>
      </c>
      <c r="DP92" t="s">
        <v>123</v>
      </c>
      <c r="DQ92">
        <f>SUM(DQ87:DQ90)</f>
        <v>6175.365356821052</v>
      </c>
      <c r="DR92">
        <f t="shared" ref="DR92:DZ92" si="203">SUM(DR87:DR90)</f>
        <v>7726.0801370965373</v>
      </c>
      <c r="DS92">
        <f t="shared" si="203"/>
        <v>11094.162699932451</v>
      </c>
      <c r="DT92">
        <f t="shared" si="203"/>
        <v>14462.245262768363</v>
      </c>
      <c r="DU92">
        <f t="shared" si="203"/>
        <v>17830.327825604276</v>
      </c>
      <c r="DV92">
        <f t="shared" si="203"/>
        <v>21198.410388440188</v>
      </c>
      <c r="DW92">
        <f t="shared" si="203"/>
        <v>24566.492951276101</v>
      </c>
      <c r="DX92">
        <f t="shared" si="203"/>
        <v>27934.575514112017</v>
      </c>
      <c r="DY92">
        <f t="shared" si="203"/>
        <v>31302.658076947926</v>
      </c>
      <c r="DZ92">
        <f t="shared" si="203"/>
        <v>34670.740639783842</v>
      </c>
      <c r="EE92" t="s">
        <v>123</v>
      </c>
      <c r="EF92">
        <f>SUM(EF87:EF90)</f>
        <v>9034.7435318041644</v>
      </c>
      <c r="EG92">
        <f t="shared" ref="EG92:EO92" si="204">SUM(EG87:EG90)</f>
        <v>11208.612699932452</v>
      </c>
      <c r="EH92">
        <f t="shared" si="204"/>
        <v>16070.482791330141</v>
      </c>
      <c r="EI92">
        <f t="shared" si="204"/>
        <v>20932.352882727835</v>
      </c>
      <c r="EJ92">
        <f t="shared" si="204"/>
        <v>25794.222974125525</v>
      </c>
      <c r="EK92">
        <f t="shared" si="204"/>
        <v>30656.093065523215</v>
      </c>
      <c r="EL92">
        <f t="shared" si="204"/>
        <v>35517.963156920909</v>
      </c>
      <c r="EM92">
        <f t="shared" si="204"/>
        <v>40379.833248318602</v>
      </c>
      <c r="EN92">
        <f t="shared" si="204"/>
        <v>45241.703339716289</v>
      </c>
      <c r="EO92">
        <f t="shared" si="204"/>
        <v>50103.573431113982</v>
      </c>
      <c r="ES92" t="s">
        <v>123</v>
      </c>
      <c r="ET92">
        <f>SUM(ET87:ET90)</f>
        <v>11894.121706787277</v>
      </c>
      <c r="EU92">
        <f t="shared" ref="EU92:FC92" si="205">SUM(EU87:EU90)</f>
        <v>14691.145262768365</v>
      </c>
      <c r="EV92">
        <f t="shared" si="205"/>
        <v>21046.802882727832</v>
      </c>
      <c r="EW92">
        <f t="shared" si="205"/>
        <v>27402.460502687303</v>
      </c>
      <c r="EX92">
        <f t="shared" si="205"/>
        <v>33758.118122646774</v>
      </c>
      <c r="EY92">
        <f t="shared" si="205"/>
        <v>40113.775742606245</v>
      </c>
      <c r="EZ92">
        <f t="shared" si="205"/>
        <v>46469.433362565716</v>
      </c>
      <c r="FA92">
        <f t="shared" si="205"/>
        <v>52825.090982525187</v>
      </c>
      <c r="FB92">
        <f t="shared" si="205"/>
        <v>59180.748602484651</v>
      </c>
      <c r="FC92">
        <f t="shared" si="205"/>
        <v>65536.406222444115</v>
      </c>
      <c r="FG92" t="s">
        <v>123</v>
      </c>
      <c r="FH92">
        <f>SUM(FH87:FH90)</f>
        <v>14753.499881770389</v>
      </c>
      <c r="FI92">
        <f t="shared" ref="FI92:FQ92" si="206">SUM(FI87:FI90)</f>
        <v>18173.677825604274</v>
      </c>
      <c r="FJ92">
        <f t="shared" si="206"/>
        <v>26023.122974125523</v>
      </c>
      <c r="FK92">
        <f t="shared" si="206"/>
        <v>33872.568122646771</v>
      </c>
      <c r="FL92">
        <f t="shared" si="206"/>
        <v>41722.01327116802</v>
      </c>
      <c r="FM92">
        <f t="shared" si="206"/>
        <v>49571.458419689268</v>
      </c>
      <c r="FN92">
        <f t="shared" si="206"/>
        <v>57420.903568210517</v>
      </c>
      <c r="FO92">
        <f t="shared" si="206"/>
        <v>65270.348716731773</v>
      </c>
      <c r="FP92">
        <f t="shared" si="206"/>
        <v>73119.793865253014</v>
      </c>
      <c r="FQ92">
        <f t="shared" si="206"/>
        <v>80969.239013774262</v>
      </c>
      <c r="FU92" t="s">
        <v>123</v>
      </c>
      <c r="FV92">
        <f>SUM(FV87:FV90)</f>
        <v>17612.878056753507</v>
      </c>
      <c r="FW92">
        <f t="shared" ref="FW92:GE92" si="207">SUM(FW87:FW90)</f>
        <v>21656.210388440188</v>
      </c>
      <c r="FX92">
        <f t="shared" si="207"/>
        <v>30999.443065523217</v>
      </c>
      <c r="FY92">
        <f t="shared" si="207"/>
        <v>40342.675742606247</v>
      </c>
      <c r="FZ92">
        <f t="shared" si="207"/>
        <v>49685.908419689273</v>
      </c>
      <c r="GA92">
        <f t="shared" si="207"/>
        <v>59029.141096772299</v>
      </c>
      <c r="GB92">
        <f t="shared" si="207"/>
        <v>68372.373773855332</v>
      </c>
      <c r="GC92">
        <f t="shared" si="207"/>
        <v>77715.606450938358</v>
      </c>
      <c r="GD92">
        <f t="shared" si="207"/>
        <v>87058.839128021384</v>
      </c>
      <c r="GE92">
        <f t="shared" si="207"/>
        <v>96402.07180510441</v>
      </c>
      <c r="GI92" t="s">
        <v>123</v>
      </c>
      <c r="GJ92">
        <f>SUM(GJ87:GJ90)</f>
        <v>23331.634406719728</v>
      </c>
      <c r="GK92">
        <f t="shared" ref="GK92:GS92" si="208">SUM(GK87:GK90)</f>
        <v>28621.275514112014</v>
      </c>
      <c r="GL92">
        <f t="shared" si="208"/>
        <v>40952.083248318602</v>
      </c>
      <c r="GM92">
        <f t="shared" si="208"/>
        <v>53282.890982525183</v>
      </c>
      <c r="GN92">
        <f t="shared" si="208"/>
        <v>65613.698716731771</v>
      </c>
      <c r="GO92">
        <f t="shared" si="208"/>
        <v>77944.506450938352</v>
      </c>
      <c r="GP92">
        <f t="shared" si="208"/>
        <v>90275.314185144933</v>
      </c>
      <c r="GQ92">
        <f t="shared" si="208"/>
        <v>102606.12191935151</v>
      </c>
      <c r="GR92">
        <f t="shared" si="208"/>
        <v>114936.92965355809</v>
      </c>
      <c r="GS92">
        <f t="shared" si="208"/>
        <v>127267.7373877647</v>
      </c>
      <c r="GW92" t="s">
        <v>123</v>
      </c>
      <c r="GX92">
        <f>SUM(GX87:GX90)</f>
        <v>29050.390756685956</v>
      </c>
      <c r="GY92">
        <f t="shared" ref="GY92:HG92" si="209">SUM(GY87:GY90)</f>
        <v>35586.340639783841</v>
      </c>
      <c r="GZ92">
        <f t="shared" si="209"/>
        <v>50904.723431113984</v>
      </c>
      <c r="HA92">
        <f t="shared" si="209"/>
        <v>66223.106222444127</v>
      </c>
      <c r="HB92">
        <f t="shared" si="209"/>
        <v>81541.489013774262</v>
      </c>
      <c r="HC92">
        <f t="shared" si="209"/>
        <v>96859.871805104412</v>
      </c>
      <c r="HD92">
        <f t="shared" si="209"/>
        <v>112178.25459643456</v>
      </c>
      <c r="HE92">
        <f t="shared" si="209"/>
        <v>127496.6373877647</v>
      </c>
      <c r="HF92">
        <f t="shared" si="209"/>
        <v>142815.02017909483</v>
      </c>
      <c r="HG92">
        <f t="shared" si="209"/>
        <v>158133.40297042497</v>
      </c>
    </row>
    <row r="93" spans="7:230" x14ac:dyDescent="0.25">
      <c r="G93" t="s">
        <v>1137</v>
      </c>
    </row>
    <row r="94" spans="7:230" x14ac:dyDescent="0.25">
      <c r="G94" t="s">
        <v>1137</v>
      </c>
    </row>
    <row r="95" spans="7:230" x14ac:dyDescent="0.25">
      <c r="G95" t="s">
        <v>1137</v>
      </c>
    </row>
    <row r="96" spans="7:230" ht="15.75" thickBot="1" x14ac:dyDescent="0.3">
      <c r="G96" t="s">
        <v>1137</v>
      </c>
    </row>
    <row r="97" spans="1:217" s="88" customFormat="1" ht="15.75" thickBot="1" x14ac:dyDescent="0.3">
      <c r="A97" s="129" t="s">
        <v>463</v>
      </c>
      <c r="B97" s="130"/>
      <c r="C97" s="130"/>
      <c r="D97" s="130"/>
      <c r="E97" s="130"/>
      <c r="F97" s="131"/>
      <c r="G97" s="88" t="s">
        <v>1137</v>
      </c>
      <c r="U97" s="90"/>
      <c r="AI97" s="90"/>
      <c r="AW97" s="90"/>
      <c r="BK97" s="90"/>
      <c r="BY97" s="90"/>
      <c r="CM97" s="90"/>
      <c r="DA97" s="90"/>
      <c r="DO97" s="90"/>
      <c r="EC97" s="90"/>
      <c r="EQ97" s="90"/>
      <c r="FE97" s="90"/>
      <c r="FS97" s="90"/>
      <c r="GG97" s="90"/>
      <c r="GU97" s="90"/>
      <c r="HI97" s="90"/>
    </row>
    <row r="98" spans="1:217" x14ac:dyDescent="0.25">
      <c r="G98" t="s">
        <v>1137</v>
      </c>
      <c r="N98" t="s">
        <v>915</v>
      </c>
    </row>
    <row r="99" spans="1:217" x14ac:dyDescent="0.25">
      <c r="G99" t="s">
        <v>1137</v>
      </c>
      <c r="M99" t="s">
        <v>1591</v>
      </c>
      <c r="N99">
        <v>24</v>
      </c>
      <c r="O99">
        <f>N99-3</f>
        <v>21</v>
      </c>
      <c r="P99">
        <f t="shared" ref="P99:U99" si="210">O99-3</f>
        <v>18</v>
      </c>
      <c r="Q99">
        <f t="shared" si="210"/>
        <v>15</v>
      </c>
      <c r="R99">
        <f t="shared" si="210"/>
        <v>12</v>
      </c>
      <c r="S99">
        <f t="shared" si="210"/>
        <v>9</v>
      </c>
      <c r="T99">
        <f t="shared" si="210"/>
        <v>6</v>
      </c>
      <c r="U99" s="18">
        <f t="shared" si="210"/>
        <v>3</v>
      </c>
    </row>
    <row r="100" spans="1:217" x14ac:dyDescent="0.25">
      <c r="G100" t="s">
        <v>1137</v>
      </c>
      <c r="H100" t="s">
        <v>156</v>
      </c>
      <c r="I100" t="s">
        <v>406</v>
      </c>
      <c r="L100" t="s">
        <v>1496</v>
      </c>
      <c r="M100" t="s">
        <v>1592</v>
      </c>
      <c r="N100">
        <f>12/N99</f>
        <v>0.5</v>
      </c>
      <c r="O100">
        <f t="shared" ref="O100:U100" si="211">12/O99</f>
        <v>0.5714285714285714</v>
      </c>
      <c r="P100">
        <f t="shared" si="211"/>
        <v>0.66666666666666663</v>
      </c>
      <c r="Q100">
        <f t="shared" si="211"/>
        <v>0.8</v>
      </c>
      <c r="R100">
        <f t="shared" si="211"/>
        <v>1</v>
      </c>
      <c r="S100">
        <f t="shared" si="211"/>
        <v>1.3333333333333333</v>
      </c>
      <c r="T100">
        <f t="shared" si="211"/>
        <v>2</v>
      </c>
      <c r="U100" s="18">
        <f t="shared" si="211"/>
        <v>4</v>
      </c>
      <c r="DS100" t="s">
        <v>1618</v>
      </c>
      <c r="EF100" t="s">
        <v>1618</v>
      </c>
    </row>
    <row r="101" spans="1:217" x14ac:dyDescent="0.25">
      <c r="G101" t="s">
        <v>1137</v>
      </c>
      <c r="H101">
        <v>5</v>
      </c>
      <c r="I101">
        <v>1.5</v>
      </c>
      <c r="J101">
        <f>Index!C65</f>
        <v>193.5</v>
      </c>
      <c r="L101">
        <f>J101*2</f>
        <v>387</v>
      </c>
      <c r="N101">
        <f>$J101*N$100</f>
        <v>96.75</v>
      </c>
      <c r="O101">
        <f t="shared" ref="O101:U116" si="212">$J101*O$100</f>
        <v>110.57142857142857</v>
      </c>
      <c r="P101">
        <f t="shared" si="212"/>
        <v>129</v>
      </c>
      <c r="Q101">
        <f t="shared" si="212"/>
        <v>154.80000000000001</v>
      </c>
      <c r="R101">
        <f>$J101*R$100</f>
        <v>193.5</v>
      </c>
      <c r="S101">
        <f t="shared" si="212"/>
        <v>258</v>
      </c>
      <c r="T101">
        <f>$J101*T$100</f>
        <v>387</v>
      </c>
      <c r="U101" s="18">
        <f t="shared" si="212"/>
        <v>774</v>
      </c>
      <c r="DR101" t="s">
        <v>156</v>
      </c>
      <c r="DS101">
        <v>12</v>
      </c>
      <c r="DT101">
        <v>6</v>
      </c>
      <c r="DU101">
        <v>3</v>
      </c>
      <c r="EE101" t="s">
        <v>156</v>
      </c>
      <c r="EF101">
        <v>12</v>
      </c>
      <c r="EG101">
        <v>6</v>
      </c>
      <c r="EH101">
        <v>3</v>
      </c>
    </row>
    <row r="102" spans="1:217" x14ac:dyDescent="0.25">
      <c r="G102" t="s">
        <v>1137</v>
      </c>
      <c r="H102">
        <v>10</v>
      </c>
      <c r="I102">
        <v>3</v>
      </c>
      <c r="J102">
        <f>Index!C66</f>
        <v>211.7</v>
      </c>
      <c r="L102">
        <f t="shared" ref="L102:L107" si="213">J102*2</f>
        <v>423.4</v>
      </c>
      <c r="N102">
        <f t="shared" ref="N102:N116" si="214">$J102*N$100</f>
        <v>105.85</v>
      </c>
      <c r="O102">
        <f t="shared" si="212"/>
        <v>120.97142857142856</v>
      </c>
      <c r="P102">
        <f t="shared" si="212"/>
        <v>141.13333333333333</v>
      </c>
      <c r="Q102">
        <f t="shared" si="212"/>
        <v>169.36</v>
      </c>
      <c r="R102">
        <f t="shared" si="212"/>
        <v>211.7</v>
      </c>
      <c r="S102">
        <f t="shared" si="212"/>
        <v>282.26666666666665</v>
      </c>
      <c r="T102">
        <f t="shared" si="212"/>
        <v>423.4</v>
      </c>
      <c r="U102" s="18">
        <f t="shared" si="212"/>
        <v>846.8</v>
      </c>
      <c r="DE102" t="s">
        <v>1618</v>
      </c>
      <c r="EU102" t="s">
        <v>1618</v>
      </c>
    </row>
    <row r="103" spans="1:217" x14ac:dyDescent="0.25">
      <c r="G103" t="s">
        <v>1137</v>
      </c>
      <c r="H103">
        <v>20</v>
      </c>
      <c r="I103">
        <v>6</v>
      </c>
      <c r="J103">
        <f>J102</f>
        <v>211.7</v>
      </c>
      <c r="L103">
        <f t="shared" si="213"/>
        <v>423.4</v>
      </c>
      <c r="N103">
        <f t="shared" si="214"/>
        <v>105.85</v>
      </c>
      <c r="O103">
        <f t="shared" si="212"/>
        <v>120.97142857142856</v>
      </c>
      <c r="P103">
        <f t="shared" si="212"/>
        <v>141.13333333333333</v>
      </c>
      <c r="Q103">
        <f t="shared" si="212"/>
        <v>169.36</v>
      </c>
      <c r="R103">
        <f t="shared" si="212"/>
        <v>211.7</v>
      </c>
      <c r="S103">
        <f t="shared" si="212"/>
        <v>282.26666666666665</v>
      </c>
      <c r="T103">
        <f t="shared" si="212"/>
        <v>423.4</v>
      </c>
      <c r="U103" s="18">
        <f t="shared" si="212"/>
        <v>846.8</v>
      </c>
      <c r="CO103" t="s">
        <v>1618</v>
      </c>
      <c r="DD103" t="s">
        <v>156</v>
      </c>
      <c r="DE103">
        <v>12</v>
      </c>
      <c r="DF103">
        <v>6</v>
      </c>
      <c r="DG103">
        <v>3</v>
      </c>
      <c r="ET103" t="s">
        <v>156</v>
      </c>
      <c r="EU103">
        <v>12</v>
      </c>
      <c r="EV103">
        <v>6</v>
      </c>
      <c r="EW103">
        <v>3</v>
      </c>
    </row>
    <row r="104" spans="1:217" x14ac:dyDescent="0.25">
      <c r="G104" t="s">
        <v>1137</v>
      </c>
      <c r="H104">
        <v>30</v>
      </c>
      <c r="I104">
        <v>9</v>
      </c>
      <c r="J104">
        <f>J102</f>
        <v>211.7</v>
      </c>
      <c r="L104">
        <f t="shared" si="213"/>
        <v>423.4</v>
      </c>
      <c r="N104">
        <f t="shared" si="214"/>
        <v>105.85</v>
      </c>
      <c r="O104">
        <f t="shared" si="212"/>
        <v>120.97142857142856</v>
      </c>
      <c r="P104">
        <f t="shared" si="212"/>
        <v>141.13333333333333</v>
      </c>
      <c r="Q104">
        <f t="shared" si="212"/>
        <v>169.36</v>
      </c>
      <c r="R104">
        <f t="shared" si="212"/>
        <v>211.7</v>
      </c>
      <c r="S104">
        <f t="shared" si="212"/>
        <v>282.26666666666665</v>
      </c>
      <c r="T104">
        <f t="shared" si="212"/>
        <v>423.4</v>
      </c>
      <c r="U104" s="18">
        <f t="shared" si="212"/>
        <v>846.8</v>
      </c>
      <c r="CC104" t="s">
        <v>1618</v>
      </c>
      <c r="CN104" t="s">
        <v>156</v>
      </c>
      <c r="CO104">
        <v>12</v>
      </c>
      <c r="CP104">
        <v>6</v>
      </c>
      <c r="CQ104">
        <v>3</v>
      </c>
    </row>
    <row r="105" spans="1:217" x14ac:dyDescent="0.25">
      <c r="G105" t="s">
        <v>1137</v>
      </c>
      <c r="H105">
        <v>50</v>
      </c>
      <c r="I105">
        <v>15</v>
      </c>
      <c r="J105">
        <f>$J$104+(I105-9)*Index!$C$67</f>
        <v>334.09999999999997</v>
      </c>
      <c r="L105">
        <f t="shared" si="213"/>
        <v>668.19999999999993</v>
      </c>
      <c r="N105">
        <f t="shared" si="214"/>
        <v>167.04999999999998</v>
      </c>
      <c r="O105">
        <f t="shared" si="212"/>
        <v>190.91428571428568</v>
      </c>
      <c r="P105">
        <f t="shared" si="212"/>
        <v>222.73333333333329</v>
      </c>
      <c r="Q105">
        <f t="shared" si="212"/>
        <v>267.27999999999997</v>
      </c>
      <c r="R105">
        <f t="shared" si="212"/>
        <v>334.09999999999997</v>
      </c>
      <c r="S105">
        <f t="shared" si="212"/>
        <v>445.46666666666658</v>
      </c>
      <c r="T105">
        <f t="shared" si="212"/>
        <v>668.19999999999993</v>
      </c>
      <c r="U105" s="18">
        <f t="shared" si="212"/>
        <v>1336.3999999999999</v>
      </c>
      <c r="CB105" t="s">
        <v>156</v>
      </c>
      <c r="CC105">
        <v>12</v>
      </c>
      <c r="CD105">
        <v>6</v>
      </c>
      <c r="CE105">
        <v>3</v>
      </c>
      <c r="DR105">
        <v>200</v>
      </c>
      <c r="DS105">
        <v>1252.0999999999999</v>
      </c>
      <c r="DT105">
        <v>2504.1999999999998</v>
      </c>
      <c r="DU105">
        <v>5008.3999999999996</v>
      </c>
    </row>
    <row r="106" spans="1:217" x14ac:dyDescent="0.25">
      <c r="G106" t="s">
        <v>1137</v>
      </c>
      <c r="H106">
        <v>75</v>
      </c>
      <c r="I106">
        <v>22.5</v>
      </c>
      <c r="J106">
        <f>$J$104+(I106-9)*Index!$C$67</f>
        <v>487.09999999999997</v>
      </c>
      <c r="L106">
        <f t="shared" si="213"/>
        <v>974.19999999999993</v>
      </c>
      <c r="N106">
        <f t="shared" si="214"/>
        <v>243.54999999999998</v>
      </c>
      <c r="O106">
        <f t="shared" si="212"/>
        <v>278.3428571428571</v>
      </c>
      <c r="P106">
        <f t="shared" si="212"/>
        <v>324.73333333333329</v>
      </c>
      <c r="Q106">
        <f t="shared" si="212"/>
        <v>389.68</v>
      </c>
      <c r="R106">
        <f t="shared" si="212"/>
        <v>487.09999999999997</v>
      </c>
      <c r="S106">
        <f t="shared" si="212"/>
        <v>649.46666666666658</v>
      </c>
      <c r="T106">
        <f t="shared" si="212"/>
        <v>974.19999999999993</v>
      </c>
      <c r="U106" s="18">
        <f t="shared" si="212"/>
        <v>1948.3999999999999</v>
      </c>
      <c r="CB106">
        <v>75</v>
      </c>
      <c r="CC106">
        <v>487.09999999999997</v>
      </c>
      <c r="CD106">
        <v>974.19999999999993</v>
      </c>
      <c r="CE106">
        <v>1948.3999999999999</v>
      </c>
      <c r="CN106">
        <v>100</v>
      </c>
      <c r="CO106">
        <v>640.09999999999991</v>
      </c>
      <c r="CP106">
        <v>1280.1999999999998</v>
      </c>
      <c r="CQ106">
        <v>2560.3999999999996</v>
      </c>
      <c r="DR106">
        <v>300</v>
      </c>
      <c r="DS106">
        <v>1864.1</v>
      </c>
      <c r="DT106">
        <v>3728.2</v>
      </c>
      <c r="DU106">
        <v>7456.4</v>
      </c>
      <c r="EE106">
        <v>300</v>
      </c>
      <c r="EF106">
        <v>1864.1</v>
      </c>
      <c r="EG106">
        <v>3728.2</v>
      </c>
      <c r="EH106">
        <v>7456.4</v>
      </c>
    </row>
    <row r="107" spans="1:217" x14ac:dyDescent="0.25">
      <c r="G107" t="s">
        <v>1137</v>
      </c>
      <c r="H107">
        <v>100</v>
      </c>
      <c r="I107">
        <v>30</v>
      </c>
      <c r="J107">
        <f>$J$104+(I107-9)*Index!$C$67</f>
        <v>640.09999999999991</v>
      </c>
      <c r="L107">
        <f t="shared" si="213"/>
        <v>1280.1999999999998</v>
      </c>
      <c r="N107">
        <f t="shared" si="214"/>
        <v>320.04999999999995</v>
      </c>
      <c r="O107">
        <f t="shared" si="212"/>
        <v>365.77142857142849</v>
      </c>
      <c r="P107">
        <f t="shared" si="212"/>
        <v>426.73333333333323</v>
      </c>
      <c r="Q107">
        <f t="shared" si="212"/>
        <v>512.07999999999993</v>
      </c>
      <c r="R107">
        <f t="shared" si="212"/>
        <v>640.09999999999991</v>
      </c>
      <c r="S107">
        <f t="shared" si="212"/>
        <v>853.46666666666647</v>
      </c>
      <c r="T107">
        <f t="shared" si="212"/>
        <v>1280.1999999999998</v>
      </c>
      <c r="U107" s="18">
        <f t="shared" si="212"/>
        <v>2560.3999999999996</v>
      </c>
      <c r="CB107">
        <v>100</v>
      </c>
      <c r="CC107">
        <v>640.09999999999991</v>
      </c>
      <c r="CD107">
        <v>1280.1999999999998</v>
      </c>
      <c r="CE107">
        <v>2560.3999999999996</v>
      </c>
      <c r="CN107">
        <v>150</v>
      </c>
      <c r="CO107">
        <v>946.09999999999991</v>
      </c>
      <c r="CP107">
        <v>1892.1999999999998</v>
      </c>
      <c r="CQ107">
        <v>3784.3999999999996</v>
      </c>
      <c r="DD107">
        <v>200</v>
      </c>
      <c r="DE107">
        <v>1252.0999999999999</v>
      </c>
      <c r="DF107">
        <v>2504.1999999999998</v>
      </c>
      <c r="DG107">
        <v>5008.3999999999996</v>
      </c>
      <c r="DR107">
        <v>400</v>
      </c>
      <c r="DS107">
        <v>2476.0999999999995</v>
      </c>
      <c r="DT107">
        <v>4952.1999999999989</v>
      </c>
      <c r="DU107">
        <v>9904.3999999999978</v>
      </c>
      <c r="EE107">
        <v>400</v>
      </c>
      <c r="EF107">
        <v>2476.0999999999995</v>
      </c>
      <c r="EG107">
        <v>4952.1999999999989</v>
      </c>
      <c r="EH107">
        <v>9904.3999999999978</v>
      </c>
    </row>
    <row r="108" spans="1:217" x14ac:dyDescent="0.25">
      <c r="G108" t="s">
        <v>1137</v>
      </c>
      <c r="H108">
        <v>150</v>
      </c>
      <c r="I108">
        <f>AVERAGE(I107,I109)</f>
        <v>45</v>
      </c>
      <c r="J108">
        <f>$J$104+(I108-9)*Index!$C$67</f>
        <v>946.09999999999991</v>
      </c>
      <c r="L108">
        <f t="shared" ref="L108:L113" si="215">J108*2</f>
        <v>1892.1999999999998</v>
      </c>
      <c r="N108">
        <f t="shared" si="214"/>
        <v>473.04999999999995</v>
      </c>
      <c r="O108">
        <f t="shared" si="212"/>
        <v>540.62857142857138</v>
      </c>
      <c r="P108">
        <f t="shared" si="212"/>
        <v>630.73333333333323</v>
      </c>
      <c r="Q108">
        <f t="shared" si="212"/>
        <v>756.88</v>
      </c>
      <c r="R108">
        <f t="shared" si="212"/>
        <v>946.09999999999991</v>
      </c>
      <c r="S108">
        <f t="shared" si="212"/>
        <v>1261.4666666666665</v>
      </c>
      <c r="T108">
        <f t="shared" si="212"/>
        <v>1892.1999999999998</v>
      </c>
      <c r="U108" s="18">
        <f t="shared" si="212"/>
        <v>3784.3999999999996</v>
      </c>
      <c r="CB108">
        <v>150</v>
      </c>
      <c r="CC108">
        <v>946.09999999999991</v>
      </c>
      <c r="CD108">
        <v>1892.1999999999998</v>
      </c>
      <c r="CE108">
        <v>3784.3999999999996</v>
      </c>
      <c r="CN108">
        <v>200</v>
      </c>
      <c r="CO108">
        <v>1252.0999999999999</v>
      </c>
      <c r="CP108">
        <v>2504.1999999999998</v>
      </c>
      <c r="CQ108">
        <v>5008.3999999999996</v>
      </c>
      <c r="DD108">
        <v>300</v>
      </c>
      <c r="DE108">
        <v>1864.1</v>
      </c>
      <c r="DF108">
        <v>3728.2</v>
      </c>
      <c r="DG108">
        <v>7456.4</v>
      </c>
      <c r="DR108">
        <v>500</v>
      </c>
      <c r="DS108">
        <v>3088.0999999999995</v>
      </c>
      <c r="DT108">
        <v>6176.1999999999989</v>
      </c>
      <c r="DU108">
        <v>12352.399999999998</v>
      </c>
      <c r="EE108">
        <v>500</v>
      </c>
      <c r="EF108">
        <v>3088.0999999999995</v>
      </c>
      <c r="EG108">
        <v>6176.1999999999989</v>
      </c>
      <c r="EH108">
        <v>12352.399999999998</v>
      </c>
    </row>
    <row r="109" spans="1:217" x14ac:dyDescent="0.25">
      <c r="H109">
        <v>200</v>
      </c>
      <c r="I109">
        <v>60</v>
      </c>
      <c r="J109">
        <f>$J$104+(I109-9)*Index!$C$67</f>
        <v>1252.0999999999999</v>
      </c>
      <c r="L109">
        <f t="shared" si="215"/>
        <v>2504.1999999999998</v>
      </c>
      <c r="N109">
        <f t="shared" si="214"/>
        <v>626.04999999999995</v>
      </c>
      <c r="O109">
        <f t="shared" si="212"/>
        <v>715.48571428571415</v>
      </c>
      <c r="P109">
        <f t="shared" si="212"/>
        <v>834.73333333333323</v>
      </c>
      <c r="Q109">
        <f t="shared" si="212"/>
        <v>1001.68</v>
      </c>
      <c r="R109">
        <f t="shared" si="212"/>
        <v>1252.0999999999999</v>
      </c>
      <c r="S109">
        <f t="shared" si="212"/>
        <v>1669.4666666666665</v>
      </c>
      <c r="T109">
        <f t="shared" si="212"/>
        <v>2504.1999999999998</v>
      </c>
      <c r="U109" s="18">
        <f t="shared" si="212"/>
        <v>5008.3999999999996</v>
      </c>
      <c r="CB109">
        <v>200</v>
      </c>
      <c r="CC109">
        <v>1252.0999999999999</v>
      </c>
      <c r="CD109">
        <v>2504.1999999999998</v>
      </c>
      <c r="CE109">
        <v>5008.3999999999996</v>
      </c>
      <c r="CN109">
        <v>300</v>
      </c>
      <c r="CO109">
        <v>1864.1</v>
      </c>
      <c r="CP109">
        <v>3728.2</v>
      </c>
      <c r="CQ109">
        <v>7456.4</v>
      </c>
      <c r="DD109">
        <v>400</v>
      </c>
      <c r="DE109">
        <v>2476.0999999999995</v>
      </c>
      <c r="DF109">
        <v>4952.1999999999989</v>
      </c>
      <c r="DG109">
        <v>9904.3999999999978</v>
      </c>
      <c r="DR109">
        <v>600</v>
      </c>
      <c r="DS109">
        <v>3700.0999999999995</v>
      </c>
      <c r="DT109">
        <v>7400.1999999999989</v>
      </c>
      <c r="DU109">
        <v>14800.399999999998</v>
      </c>
      <c r="EE109">
        <v>600</v>
      </c>
      <c r="EF109">
        <v>3700.0999999999995</v>
      </c>
      <c r="EG109">
        <v>7400.1999999999989</v>
      </c>
      <c r="EH109">
        <v>14800.399999999998</v>
      </c>
    </row>
    <row r="110" spans="1:217" x14ac:dyDescent="0.25">
      <c r="H110">
        <v>300</v>
      </c>
      <c r="I110">
        <v>90</v>
      </c>
      <c r="J110">
        <f>$J$104+(I110-9)*Index!$C$67</f>
        <v>1864.1</v>
      </c>
      <c r="L110">
        <f t="shared" si="215"/>
        <v>3728.2</v>
      </c>
      <c r="N110">
        <f t="shared" si="214"/>
        <v>932.05</v>
      </c>
      <c r="O110">
        <f t="shared" si="212"/>
        <v>1065.1999999999998</v>
      </c>
      <c r="P110">
        <f t="shared" si="212"/>
        <v>1242.7333333333331</v>
      </c>
      <c r="Q110">
        <f t="shared" si="212"/>
        <v>1491.28</v>
      </c>
      <c r="R110">
        <f t="shared" si="212"/>
        <v>1864.1</v>
      </c>
      <c r="S110">
        <f t="shared" si="212"/>
        <v>2485.4666666666662</v>
      </c>
      <c r="T110">
        <f t="shared" si="212"/>
        <v>3728.2</v>
      </c>
      <c r="U110" s="18">
        <f t="shared" si="212"/>
        <v>7456.4</v>
      </c>
      <c r="CB110">
        <v>300</v>
      </c>
      <c r="CC110">
        <v>1864.1</v>
      </c>
      <c r="CD110">
        <v>3728.2</v>
      </c>
      <c r="CE110">
        <v>7456.4</v>
      </c>
      <c r="CN110">
        <v>400</v>
      </c>
      <c r="CO110">
        <v>2476.0999999999995</v>
      </c>
      <c r="CP110">
        <v>4952.1999999999989</v>
      </c>
      <c r="CQ110">
        <v>9904.3999999999978</v>
      </c>
      <c r="DD110">
        <v>500</v>
      </c>
      <c r="DE110">
        <v>3088.0999999999995</v>
      </c>
      <c r="DF110">
        <v>6176.1999999999989</v>
      </c>
      <c r="DG110">
        <v>12352.399999999998</v>
      </c>
      <c r="DR110">
        <v>800</v>
      </c>
      <c r="DS110">
        <v>4924.0999999999995</v>
      </c>
      <c r="DT110">
        <v>9848.1999999999989</v>
      </c>
      <c r="DU110">
        <v>19696.399999999998</v>
      </c>
      <c r="EE110">
        <v>800</v>
      </c>
      <c r="EF110">
        <v>4924.0999999999995</v>
      </c>
      <c r="EG110">
        <v>9848.1999999999989</v>
      </c>
      <c r="EH110">
        <v>19696.399999999998</v>
      </c>
    </row>
    <row r="111" spans="1:217" x14ac:dyDescent="0.25">
      <c r="H111">
        <v>400</v>
      </c>
      <c r="I111">
        <v>120</v>
      </c>
      <c r="J111">
        <f>$J$104+(I111-9)*Index!$C$67</f>
        <v>2476.0999999999995</v>
      </c>
      <c r="L111">
        <f t="shared" si="215"/>
        <v>4952.1999999999989</v>
      </c>
      <c r="N111">
        <f t="shared" si="214"/>
        <v>1238.0499999999997</v>
      </c>
      <c r="O111">
        <f t="shared" si="212"/>
        <v>1414.9142857142854</v>
      </c>
      <c r="P111">
        <f t="shared" si="212"/>
        <v>1650.7333333333329</v>
      </c>
      <c r="Q111">
        <f t="shared" si="212"/>
        <v>1980.8799999999997</v>
      </c>
      <c r="R111">
        <f t="shared" si="212"/>
        <v>2476.0999999999995</v>
      </c>
      <c r="S111">
        <f t="shared" si="212"/>
        <v>3301.4666666666658</v>
      </c>
      <c r="T111">
        <f t="shared" si="212"/>
        <v>4952.1999999999989</v>
      </c>
      <c r="U111" s="18">
        <f t="shared" si="212"/>
        <v>9904.3999999999978</v>
      </c>
      <c r="CB111">
        <v>400</v>
      </c>
      <c r="CC111">
        <v>2476.0999999999995</v>
      </c>
      <c r="CD111">
        <v>4952.1999999999989</v>
      </c>
      <c r="CE111">
        <v>9904.3999999999978</v>
      </c>
      <c r="CN111">
        <v>500</v>
      </c>
      <c r="CO111">
        <v>3088.0999999999995</v>
      </c>
      <c r="CP111">
        <v>6176.1999999999989</v>
      </c>
      <c r="CQ111">
        <v>12352.399999999998</v>
      </c>
      <c r="DD111">
        <v>600</v>
      </c>
      <c r="DE111">
        <v>3700.0999999999995</v>
      </c>
      <c r="DF111">
        <v>7400.1999999999989</v>
      </c>
      <c r="DG111">
        <v>14800.399999999998</v>
      </c>
      <c r="DR111">
        <v>1000</v>
      </c>
      <c r="DS111">
        <v>6148.0999999999995</v>
      </c>
      <c r="DT111">
        <v>12296.199999999999</v>
      </c>
      <c r="DU111">
        <v>24592.399999999998</v>
      </c>
      <c r="EE111">
        <v>1000</v>
      </c>
      <c r="EF111">
        <v>6148.0999999999995</v>
      </c>
      <c r="EG111">
        <v>12296.199999999999</v>
      </c>
      <c r="EH111">
        <v>24592.399999999998</v>
      </c>
      <c r="ET111">
        <v>600</v>
      </c>
      <c r="EU111">
        <v>3700.0999999999995</v>
      </c>
      <c r="EV111">
        <v>7400.1999999999989</v>
      </c>
      <c r="EW111">
        <v>14800.399999999998</v>
      </c>
    </row>
    <row r="112" spans="1:217" x14ac:dyDescent="0.25">
      <c r="H112">
        <v>500</v>
      </c>
      <c r="I112">
        <v>150</v>
      </c>
      <c r="J112">
        <f>$J$104+(I112-9)*Index!$C$67</f>
        <v>3088.0999999999995</v>
      </c>
      <c r="L112">
        <f t="shared" si="215"/>
        <v>6176.1999999999989</v>
      </c>
      <c r="N112">
        <f t="shared" si="214"/>
        <v>1544.0499999999997</v>
      </c>
      <c r="O112">
        <f t="shared" si="212"/>
        <v>1764.6285714285709</v>
      </c>
      <c r="P112">
        <f t="shared" si="212"/>
        <v>2058.7333333333327</v>
      </c>
      <c r="Q112">
        <f t="shared" si="212"/>
        <v>2470.4799999999996</v>
      </c>
      <c r="R112">
        <f t="shared" si="212"/>
        <v>3088.0999999999995</v>
      </c>
      <c r="S112">
        <f t="shared" si="212"/>
        <v>4117.4666666666653</v>
      </c>
      <c r="T112">
        <f t="shared" si="212"/>
        <v>6176.1999999999989</v>
      </c>
      <c r="U112" s="18">
        <f t="shared" si="212"/>
        <v>12352.399999999998</v>
      </c>
      <c r="CB112">
        <v>500</v>
      </c>
      <c r="CC112">
        <v>3088.0999999999995</v>
      </c>
      <c r="CD112">
        <v>6176.1999999999989</v>
      </c>
      <c r="CE112">
        <v>12352.399999999998</v>
      </c>
      <c r="CN112">
        <v>600</v>
      </c>
      <c r="CO112">
        <v>3700.0999999999995</v>
      </c>
      <c r="CP112">
        <v>7400.1999999999989</v>
      </c>
      <c r="CQ112">
        <v>14800.399999999998</v>
      </c>
      <c r="DD112">
        <v>800</v>
      </c>
      <c r="DE112">
        <v>4924.0999999999995</v>
      </c>
      <c r="DF112">
        <v>9848.1999999999989</v>
      </c>
      <c r="DG112">
        <v>19696.399999999998</v>
      </c>
      <c r="ET112">
        <v>800</v>
      </c>
      <c r="EU112">
        <v>4924.0999999999995</v>
      </c>
      <c r="EV112">
        <v>9848.1999999999989</v>
      </c>
      <c r="EW112">
        <v>19696.399999999998</v>
      </c>
    </row>
    <row r="113" spans="1:217" x14ac:dyDescent="0.25">
      <c r="H113">
        <v>600</v>
      </c>
      <c r="I113">
        <v>180</v>
      </c>
      <c r="J113">
        <f>$J$104+(I113-9)*Index!$C$67</f>
        <v>3700.0999999999995</v>
      </c>
      <c r="L113">
        <f t="shared" si="215"/>
        <v>7400.1999999999989</v>
      </c>
      <c r="N113">
        <f t="shared" si="214"/>
        <v>1850.0499999999997</v>
      </c>
      <c r="O113">
        <f t="shared" si="212"/>
        <v>2114.3428571428567</v>
      </c>
      <c r="P113">
        <f t="shared" si="212"/>
        <v>2466.7333333333327</v>
      </c>
      <c r="Q113">
        <f t="shared" si="212"/>
        <v>2960.08</v>
      </c>
      <c r="R113">
        <f t="shared" si="212"/>
        <v>3700.0999999999995</v>
      </c>
      <c r="S113">
        <f t="shared" si="212"/>
        <v>4933.4666666666653</v>
      </c>
      <c r="T113">
        <f t="shared" si="212"/>
        <v>7400.1999999999989</v>
      </c>
      <c r="U113" s="18">
        <f t="shared" si="212"/>
        <v>14800.399999999998</v>
      </c>
      <c r="CB113">
        <v>600</v>
      </c>
      <c r="CC113">
        <v>3700.0999999999995</v>
      </c>
      <c r="CD113">
        <v>7400.1999999999989</v>
      </c>
      <c r="CE113">
        <v>14800.399999999998</v>
      </c>
      <c r="CN113">
        <v>800</v>
      </c>
      <c r="CO113">
        <v>4924.0999999999995</v>
      </c>
      <c r="CP113">
        <v>9848.1999999999989</v>
      </c>
      <c r="CQ113">
        <v>19696.399999999998</v>
      </c>
      <c r="DD113">
        <v>1000</v>
      </c>
      <c r="DE113">
        <v>6148.0999999999995</v>
      </c>
      <c r="DF113">
        <v>12296.199999999999</v>
      </c>
      <c r="DG113">
        <v>24592.399999999998</v>
      </c>
      <c r="ET113">
        <v>1000</v>
      </c>
      <c r="EU113">
        <v>6148.0999999999995</v>
      </c>
      <c r="EV113">
        <v>12296.199999999999</v>
      </c>
      <c r="EW113">
        <v>24592.399999999998</v>
      </c>
    </row>
    <row r="114" spans="1:217" x14ac:dyDescent="0.25">
      <c r="H114">
        <v>800</v>
      </c>
      <c r="I114">
        <v>240</v>
      </c>
      <c r="J114">
        <f>$J$104+(I114-9)*Index!$C$67</f>
        <v>4924.0999999999995</v>
      </c>
      <c r="L114">
        <f>J114*2</f>
        <v>9848.1999999999989</v>
      </c>
      <c r="N114">
        <f t="shared" si="214"/>
        <v>2462.0499999999997</v>
      </c>
      <c r="O114">
        <f t="shared" si="212"/>
        <v>2813.7714285714283</v>
      </c>
      <c r="P114">
        <f t="shared" si="212"/>
        <v>3282.7333333333327</v>
      </c>
      <c r="Q114">
        <f t="shared" si="212"/>
        <v>3939.2799999999997</v>
      </c>
      <c r="R114">
        <f t="shared" si="212"/>
        <v>4924.0999999999995</v>
      </c>
      <c r="S114">
        <f t="shared" si="212"/>
        <v>6565.4666666666653</v>
      </c>
      <c r="T114">
        <f t="shared" si="212"/>
        <v>9848.1999999999989</v>
      </c>
      <c r="U114" s="18">
        <f t="shared" si="212"/>
        <v>19696.399999999998</v>
      </c>
      <c r="CB114">
        <v>800</v>
      </c>
      <c r="CC114">
        <v>4924.0999999999995</v>
      </c>
      <c r="CD114">
        <v>9848.1999999999989</v>
      </c>
      <c r="CE114">
        <v>19696.399999999998</v>
      </c>
      <c r="CN114">
        <v>1000</v>
      </c>
      <c r="CO114">
        <v>6148.0999999999995</v>
      </c>
      <c r="CP114">
        <v>12296.199999999999</v>
      </c>
      <c r="CQ114">
        <v>24592.399999999998</v>
      </c>
    </row>
    <row r="115" spans="1:217" x14ac:dyDescent="0.25">
      <c r="H115">
        <v>1000</v>
      </c>
      <c r="I115">
        <v>300</v>
      </c>
      <c r="J115">
        <f>$J$104+(I115-9)*Index!$C$67</f>
        <v>6148.0999999999995</v>
      </c>
      <c r="L115">
        <f>J115*2</f>
        <v>12296.199999999999</v>
      </c>
      <c r="N115">
        <f t="shared" si="214"/>
        <v>3074.0499999999997</v>
      </c>
      <c r="O115">
        <f t="shared" si="212"/>
        <v>3513.1999999999994</v>
      </c>
      <c r="P115">
        <f t="shared" si="212"/>
        <v>4098.7333333333327</v>
      </c>
      <c r="Q115">
        <f t="shared" si="212"/>
        <v>4918.4799999999996</v>
      </c>
      <c r="R115">
        <f t="shared" si="212"/>
        <v>6148.0999999999995</v>
      </c>
      <c r="S115">
        <f t="shared" si="212"/>
        <v>8197.4666666666653</v>
      </c>
      <c r="T115">
        <f>$J115*T$100</f>
        <v>12296.199999999999</v>
      </c>
      <c r="U115" s="18">
        <f t="shared" si="212"/>
        <v>24592.399999999998</v>
      </c>
      <c r="CB115">
        <v>1000</v>
      </c>
      <c r="CC115">
        <v>6148.0999999999995</v>
      </c>
      <c r="CD115">
        <v>12296.199999999999</v>
      </c>
      <c r="CE115">
        <v>24592.399999999998</v>
      </c>
    </row>
    <row r="116" spans="1:217" ht="15.75" thickBot="1" x14ac:dyDescent="0.3">
      <c r="N116">
        <f t="shared" si="214"/>
        <v>0</v>
      </c>
      <c r="O116">
        <f t="shared" si="212"/>
        <v>0</v>
      </c>
      <c r="P116">
        <f t="shared" si="212"/>
        <v>0</v>
      </c>
      <c r="Q116">
        <f t="shared" si="212"/>
        <v>0</v>
      </c>
      <c r="R116">
        <f t="shared" si="212"/>
        <v>0</v>
      </c>
      <c r="S116">
        <f t="shared" si="212"/>
        <v>0</v>
      </c>
      <c r="T116">
        <f t="shared" si="212"/>
        <v>0</v>
      </c>
      <c r="U116" s="18">
        <f t="shared" si="212"/>
        <v>0</v>
      </c>
    </row>
    <row r="117" spans="1:217" s="88" customFormat="1" ht="15.75" thickBot="1" x14ac:dyDescent="0.3">
      <c r="A117" s="129" t="s">
        <v>1612</v>
      </c>
      <c r="B117" s="130"/>
      <c r="C117" s="130"/>
      <c r="D117" s="130"/>
      <c r="E117" s="130"/>
      <c r="F117" s="131"/>
      <c r="U117" s="90"/>
      <c r="AI117" s="90"/>
      <c r="AW117" s="90"/>
      <c r="BK117" s="90"/>
      <c r="BY117" s="90"/>
      <c r="CM117" s="90"/>
      <c r="DA117" s="90"/>
      <c r="DO117" s="90"/>
      <c r="EC117" s="90"/>
      <c r="EQ117" s="90"/>
      <c r="FE117" s="90"/>
      <c r="FS117" s="90"/>
      <c r="GG117" s="90"/>
      <c r="GU117" s="90"/>
      <c r="HI117" s="90"/>
    </row>
    <row r="119" spans="1:217" x14ac:dyDescent="0.25">
      <c r="I119" t="s">
        <v>56</v>
      </c>
      <c r="M119" t="s">
        <v>1616</v>
      </c>
      <c r="S119" t="s">
        <v>1617</v>
      </c>
      <c r="W119" t="s">
        <v>56</v>
      </c>
      <c r="AA119" t="s">
        <v>1616</v>
      </c>
      <c r="AG119" t="s">
        <v>1617</v>
      </c>
      <c r="AK119" t="s">
        <v>56</v>
      </c>
      <c r="AO119" t="s">
        <v>1616</v>
      </c>
      <c r="AU119" t="s">
        <v>1617</v>
      </c>
      <c r="AY119" t="s">
        <v>56</v>
      </c>
      <c r="BC119" t="s">
        <v>1616</v>
      </c>
      <c r="BI119" t="s">
        <v>1617</v>
      </c>
      <c r="BM119" t="s">
        <v>56</v>
      </c>
      <c r="BQ119" t="s">
        <v>1616</v>
      </c>
      <c r="BW119" t="s">
        <v>1617</v>
      </c>
      <c r="CA119" t="s">
        <v>56</v>
      </c>
      <c r="CE119" t="s">
        <v>1616</v>
      </c>
      <c r="CK119" t="s">
        <v>1617</v>
      </c>
      <c r="CO119" t="s">
        <v>56</v>
      </c>
      <c r="CS119" t="s">
        <v>1616</v>
      </c>
      <c r="CY119" t="s">
        <v>1617</v>
      </c>
      <c r="DC119" t="s">
        <v>56</v>
      </c>
      <c r="DG119" t="s">
        <v>1616</v>
      </c>
      <c r="DM119" t="s">
        <v>1617</v>
      </c>
      <c r="DQ119" t="s">
        <v>56</v>
      </c>
      <c r="DU119" t="s">
        <v>1616</v>
      </c>
      <c r="EA119" t="s">
        <v>1617</v>
      </c>
      <c r="EE119" t="s">
        <v>56</v>
      </c>
      <c r="EI119" t="s">
        <v>1616</v>
      </c>
      <c r="EO119" t="s">
        <v>1617</v>
      </c>
      <c r="ES119" t="s">
        <v>56</v>
      </c>
      <c r="EW119" t="s">
        <v>1616</v>
      </c>
      <c r="FC119" t="s">
        <v>1617</v>
      </c>
      <c r="FG119" t="s">
        <v>56</v>
      </c>
      <c r="FK119" t="s">
        <v>1616</v>
      </c>
      <c r="FQ119" t="s">
        <v>1617</v>
      </c>
      <c r="FU119" t="s">
        <v>56</v>
      </c>
      <c r="FY119" t="s">
        <v>1616</v>
      </c>
      <c r="GE119" t="s">
        <v>1617</v>
      </c>
      <c r="GI119" t="s">
        <v>56</v>
      </c>
      <c r="GM119" t="s">
        <v>1616</v>
      </c>
      <c r="GS119" t="s">
        <v>1617</v>
      </c>
      <c r="GW119" t="s">
        <v>56</v>
      </c>
      <c r="HA119" t="s">
        <v>1616</v>
      </c>
      <c r="HG119" t="s">
        <v>1617</v>
      </c>
    </row>
    <row r="121" spans="1:217" x14ac:dyDescent="0.25">
      <c r="I121" t="s">
        <v>1614</v>
      </c>
      <c r="J121" t="s">
        <v>1614</v>
      </c>
      <c r="N121" t="s">
        <v>1614</v>
      </c>
      <c r="O121" t="s">
        <v>1614</v>
      </c>
      <c r="S121" t="s">
        <v>1614</v>
      </c>
      <c r="T121" t="s">
        <v>1614</v>
      </c>
      <c r="W121" t="s">
        <v>1614</v>
      </c>
      <c r="X121" t="s">
        <v>1614</v>
      </c>
      <c r="AB121" t="s">
        <v>1614</v>
      </c>
      <c r="AC121" t="s">
        <v>1614</v>
      </c>
      <c r="AG121" t="s">
        <v>1614</v>
      </c>
      <c r="AH121" t="s">
        <v>1614</v>
      </c>
      <c r="AK121" t="s">
        <v>1614</v>
      </c>
      <c r="AL121" t="s">
        <v>1614</v>
      </c>
      <c r="AP121" t="s">
        <v>1614</v>
      </c>
      <c r="AQ121" t="s">
        <v>1614</v>
      </c>
      <c r="AU121" t="s">
        <v>1614</v>
      </c>
      <c r="AV121" t="s">
        <v>1614</v>
      </c>
      <c r="AY121" t="s">
        <v>1614</v>
      </c>
      <c r="AZ121" t="s">
        <v>1614</v>
      </c>
      <c r="BD121" t="s">
        <v>1614</v>
      </c>
      <c r="BE121" t="s">
        <v>1614</v>
      </c>
      <c r="BI121" t="s">
        <v>1614</v>
      </c>
      <c r="BJ121" t="s">
        <v>1614</v>
      </c>
      <c r="BM121" t="s">
        <v>1614</v>
      </c>
      <c r="BN121" t="s">
        <v>1614</v>
      </c>
      <c r="BR121" t="s">
        <v>1614</v>
      </c>
      <c r="BS121" t="s">
        <v>1614</v>
      </c>
      <c r="BW121" t="s">
        <v>1614</v>
      </c>
      <c r="BX121" t="s">
        <v>1614</v>
      </c>
      <c r="CA121" t="s">
        <v>1614</v>
      </c>
      <c r="CB121" t="s">
        <v>1614</v>
      </c>
      <c r="CF121" t="s">
        <v>1614</v>
      </c>
      <c r="CG121" t="s">
        <v>1614</v>
      </c>
      <c r="CK121" t="s">
        <v>1614</v>
      </c>
      <c r="CL121" t="s">
        <v>1614</v>
      </c>
      <c r="CO121" t="s">
        <v>1614</v>
      </c>
      <c r="CP121" t="s">
        <v>1614</v>
      </c>
      <c r="CT121" t="s">
        <v>1614</v>
      </c>
      <c r="CU121" t="s">
        <v>1614</v>
      </c>
      <c r="CY121" t="s">
        <v>1614</v>
      </c>
      <c r="CZ121" t="s">
        <v>1614</v>
      </c>
      <c r="DC121" t="s">
        <v>1614</v>
      </c>
      <c r="DD121" t="s">
        <v>1614</v>
      </c>
      <c r="DH121" t="s">
        <v>1614</v>
      </c>
      <c r="DI121" t="s">
        <v>1614</v>
      </c>
      <c r="DM121" t="s">
        <v>1614</v>
      </c>
      <c r="DN121" t="s">
        <v>1614</v>
      </c>
      <c r="DQ121" t="s">
        <v>1614</v>
      </c>
      <c r="DR121" t="s">
        <v>1614</v>
      </c>
      <c r="DV121" t="s">
        <v>1614</v>
      </c>
      <c r="DW121" t="s">
        <v>1614</v>
      </c>
      <c r="EA121" t="s">
        <v>1614</v>
      </c>
      <c r="EB121" t="s">
        <v>1614</v>
      </c>
      <c r="EE121" t="s">
        <v>1614</v>
      </c>
      <c r="EF121" t="s">
        <v>1614</v>
      </c>
      <c r="EJ121" t="s">
        <v>1614</v>
      </c>
      <c r="EK121" t="s">
        <v>1614</v>
      </c>
      <c r="EO121" t="s">
        <v>1614</v>
      </c>
      <c r="EP121" t="s">
        <v>1614</v>
      </c>
      <c r="ES121" t="s">
        <v>1614</v>
      </c>
      <c r="ET121" t="s">
        <v>1614</v>
      </c>
      <c r="EX121" t="s">
        <v>1614</v>
      </c>
      <c r="EY121" t="s">
        <v>1614</v>
      </c>
      <c r="FC121" t="s">
        <v>1614</v>
      </c>
      <c r="FD121" t="s">
        <v>1614</v>
      </c>
      <c r="FG121" t="s">
        <v>1614</v>
      </c>
      <c r="FH121" t="s">
        <v>1614</v>
      </c>
      <c r="FL121" t="s">
        <v>1614</v>
      </c>
      <c r="FM121" t="s">
        <v>1614</v>
      </c>
      <c r="FQ121" t="s">
        <v>1614</v>
      </c>
      <c r="FR121" t="s">
        <v>1614</v>
      </c>
      <c r="FU121" t="s">
        <v>1614</v>
      </c>
      <c r="FV121" t="s">
        <v>1614</v>
      </c>
      <c r="FZ121" t="s">
        <v>1614</v>
      </c>
      <c r="GA121" t="s">
        <v>1614</v>
      </c>
      <c r="GE121" t="s">
        <v>1614</v>
      </c>
      <c r="GF121" t="s">
        <v>1614</v>
      </c>
      <c r="GI121" t="s">
        <v>1614</v>
      </c>
      <c r="GJ121" t="s">
        <v>1614</v>
      </c>
      <c r="GN121" t="s">
        <v>1614</v>
      </c>
      <c r="GO121" t="s">
        <v>1614</v>
      </c>
      <c r="GS121" t="s">
        <v>1614</v>
      </c>
      <c r="GT121" t="s">
        <v>1614</v>
      </c>
      <c r="GW121" t="s">
        <v>1614</v>
      </c>
      <c r="GX121" t="s">
        <v>1614</v>
      </c>
      <c r="HB121" t="s">
        <v>1614</v>
      </c>
      <c r="HC121" t="s">
        <v>1614</v>
      </c>
      <c r="HG121" t="s">
        <v>1614</v>
      </c>
      <c r="HH121" t="s">
        <v>1614</v>
      </c>
    </row>
    <row r="122" spans="1:217" x14ac:dyDescent="0.25">
      <c r="H122" t="s">
        <v>1613</v>
      </c>
      <c r="I122">
        <v>0</v>
      </c>
      <c r="J122">
        <v>3.5000000000000003E-2</v>
      </c>
      <c r="K122">
        <v>0.06</v>
      </c>
      <c r="M122" t="s">
        <v>1613</v>
      </c>
      <c r="N122">
        <v>0</v>
      </c>
      <c r="O122">
        <v>3.5000000000000003E-2</v>
      </c>
      <c r="P122">
        <v>0.06</v>
      </c>
      <c r="R122" t="s">
        <v>1613</v>
      </c>
      <c r="S122">
        <v>0</v>
      </c>
      <c r="T122">
        <v>3.5000000000000003E-2</v>
      </c>
      <c r="U122" s="18">
        <v>0.06</v>
      </c>
      <c r="V122" t="s">
        <v>1613</v>
      </c>
      <c r="W122">
        <v>0</v>
      </c>
      <c r="X122">
        <v>3.5000000000000003E-2</v>
      </c>
      <c r="Y122">
        <v>0.06</v>
      </c>
      <c r="AA122" t="s">
        <v>1613</v>
      </c>
      <c r="AB122">
        <v>0</v>
      </c>
      <c r="AC122">
        <v>3.5000000000000003E-2</v>
      </c>
      <c r="AD122">
        <v>0.06</v>
      </c>
      <c r="AF122" t="s">
        <v>1613</v>
      </c>
      <c r="AG122">
        <v>0</v>
      </c>
      <c r="AH122">
        <v>3.5000000000000003E-2</v>
      </c>
      <c r="AI122" s="18">
        <v>0.06</v>
      </c>
      <c r="AJ122" t="s">
        <v>1613</v>
      </c>
      <c r="AK122">
        <v>0</v>
      </c>
      <c r="AL122">
        <v>3.5000000000000003E-2</v>
      </c>
      <c r="AM122">
        <v>0.06</v>
      </c>
      <c r="AO122" t="s">
        <v>1613</v>
      </c>
      <c r="AP122">
        <v>0</v>
      </c>
      <c r="AQ122">
        <v>3.5000000000000003E-2</v>
      </c>
      <c r="AR122">
        <v>0.06</v>
      </c>
      <c r="AT122" t="s">
        <v>1613</v>
      </c>
      <c r="AU122">
        <v>0</v>
      </c>
      <c r="AV122">
        <v>3.5000000000000003E-2</v>
      </c>
      <c r="AW122" s="18">
        <v>0.06</v>
      </c>
      <c r="AX122" t="s">
        <v>1613</v>
      </c>
      <c r="AY122">
        <v>0</v>
      </c>
      <c r="AZ122">
        <v>3.5000000000000003E-2</v>
      </c>
      <c r="BA122">
        <v>0.06</v>
      </c>
      <c r="BC122" t="s">
        <v>1613</v>
      </c>
      <c r="BD122">
        <v>0</v>
      </c>
      <c r="BE122">
        <v>3.5000000000000003E-2</v>
      </c>
      <c r="BF122">
        <v>0.06</v>
      </c>
      <c r="BH122" t="s">
        <v>1613</v>
      </c>
      <c r="BI122">
        <v>0</v>
      </c>
      <c r="BJ122">
        <v>3.5000000000000003E-2</v>
      </c>
      <c r="BK122" s="18">
        <v>0.06</v>
      </c>
      <c r="BL122" t="s">
        <v>1613</v>
      </c>
      <c r="BM122">
        <v>0</v>
      </c>
      <c r="BN122">
        <v>3.5000000000000003E-2</v>
      </c>
      <c r="BO122">
        <v>0.06</v>
      </c>
      <c r="BQ122" t="s">
        <v>1613</v>
      </c>
      <c r="BR122">
        <v>0</v>
      </c>
      <c r="BS122">
        <v>3.5000000000000003E-2</v>
      </c>
      <c r="BT122">
        <v>0.06</v>
      </c>
      <c r="BV122" t="s">
        <v>1613</v>
      </c>
      <c r="BW122">
        <v>0</v>
      </c>
      <c r="BX122">
        <v>3.5000000000000003E-2</v>
      </c>
      <c r="BY122" s="18">
        <v>0.06</v>
      </c>
      <c r="BZ122" t="s">
        <v>1613</v>
      </c>
      <c r="CA122">
        <v>0</v>
      </c>
      <c r="CB122">
        <v>3.5000000000000003E-2</v>
      </c>
      <c r="CC122">
        <v>0.06</v>
      </c>
      <c r="CE122" t="s">
        <v>1613</v>
      </c>
      <c r="CF122">
        <v>0</v>
      </c>
      <c r="CG122">
        <v>3.5000000000000003E-2</v>
      </c>
      <c r="CH122">
        <v>0.06</v>
      </c>
      <c r="CJ122" t="s">
        <v>1613</v>
      </c>
      <c r="CK122">
        <v>0</v>
      </c>
      <c r="CL122">
        <v>3.5000000000000003E-2</v>
      </c>
      <c r="CM122" s="18">
        <v>0.06</v>
      </c>
      <c r="CN122" t="s">
        <v>1613</v>
      </c>
      <c r="CO122">
        <v>0</v>
      </c>
      <c r="CP122">
        <v>3.5000000000000003E-2</v>
      </c>
      <c r="CQ122">
        <v>0.06</v>
      </c>
      <c r="CS122" t="s">
        <v>1613</v>
      </c>
      <c r="CT122">
        <v>0</v>
      </c>
      <c r="CU122">
        <v>3.5000000000000003E-2</v>
      </c>
      <c r="CV122">
        <v>0.06</v>
      </c>
      <c r="CX122" t="s">
        <v>1613</v>
      </c>
      <c r="CY122">
        <v>0</v>
      </c>
      <c r="CZ122">
        <v>3.5000000000000003E-2</v>
      </c>
      <c r="DA122" s="18">
        <v>0.06</v>
      </c>
      <c r="DB122" t="s">
        <v>1613</v>
      </c>
      <c r="DC122">
        <v>0</v>
      </c>
      <c r="DD122">
        <v>3.5000000000000003E-2</v>
      </c>
      <c r="DE122">
        <v>0.06</v>
      </c>
      <c r="DG122" t="s">
        <v>1613</v>
      </c>
      <c r="DH122">
        <v>0</v>
      </c>
      <c r="DI122">
        <v>3.5000000000000003E-2</v>
      </c>
      <c r="DJ122">
        <v>0.06</v>
      </c>
      <c r="DL122" t="s">
        <v>1613</v>
      </c>
      <c r="DM122">
        <v>0</v>
      </c>
      <c r="DN122">
        <v>3.5000000000000003E-2</v>
      </c>
      <c r="DO122" s="18">
        <v>0.06</v>
      </c>
      <c r="DP122" t="s">
        <v>1613</v>
      </c>
      <c r="DQ122">
        <v>0</v>
      </c>
      <c r="DR122">
        <v>3.5000000000000003E-2</v>
      </c>
      <c r="DS122">
        <v>0.06</v>
      </c>
      <c r="DU122" t="s">
        <v>1613</v>
      </c>
      <c r="DV122">
        <v>0</v>
      </c>
      <c r="DW122">
        <v>3.5000000000000003E-2</v>
      </c>
      <c r="DX122">
        <v>0.06</v>
      </c>
      <c r="DZ122" t="s">
        <v>1613</v>
      </c>
      <c r="EA122">
        <v>0</v>
      </c>
      <c r="EB122">
        <v>3.5000000000000003E-2</v>
      </c>
      <c r="EC122" s="18">
        <v>0.06</v>
      </c>
      <c r="ED122" t="s">
        <v>1613</v>
      </c>
      <c r="EE122">
        <v>0</v>
      </c>
      <c r="EF122">
        <v>3.5000000000000003E-2</v>
      </c>
      <c r="EG122">
        <v>0.06</v>
      </c>
      <c r="EI122" t="s">
        <v>1613</v>
      </c>
      <c r="EJ122">
        <v>0</v>
      </c>
      <c r="EK122">
        <v>3.5000000000000003E-2</v>
      </c>
      <c r="EL122">
        <v>0.06</v>
      </c>
      <c r="EN122" t="s">
        <v>1613</v>
      </c>
      <c r="EO122">
        <v>0</v>
      </c>
      <c r="EP122">
        <v>3.5000000000000003E-2</v>
      </c>
      <c r="EQ122" s="18">
        <v>0.06</v>
      </c>
      <c r="ER122" t="s">
        <v>1613</v>
      </c>
      <c r="ES122">
        <v>0</v>
      </c>
      <c r="ET122">
        <v>3.5000000000000003E-2</v>
      </c>
      <c r="EU122">
        <v>0.06</v>
      </c>
      <c r="EW122" t="s">
        <v>1613</v>
      </c>
      <c r="EX122">
        <v>0</v>
      </c>
      <c r="EY122">
        <v>3.5000000000000003E-2</v>
      </c>
      <c r="EZ122">
        <v>0.06</v>
      </c>
      <c r="FB122" t="s">
        <v>1613</v>
      </c>
      <c r="FC122">
        <v>0</v>
      </c>
      <c r="FD122">
        <v>3.5000000000000003E-2</v>
      </c>
      <c r="FE122" s="18">
        <v>0.06</v>
      </c>
      <c r="FF122" t="s">
        <v>1613</v>
      </c>
      <c r="FG122">
        <v>0</v>
      </c>
      <c r="FH122">
        <v>3.5000000000000003E-2</v>
      </c>
      <c r="FI122">
        <v>0.06</v>
      </c>
      <c r="FK122" t="s">
        <v>1613</v>
      </c>
      <c r="FL122">
        <v>0</v>
      </c>
      <c r="FM122">
        <v>3.5000000000000003E-2</v>
      </c>
      <c r="FN122">
        <v>0.06</v>
      </c>
      <c r="FP122" t="s">
        <v>1613</v>
      </c>
      <c r="FQ122">
        <v>0</v>
      </c>
      <c r="FR122">
        <v>3.5000000000000003E-2</v>
      </c>
      <c r="FS122" s="18">
        <v>0.06</v>
      </c>
      <c r="FT122" t="s">
        <v>1613</v>
      </c>
      <c r="FU122">
        <v>0</v>
      </c>
      <c r="FV122">
        <v>3.5000000000000003E-2</v>
      </c>
      <c r="FW122">
        <v>0.06</v>
      </c>
      <c r="FY122" t="s">
        <v>1613</v>
      </c>
      <c r="FZ122">
        <v>0</v>
      </c>
      <c r="GA122">
        <v>3.5000000000000003E-2</v>
      </c>
      <c r="GB122">
        <v>0.06</v>
      </c>
      <c r="GD122" t="s">
        <v>1613</v>
      </c>
      <c r="GE122">
        <v>0</v>
      </c>
      <c r="GF122">
        <v>3.5000000000000003E-2</v>
      </c>
      <c r="GG122" s="18">
        <v>0.06</v>
      </c>
      <c r="GH122" t="s">
        <v>1613</v>
      </c>
      <c r="GI122">
        <v>0</v>
      </c>
      <c r="GJ122">
        <v>3.5000000000000003E-2</v>
      </c>
      <c r="GK122">
        <v>0.06</v>
      </c>
      <c r="GM122" t="s">
        <v>1613</v>
      </c>
      <c r="GN122">
        <v>0</v>
      </c>
      <c r="GO122">
        <v>3.5000000000000003E-2</v>
      </c>
      <c r="GP122">
        <v>0.06</v>
      </c>
      <c r="GR122" t="s">
        <v>1613</v>
      </c>
      <c r="GS122">
        <v>0</v>
      </c>
      <c r="GT122">
        <v>3.5000000000000003E-2</v>
      </c>
      <c r="GU122" s="18">
        <v>0.06</v>
      </c>
      <c r="GV122" t="s">
        <v>1613</v>
      </c>
      <c r="GW122">
        <v>0</v>
      </c>
      <c r="GX122">
        <v>3.5000000000000003E-2</v>
      </c>
      <c r="GY122">
        <v>0.06</v>
      </c>
      <c r="HA122" t="s">
        <v>1613</v>
      </c>
      <c r="HB122">
        <v>0</v>
      </c>
      <c r="HC122">
        <v>3.5000000000000003E-2</v>
      </c>
      <c r="HD122">
        <v>0.06</v>
      </c>
      <c r="HF122" t="s">
        <v>1613</v>
      </c>
      <c r="HG122">
        <v>0</v>
      </c>
      <c r="HH122">
        <v>3.5000000000000003E-2</v>
      </c>
      <c r="HI122" s="18">
        <v>0.06</v>
      </c>
    </row>
    <row r="123" spans="1:217" x14ac:dyDescent="0.25">
      <c r="H123">
        <v>1</v>
      </c>
      <c r="I123">
        <f>$T$101</f>
        <v>387</v>
      </c>
      <c r="J123">
        <f>I123/((1+$J$122)^H123)</f>
        <v>373.91304347826087</v>
      </c>
      <c r="K123">
        <f>$I123/((1+K$122)^$H123)</f>
        <v>365.09433962264148</v>
      </c>
      <c r="M123">
        <v>1</v>
      </c>
      <c r="N123">
        <v>193.5</v>
      </c>
      <c r="O123">
        <f>N123/((1+$J122)^M123)</f>
        <v>186.95652173913044</v>
      </c>
      <c r="P123">
        <f>$N123/((1+P$122)^$H123)</f>
        <v>182.54716981132074</v>
      </c>
      <c r="R123">
        <v>1</v>
      </c>
      <c r="S123">
        <v>774</v>
      </c>
      <c r="T123">
        <f>S123/((1+$J122)^R123)</f>
        <v>747.82608695652175</v>
      </c>
      <c r="U123" s="18">
        <f>$S123/((1+U$122)^$H123)</f>
        <v>730.18867924528297</v>
      </c>
      <c r="V123">
        <v>1</v>
      </c>
      <c r="W123">
        <v>423.4</v>
      </c>
      <c r="X123">
        <f>W123/((1+$J$122)^V123)</f>
        <v>409.08212560386477</v>
      </c>
      <c r="Y123">
        <f>$W123/((1+Y$122)^$H123)</f>
        <v>399.43396226415092</v>
      </c>
      <c r="AA123">
        <v>1</v>
      </c>
      <c r="AB123">
        <v>211.7</v>
      </c>
      <c r="AC123">
        <f>AB123/((1+$J122)^AA123)</f>
        <v>204.54106280193238</v>
      </c>
      <c r="AD123">
        <f>$N123/((1+AD$122)^$H123)</f>
        <v>182.54716981132074</v>
      </c>
      <c r="AF123">
        <v>1</v>
      </c>
      <c r="AG123">
        <v>846.8</v>
      </c>
      <c r="AH123">
        <f>AG123/((1+$J122)^AF123)</f>
        <v>818.16425120772954</v>
      </c>
      <c r="AI123" s="18">
        <f>$S123/((1+AI$122)^$H123)</f>
        <v>730.18867924528297</v>
      </c>
      <c r="AJ123">
        <v>1</v>
      </c>
      <c r="AK123">
        <v>423.4</v>
      </c>
      <c r="AL123">
        <f>AK123/((1+$J$122)^AJ123)</f>
        <v>409.08212560386477</v>
      </c>
      <c r="AM123">
        <f>$AK123/((1+AM$122)^$H123)</f>
        <v>399.43396226415092</v>
      </c>
      <c r="AO123">
        <v>1</v>
      </c>
      <c r="AP123">
        <v>211.7</v>
      </c>
      <c r="AQ123">
        <f>AP123/((1+$J122)^AO123)</f>
        <v>204.54106280193238</v>
      </c>
      <c r="AR123">
        <f>$N123/((1+AR$122)^$H123)</f>
        <v>182.54716981132074</v>
      </c>
      <c r="AT123">
        <v>1</v>
      </c>
      <c r="AU123">
        <v>846.8</v>
      </c>
      <c r="AV123">
        <f>AU123/((1+$J122)^AT123)</f>
        <v>818.16425120772954</v>
      </c>
      <c r="AW123" s="18">
        <f>$S123/((1+AW$122)^$H123)</f>
        <v>730.18867924528297</v>
      </c>
      <c r="AX123">
        <v>1</v>
      </c>
      <c r="AY123">
        <v>423.4</v>
      </c>
      <c r="AZ123">
        <f t="shared" ref="AZ123:AZ152" si="216">AY123/((1+$J$122)^AX123)</f>
        <v>409.08212560386477</v>
      </c>
      <c r="BA123">
        <f>$AY123/((1+BA$122)^$H123)</f>
        <v>399.43396226415092</v>
      </c>
      <c r="BC123">
        <v>1</v>
      </c>
      <c r="BD123">
        <v>211.7</v>
      </c>
      <c r="BE123">
        <f>BD123/((1+$J122)^BC123)</f>
        <v>204.54106280193238</v>
      </c>
      <c r="BF123">
        <f t="shared" ref="BF123:BF152" si="217">$N123/((1+BF$122)^$H123)</f>
        <v>182.54716981132074</v>
      </c>
      <c r="BH123">
        <v>1</v>
      </c>
      <c r="BI123">
        <v>846.8</v>
      </c>
      <c r="BJ123">
        <f>BI123/((1+$J122)^BH123)</f>
        <v>818.16425120772954</v>
      </c>
      <c r="BK123" s="18">
        <f t="shared" ref="BK123:BK152" si="218">$S123/((1+BK$122)^$H123)</f>
        <v>730.18867924528297</v>
      </c>
      <c r="BL123">
        <v>1</v>
      </c>
      <c r="BM123">
        <v>668.19999999999993</v>
      </c>
      <c r="BN123">
        <f t="shared" ref="BN123:BN152" si="219">BM123/((1+$J$122)^BL123)</f>
        <v>645.60386473429946</v>
      </c>
      <c r="BO123">
        <f>$BM123/((1+BO$122)^$H123)</f>
        <v>630.37735849056594</v>
      </c>
      <c r="BQ123">
        <v>1</v>
      </c>
      <c r="BR123">
        <v>334.09999999999997</v>
      </c>
      <c r="BS123">
        <f>BR123/((1+$J122)^BQ123)</f>
        <v>322.80193236714973</v>
      </c>
      <c r="BT123">
        <f t="shared" ref="BT123:BT152" si="220">$N123/((1+BT$122)^$H123)</f>
        <v>182.54716981132074</v>
      </c>
      <c r="BV123">
        <v>1</v>
      </c>
      <c r="BW123">
        <v>1336.3999999999999</v>
      </c>
      <c r="BX123">
        <f>BW123/((1+$J122)^BV123)</f>
        <v>1291.2077294685989</v>
      </c>
      <c r="BY123" s="18">
        <f t="shared" ref="BY123:BY152" si="221">$S123/((1+BY$122)^$H123)</f>
        <v>730.18867924528297</v>
      </c>
      <c r="BZ123">
        <v>1</v>
      </c>
      <c r="CA123">
        <v>974.19999999999993</v>
      </c>
      <c r="CB123">
        <f t="shared" ref="CB123:CB152" si="222">CA123/((1+$J$122)^BZ123)</f>
        <v>941.25603864734296</v>
      </c>
      <c r="CC123">
        <f>$CA123/((1+CC$122)^$H123)</f>
        <v>919.05660377358481</v>
      </c>
      <c r="CE123">
        <v>1</v>
      </c>
      <c r="CF123">
        <v>487.09999999999997</v>
      </c>
      <c r="CG123">
        <f>CF123/((1+$J122)^CE123)</f>
        <v>470.62801932367148</v>
      </c>
      <c r="CH123">
        <f t="shared" ref="CH123:CH152" si="223">$N123/((1+CH$122)^$H123)</f>
        <v>182.54716981132074</v>
      </c>
      <c r="CJ123">
        <v>1</v>
      </c>
      <c r="CK123">
        <v>1948.3999999999999</v>
      </c>
      <c r="CL123">
        <f>CK123/((1+$J122)^CJ123)</f>
        <v>1882.5120772946859</v>
      </c>
      <c r="CM123" s="18">
        <f t="shared" ref="CM123:CM152" si="224">$S123/((1+CM$122)^$H123)</f>
        <v>730.18867924528297</v>
      </c>
      <c r="CN123">
        <v>1</v>
      </c>
      <c r="CO123">
        <v>1280.1999999999998</v>
      </c>
      <c r="CP123">
        <f t="shared" ref="CP123:CP152" si="225">CO123/((1+$J$122)^CN123)</f>
        <v>1236.9082125603863</v>
      </c>
      <c r="CQ123">
        <f>$CO123/((1+CQ$122)^$H123)</f>
        <v>1207.7358490566035</v>
      </c>
      <c r="CS123">
        <v>1</v>
      </c>
      <c r="CT123">
        <v>640.09999999999991</v>
      </c>
      <c r="CU123">
        <f>CT123/((1+$J122)^CS123)</f>
        <v>618.45410628019317</v>
      </c>
      <c r="CV123">
        <f t="shared" ref="CV123:CV152" si="226">$N123/((1+CV$122)^$H123)</f>
        <v>182.54716981132074</v>
      </c>
      <c r="CX123">
        <v>1</v>
      </c>
      <c r="CY123">
        <v>2560.3999999999996</v>
      </c>
      <c r="CZ123">
        <f>CY123/((1+$J122)^CX123)</f>
        <v>2473.8164251207727</v>
      </c>
      <c r="DA123" s="18">
        <f t="shared" ref="DA123:DA152" si="227">$S123/((1+DA$122)^$H123)</f>
        <v>730.18867924528297</v>
      </c>
      <c r="DB123">
        <v>1</v>
      </c>
      <c r="DC123">
        <v>1892.1999999999998</v>
      </c>
      <c r="DD123">
        <f t="shared" ref="DD123:DD152" si="228">DC123/((1+$J$122)^DB123)</f>
        <v>1828.2125603864733</v>
      </c>
      <c r="DE123">
        <f>$DC123/((1+DE$122)^$H123)</f>
        <v>1785.0943396226412</v>
      </c>
      <c r="DG123">
        <v>1</v>
      </c>
      <c r="DH123">
        <v>946.09999999999991</v>
      </c>
      <c r="DI123">
        <f>DH123/((1+$J122)^DG123)</f>
        <v>914.10628019323667</v>
      </c>
      <c r="DJ123">
        <f t="shared" ref="DJ123:DJ152" si="229">$N123/((1+DJ$122)^$H123)</f>
        <v>182.54716981132074</v>
      </c>
      <c r="DL123">
        <v>1</v>
      </c>
      <c r="DM123">
        <v>3784.3999999999996</v>
      </c>
      <c r="DN123">
        <f>DM123/((1+$J122)^DL123)</f>
        <v>3656.4251207729467</v>
      </c>
      <c r="DO123" s="18">
        <f t="shared" ref="DO123:DO152" si="230">$S123/((1+DO$122)^$H123)</f>
        <v>730.18867924528297</v>
      </c>
      <c r="DP123">
        <v>1</v>
      </c>
      <c r="DQ123">
        <v>2504.1999999999998</v>
      </c>
      <c r="DR123">
        <f t="shared" ref="DR123:DR152" si="231">DQ123/((1+$J$122)^DP123)</f>
        <v>2419.5169082125603</v>
      </c>
      <c r="DS123">
        <f>$DQ123/((1+DS$122)^$H123)</f>
        <v>2362.4528301886789</v>
      </c>
      <c r="DU123">
        <v>1</v>
      </c>
      <c r="DV123">
        <v>1252.0999999999999</v>
      </c>
      <c r="DW123">
        <f>DV123/((1+$J122)^DU123)</f>
        <v>1209.7584541062802</v>
      </c>
      <c r="DX123">
        <f t="shared" ref="DX123:DX152" si="232">$N123/((1+DX$122)^$H123)</f>
        <v>182.54716981132074</v>
      </c>
      <c r="DZ123">
        <v>1</v>
      </c>
      <c r="EA123">
        <v>5008.3999999999996</v>
      </c>
      <c r="EB123">
        <f>EA123/((1+$J122)^DZ123)</f>
        <v>4839.0338164251207</v>
      </c>
      <c r="EC123" s="18">
        <f t="shared" ref="EC123:EC152" si="233">$S123/((1+EC$122)^$H123)</f>
        <v>730.18867924528297</v>
      </c>
      <c r="ED123">
        <v>1</v>
      </c>
      <c r="EE123">
        <v>3728.2</v>
      </c>
      <c r="EF123">
        <f t="shared" ref="EF123:EF152" si="234">EE123/((1+$J$122)^ED123)</f>
        <v>3602.1256038647343</v>
      </c>
      <c r="EG123">
        <f>$EE123/((1+EG$122)^$H123)</f>
        <v>3517.1698113207544</v>
      </c>
      <c r="EI123">
        <v>1</v>
      </c>
      <c r="EJ123">
        <v>1864.1</v>
      </c>
      <c r="EK123">
        <f>EJ123/((1+$J122)^EI123)</f>
        <v>1801.0628019323672</v>
      </c>
      <c r="EL123">
        <f t="shared" ref="EL123:EL152" si="235">$N123/((1+EL$122)^$H123)</f>
        <v>182.54716981132074</v>
      </c>
      <c r="EN123">
        <v>1</v>
      </c>
      <c r="EO123">
        <v>7456.4</v>
      </c>
      <c r="EP123">
        <f>EO123/((1+$J122)^EN123)</f>
        <v>7204.2512077294687</v>
      </c>
      <c r="EQ123" s="18">
        <f t="shared" ref="EQ123:EQ152" si="236">$S123/((1+EQ$122)^$H123)</f>
        <v>730.18867924528297</v>
      </c>
      <c r="ER123">
        <v>1</v>
      </c>
      <c r="ES123">
        <v>4952.1999999999989</v>
      </c>
      <c r="ET123">
        <f t="shared" ref="ET123:ET152" si="237">ES123/((1+$J$122)^ER123)</f>
        <v>4784.7342995169074</v>
      </c>
      <c r="EU123">
        <f>$ES123/((1+EU$122)^$H123)</f>
        <v>4671.8867924528286</v>
      </c>
      <c r="EW123">
        <v>1</v>
      </c>
      <c r="EX123">
        <v>2476.0999999999995</v>
      </c>
      <c r="EY123">
        <f>EX123/((1+$J122)^EW123)</f>
        <v>2392.3671497584537</v>
      </c>
      <c r="EZ123">
        <f t="shared" ref="EZ123:EZ152" si="238">$N123/((1+EZ$122)^$H123)</f>
        <v>182.54716981132074</v>
      </c>
      <c r="FB123">
        <v>1</v>
      </c>
      <c r="FC123">
        <v>9904.3999999999978</v>
      </c>
      <c r="FD123">
        <f>FC123/((1+$J122)^FB123)</f>
        <v>9569.4685990338148</v>
      </c>
      <c r="FE123" s="18">
        <f t="shared" ref="FE123:FE152" si="239">$S123/((1+FE$122)^$H123)</f>
        <v>730.18867924528297</v>
      </c>
      <c r="FF123">
        <v>1</v>
      </c>
      <c r="FG123">
        <v>6176.1999999999989</v>
      </c>
      <c r="FH123">
        <f t="shared" ref="FH123:FH152" si="240">FG123/((1+$J$122)^FF123)</f>
        <v>5967.3429951690814</v>
      </c>
      <c r="FI123">
        <f t="shared" ref="FI123:FI152" si="241">$I123/((1+FI$122)^$H123)</f>
        <v>365.09433962264148</v>
      </c>
      <c r="FK123">
        <v>1</v>
      </c>
      <c r="FL123">
        <v>3088.0999999999995</v>
      </c>
      <c r="FM123">
        <f>FL123/((1+$J122)^FK123)</f>
        <v>2983.6714975845407</v>
      </c>
      <c r="FN123">
        <f t="shared" ref="FN123:FN152" si="242">$N123/((1+FN$122)^$H123)</f>
        <v>182.54716981132074</v>
      </c>
      <c r="FP123">
        <v>1</v>
      </c>
      <c r="FQ123">
        <v>12352.399999999998</v>
      </c>
      <c r="FR123">
        <f>FQ123/((1+$J122)^FP123)</f>
        <v>11934.685990338163</v>
      </c>
      <c r="FS123" s="18">
        <f t="shared" ref="FS123:FS152" si="243">$S123/((1+FS$122)^$H123)</f>
        <v>730.18867924528297</v>
      </c>
      <c r="FT123">
        <v>1</v>
      </c>
      <c r="FU123">
        <v>7400.1999999999989</v>
      </c>
      <c r="FV123">
        <f t="shared" ref="FV123:FV152" si="244">FU123/((1+$J$122)^FT123)</f>
        <v>7149.9516908212554</v>
      </c>
      <c r="FW123">
        <f t="shared" ref="FW123:FW152" si="245">$I123/((1+FW$122)^$H123)</f>
        <v>365.09433962264148</v>
      </c>
      <c r="FY123">
        <v>1</v>
      </c>
      <c r="FZ123">
        <v>3700.0999999999995</v>
      </c>
      <c r="GA123">
        <f>FZ123/((1+$J122)^FY123)</f>
        <v>3574.9758454106277</v>
      </c>
      <c r="GB123">
        <f t="shared" ref="GB123:GB152" si="246">$N123/((1+GB$122)^$H123)</f>
        <v>182.54716981132074</v>
      </c>
      <c r="GD123">
        <v>1</v>
      </c>
      <c r="GE123">
        <v>14800.399999999998</v>
      </c>
      <c r="GF123">
        <f>GE123/((1+$J122)^GD123)</f>
        <v>14299.903381642511</v>
      </c>
      <c r="GG123" s="18">
        <f t="shared" ref="GG123:GG152" si="247">$S123/((1+GG$122)^$H123)</f>
        <v>730.18867924528297</v>
      </c>
      <c r="GH123">
        <v>1</v>
      </c>
      <c r="GI123">
        <v>9848.1999999999989</v>
      </c>
      <c r="GJ123">
        <f t="shared" ref="GJ123:GJ152" si="248">GI123/((1+$J$122)^GH123)</f>
        <v>9515.1690821256034</v>
      </c>
      <c r="GK123">
        <f t="shared" ref="GK123:GK152" si="249">$I123/((1+GK$122)^$H123)</f>
        <v>365.09433962264148</v>
      </c>
      <c r="GM123">
        <v>1</v>
      </c>
      <c r="GN123">
        <v>4924.0999999999995</v>
      </c>
      <c r="GO123">
        <f>GN123/((1+$J122)^GM123)</f>
        <v>4757.5845410628017</v>
      </c>
      <c r="GP123">
        <f t="shared" ref="GP123:GP152" si="250">$N123/((1+GP$122)^$H123)</f>
        <v>182.54716981132074</v>
      </c>
      <c r="GR123">
        <v>1</v>
      </c>
      <c r="GS123">
        <v>19696.399999999998</v>
      </c>
      <c r="GT123">
        <f>GS123/((1+$J122)^GR123)</f>
        <v>19030.338164251207</v>
      </c>
      <c r="GU123" s="18">
        <f t="shared" ref="GU123:GU152" si="251">$S123/((1+GU$122)^$H123)</f>
        <v>730.18867924528297</v>
      </c>
      <c r="GV123">
        <v>1</v>
      </c>
      <c r="GW123">
        <v>12296.199999999999</v>
      </c>
      <c r="GX123">
        <f t="shared" ref="GX123:GX152" si="252">GW123/((1+$J$122)^GV123)</f>
        <v>11880.386473429951</v>
      </c>
      <c r="GY123">
        <f>$GW123/((1+GY$122)^$H123)</f>
        <v>11600.188679245281</v>
      </c>
      <c r="HA123">
        <v>1</v>
      </c>
      <c r="HB123">
        <v>6148.0999999999995</v>
      </c>
      <c r="HC123">
        <f>HB123/((1+$J122)^HA123)</f>
        <v>5940.1932367149757</v>
      </c>
      <c r="HD123">
        <f t="shared" ref="HD123:HD152" si="253">$N123/((1+HD$122)^$H123)</f>
        <v>182.54716981132074</v>
      </c>
      <c r="HF123">
        <v>1</v>
      </c>
      <c r="HG123">
        <v>24592.399999999998</v>
      </c>
      <c r="HH123">
        <f>HG123/((1+$J122)^HF123)</f>
        <v>23760.772946859903</v>
      </c>
      <c r="HI123" s="18">
        <f t="shared" ref="HI123:HI152" si="254">$S123/((1+HI$122)^$H123)</f>
        <v>730.18867924528297</v>
      </c>
    </row>
    <row r="124" spans="1:217" x14ac:dyDescent="0.25">
      <c r="H124">
        <v>2</v>
      </c>
      <c r="I124">
        <f>I123</f>
        <v>387</v>
      </c>
      <c r="J124">
        <f t="shared" ref="J124:J152" si="255">I124/((1+$J$122)^H124)</f>
        <v>361.26864104179799</v>
      </c>
      <c r="K124">
        <f t="shared" ref="K124:K152" si="256">$I124/((1+K$122)^$H124)</f>
        <v>344.42862228551081</v>
      </c>
      <c r="M124">
        <v>2</v>
      </c>
      <c r="N124">
        <v>193.5</v>
      </c>
      <c r="O124">
        <f>N124/((1+O$122)^M124)</f>
        <v>180.634320520899</v>
      </c>
      <c r="P124">
        <f t="shared" ref="P124:P152" si="257">$N124/((1+P$122)^$H124)</f>
        <v>172.21431114275541</v>
      </c>
      <c r="R124">
        <v>2</v>
      </c>
      <c r="S124">
        <v>774</v>
      </c>
      <c r="T124">
        <f>S124/((1+T$122)^R124)</f>
        <v>722.53728208359598</v>
      </c>
      <c r="U124" s="18">
        <f>$S124/((1+U$122)^$H124)</f>
        <v>688.85724457102162</v>
      </c>
      <c r="V124">
        <v>2</v>
      </c>
      <c r="W124">
        <f>W123</f>
        <v>423.4</v>
      </c>
      <c r="X124">
        <f t="shared" ref="X124:X152" si="258">W124/((1+$J$122)^V124)</f>
        <v>395.24843053513501</v>
      </c>
      <c r="Y124">
        <f t="shared" ref="Y124:Y152" si="259">$W124/((1+Y$122)^$H124)</f>
        <v>376.82449270202915</v>
      </c>
      <c r="AA124">
        <v>2</v>
      </c>
      <c r="AB124">
        <f>AB123</f>
        <v>211.7</v>
      </c>
      <c r="AC124">
        <f>AB124/((1+AC$122)^AA124)</f>
        <v>197.62421526756751</v>
      </c>
      <c r="AD124">
        <f t="shared" ref="AD124:AD152" si="260">$N124/((1+AD$122)^$H124)</f>
        <v>172.21431114275541</v>
      </c>
      <c r="AF124">
        <v>2</v>
      </c>
      <c r="AG124">
        <f>AG123</f>
        <v>846.8</v>
      </c>
      <c r="AH124">
        <f>AG124/((1+AH$122)^AF124)</f>
        <v>790.49686107027003</v>
      </c>
      <c r="AI124" s="18">
        <f>$S124/((1+AI$122)^$H124)</f>
        <v>688.85724457102162</v>
      </c>
      <c r="AJ124">
        <v>2</v>
      </c>
      <c r="AK124">
        <f>AK123</f>
        <v>423.4</v>
      </c>
      <c r="AL124">
        <f t="shared" ref="AL124:AL152" si="261">AK124/((1+$J$122)^AJ124)</f>
        <v>395.24843053513501</v>
      </c>
      <c r="AM124">
        <f t="shared" ref="AM124:AM152" si="262">$AK124/((1+AM$122)^$H124)</f>
        <v>376.82449270202915</v>
      </c>
      <c r="AO124">
        <v>2</v>
      </c>
      <c r="AP124">
        <f>AP123</f>
        <v>211.7</v>
      </c>
      <c r="AQ124">
        <f>AP124/((1+AQ$122)^AO124)</f>
        <v>197.62421526756751</v>
      </c>
      <c r="AR124">
        <f t="shared" ref="AR124:AR152" si="263">$N124/((1+AR$122)^$H124)</f>
        <v>172.21431114275541</v>
      </c>
      <c r="AT124">
        <v>2</v>
      </c>
      <c r="AU124">
        <f>AU123</f>
        <v>846.8</v>
      </c>
      <c r="AV124">
        <f>AU124/((1+AV$122)^AT124)</f>
        <v>790.49686107027003</v>
      </c>
      <c r="AW124" s="18">
        <f>$S124/((1+AW$122)^$H124)</f>
        <v>688.85724457102162</v>
      </c>
      <c r="AX124">
        <v>2</v>
      </c>
      <c r="AY124">
        <f>AY123</f>
        <v>423.4</v>
      </c>
      <c r="AZ124">
        <f t="shared" si="216"/>
        <v>395.24843053513501</v>
      </c>
      <c r="BA124">
        <f t="shared" ref="BA124:BA152" si="264">$AY124/((1+BA$122)^$H124)</f>
        <v>376.82449270202915</v>
      </c>
      <c r="BC124">
        <v>2</v>
      </c>
      <c r="BD124">
        <f>BD123</f>
        <v>211.7</v>
      </c>
      <c r="BE124">
        <f t="shared" ref="BE124:BE152" si="265">BD124/((1+BE$122)^BC124)</f>
        <v>197.62421526756751</v>
      </c>
      <c r="BF124">
        <f t="shared" si="217"/>
        <v>172.21431114275541</v>
      </c>
      <c r="BH124">
        <v>2</v>
      </c>
      <c r="BI124">
        <f>BI123</f>
        <v>846.8</v>
      </c>
      <c r="BJ124">
        <f t="shared" ref="BJ124:BJ152" si="266">BI124/((1+BJ$122)^BH124)</f>
        <v>790.49686107027003</v>
      </c>
      <c r="BK124" s="18">
        <f t="shared" si="218"/>
        <v>688.85724457102162</v>
      </c>
      <c r="BL124">
        <v>2</v>
      </c>
      <c r="BM124">
        <f>BM123</f>
        <v>668.19999999999993</v>
      </c>
      <c r="BN124">
        <f t="shared" si="219"/>
        <v>623.77184998483051</v>
      </c>
      <c r="BO124">
        <f t="shared" ref="BO124:BO152" si="267">$BM124/((1+BO$122)^$H124)</f>
        <v>594.69562121751494</v>
      </c>
      <c r="BQ124">
        <v>2</v>
      </c>
      <c r="BR124">
        <f>BR123</f>
        <v>334.09999999999997</v>
      </c>
      <c r="BS124">
        <f t="shared" ref="BS124:BS152" si="268">BR124/((1+BS$122)^BQ124)</f>
        <v>311.88592499241526</v>
      </c>
      <c r="BT124">
        <f t="shared" si="220"/>
        <v>172.21431114275541</v>
      </c>
      <c r="BV124">
        <v>2</v>
      </c>
      <c r="BW124">
        <f>BW123</f>
        <v>1336.3999999999999</v>
      </c>
      <c r="BX124">
        <f t="shared" ref="BX124:BX152" si="269">BW124/((1+BX$122)^BV124)</f>
        <v>1247.543699969661</v>
      </c>
      <c r="BY124" s="18">
        <f t="shared" si="221"/>
        <v>688.85724457102162</v>
      </c>
      <c r="BZ124">
        <v>2</v>
      </c>
      <c r="CA124">
        <f>CA123</f>
        <v>974.19999999999993</v>
      </c>
      <c r="CB124">
        <f t="shared" si="222"/>
        <v>909.42612429694975</v>
      </c>
      <c r="CC124">
        <f t="shared" ref="CC124:CC152" si="270">$CA124/((1+CC$122)^$H124)</f>
        <v>867.03453186187232</v>
      </c>
      <c r="CE124">
        <v>2</v>
      </c>
      <c r="CF124">
        <f>CF123</f>
        <v>487.09999999999997</v>
      </c>
      <c r="CG124">
        <f t="shared" ref="CG124:CG152" si="271">CF124/((1+CG$122)^CE124)</f>
        <v>454.71306214847488</v>
      </c>
      <c r="CH124">
        <f t="shared" si="223"/>
        <v>172.21431114275541</v>
      </c>
      <c r="CJ124">
        <v>2</v>
      </c>
      <c r="CK124">
        <f>CK123</f>
        <v>1948.3999999999999</v>
      </c>
      <c r="CL124">
        <f t="shared" ref="CL124:CL152" si="272">CK124/((1+CL$122)^CJ124)</f>
        <v>1818.8522485938995</v>
      </c>
      <c r="CM124" s="18">
        <f t="shared" si="224"/>
        <v>688.85724457102162</v>
      </c>
      <c r="CN124">
        <v>2</v>
      </c>
      <c r="CO124">
        <f>CO123</f>
        <v>1280.1999999999998</v>
      </c>
      <c r="CP124">
        <f t="shared" si="225"/>
        <v>1195.0803986090691</v>
      </c>
      <c r="CQ124">
        <f t="shared" ref="CQ124:CQ152" si="273">$CO124/((1+CQ$122)^$H124)</f>
        <v>1139.3734425062296</v>
      </c>
      <c r="CS124">
        <v>2</v>
      </c>
      <c r="CT124">
        <f>CT123</f>
        <v>640.09999999999991</v>
      </c>
      <c r="CU124">
        <f t="shared" ref="CU124:CU152" si="274">CT124/((1+CU$122)^CS124)</f>
        <v>597.54019930453455</v>
      </c>
      <c r="CV124">
        <f t="shared" si="226"/>
        <v>172.21431114275541</v>
      </c>
      <c r="CX124">
        <v>2</v>
      </c>
      <c r="CY124">
        <f>CY123</f>
        <v>2560.3999999999996</v>
      </c>
      <c r="CZ124">
        <f t="shared" ref="CZ124:CZ152" si="275">CY124/((1+CZ$122)^CX124)</f>
        <v>2390.1607972181382</v>
      </c>
      <c r="DA124" s="18">
        <f t="shared" si="227"/>
        <v>688.85724457102162</v>
      </c>
      <c r="DB124">
        <v>2</v>
      </c>
      <c r="DC124">
        <f>DC123</f>
        <v>1892.1999999999998</v>
      </c>
      <c r="DD124">
        <f t="shared" si="228"/>
        <v>1766.3889472333076</v>
      </c>
      <c r="DE124">
        <f t="shared" ref="DE124:DE152" si="276">$I124/((1+DE$122)^$H124)</f>
        <v>344.42862228551081</v>
      </c>
      <c r="DG124">
        <v>2</v>
      </c>
      <c r="DH124">
        <f>DH123</f>
        <v>946.09999999999991</v>
      </c>
      <c r="DI124">
        <f t="shared" ref="DI124:DI152" si="277">DH124/((1+DI$122)^DG124)</f>
        <v>883.1944736166538</v>
      </c>
      <c r="DJ124">
        <f t="shared" si="229"/>
        <v>172.21431114275541</v>
      </c>
      <c r="DL124">
        <v>2</v>
      </c>
      <c r="DM124">
        <f>DM123</f>
        <v>3784.3999999999996</v>
      </c>
      <c r="DN124">
        <f t="shared" ref="DN124:DN152" si="278">DM124/((1+DN$122)^DL124)</f>
        <v>3532.7778944666152</v>
      </c>
      <c r="DO124" s="18">
        <f t="shared" si="230"/>
        <v>688.85724457102162</v>
      </c>
      <c r="DP124">
        <v>2</v>
      </c>
      <c r="DQ124">
        <f>DQ123</f>
        <v>2504.1999999999998</v>
      </c>
      <c r="DR124">
        <f t="shared" si="231"/>
        <v>2337.6974958575465</v>
      </c>
      <c r="DS124">
        <f t="shared" ref="DS124:DS152" si="279">$DQ124/((1+DS$122)^$H124)</f>
        <v>2228.7290850836594</v>
      </c>
      <c r="DU124">
        <v>2</v>
      </c>
      <c r="DV124">
        <f>DV123</f>
        <v>1252.0999999999999</v>
      </c>
      <c r="DW124">
        <f t="shared" ref="DW124:DW152" si="280">DV124/((1+DW$122)^DU124)</f>
        <v>1168.8487479287733</v>
      </c>
      <c r="DX124">
        <f t="shared" si="232"/>
        <v>172.21431114275541</v>
      </c>
      <c r="DZ124">
        <v>2</v>
      </c>
      <c r="EA124">
        <f>EA123</f>
        <v>5008.3999999999996</v>
      </c>
      <c r="EB124">
        <f t="shared" ref="EB124:EB152" si="281">EA124/((1+EB$122)^DZ124)</f>
        <v>4675.3949917150931</v>
      </c>
      <c r="EC124" s="18">
        <f t="shared" si="233"/>
        <v>688.85724457102162</v>
      </c>
      <c r="ED124">
        <v>2</v>
      </c>
      <c r="EE124">
        <f>EE123</f>
        <v>3728.2</v>
      </c>
      <c r="EF124">
        <f t="shared" si="234"/>
        <v>3480.3145931060239</v>
      </c>
      <c r="EG124">
        <f t="shared" ref="EG124:EG152" si="282">$EE124/((1+EG$122)^$H124)</f>
        <v>3318.0847276610889</v>
      </c>
      <c r="EI124">
        <v>2</v>
      </c>
      <c r="EJ124">
        <f>EJ123</f>
        <v>1864.1</v>
      </c>
      <c r="EK124">
        <f t="shared" ref="EK124:EK152" si="283">EJ124/((1+EK$122)^EI124)</f>
        <v>1740.157296553012</v>
      </c>
      <c r="EL124">
        <f t="shared" si="235"/>
        <v>172.21431114275541</v>
      </c>
      <c r="EN124">
        <v>2</v>
      </c>
      <c r="EO124">
        <f>EO123</f>
        <v>7456.4</v>
      </c>
      <c r="EP124">
        <f t="shared" ref="EP124:EP152" si="284">EO124/((1+EP$122)^EN124)</f>
        <v>6960.6291862120479</v>
      </c>
      <c r="EQ124" s="18">
        <f t="shared" si="236"/>
        <v>688.85724457102162</v>
      </c>
      <c r="ER124">
        <v>2</v>
      </c>
      <c r="ES124">
        <f>ES123</f>
        <v>4952.1999999999989</v>
      </c>
      <c r="ET124">
        <f t="shared" si="237"/>
        <v>4622.9316903545005</v>
      </c>
      <c r="EU124">
        <f t="shared" ref="EU124:EU152" si="285">$ES124/((1+EU$122)^$H124)</f>
        <v>4407.4403702385171</v>
      </c>
      <c r="EW124">
        <v>2</v>
      </c>
      <c r="EX124">
        <f>EX123</f>
        <v>2476.0999999999995</v>
      </c>
      <c r="EY124">
        <f t="shared" ref="EY124:EY152" si="286">EX124/((1+EY$122)^EW124)</f>
        <v>2311.4658451772502</v>
      </c>
      <c r="EZ124">
        <f t="shared" si="238"/>
        <v>172.21431114275541</v>
      </c>
      <c r="FB124">
        <v>2</v>
      </c>
      <c r="FC124">
        <f>FC123</f>
        <v>9904.3999999999978</v>
      </c>
      <c r="FD124">
        <f t="shared" ref="FD124:FD152" si="287">FC124/((1+FD$122)^FB124)</f>
        <v>9245.8633807090009</v>
      </c>
      <c r="FE124" s="18">
        <f t="shared" si="239"/>
        <v>688.85724457102162</v>
      </c>
      <c r="FF124">
        <v>2</v>
      </c>
      <c r="FG124">
        <f>FG123</f>
        <v>6176.1999999999989</v>
      </c>
      <c r="FH124">
        <f t="shared" si="240"/>
        <v>5765.5487876029774</v>
      </c>
      <c r="FI124">
        <f t="shared" si="241"/>
        <v>344.42862228551081</v>
      </c>
      <c r="FK124">
        <v>2</v>
      </c>
      <c r="FL124">
        <f>FL123</f>
        <v>3088.0999999999995</v>
      </c>
      <c r="FM124">
        <f t="shared" ref="FM124:FM152" si="288">FL124/((1+FM$122)^FK124)</f>
        <v>2882.7743938014887</v>
      </c>
      <c r="FN124">
        <f t="shared" si="242"/>
        <v>172.21431114275541</v>
      </c>
      <c r="FP124">
        <v>2</v>
      </c>
      <c r="FQ124">
        <f>FQ123</f>
        <v>12352.399999999998</v>
      </c>
      <c r="FR124">
        <f t="shared" ref="FR124:FR152" si="289">FQ124/((1+FR$122)^FP124)</f>
        <v>11531.097575205955</v>
      </c>
      <c r="FS124" s="18">
        <f t="shared" si="243"/>
        <v>688.85724457102162</v>
      </c>
      <c r="FT124">
        <v>2</v>
      </c>
      <c r="FU124">
        <f>FU123</f>
        <v>7400.1999999999989</v>
      </c>
      <c r="FV124">
        <f t="shared" si="244"/>
        <v>6908.1658848514553</v>
      </c>
      <c r="FW124">
        <f t="shared" si="245"/>
        <v>344.42862228551081</v>
      </c>
      <c r="FY124">
        <v>2</v>
      </c>
      <c r="FZ124">
        <f>FZ123</f>
        <v>3700.0999999999995</v>
      </c>
      <c r="GA124">
        <f t="shared" ref="GA124:GA152" si="290">FZ124/((1+GA$122)^FY124)</f>
        <v>3454.0829424257277</v>
      </c>
      <c r="GB124">
        <f t="shared" si="246"/>
        <v>172.21431114275541</v>
      </c>
      <c r="GD124">
        <v>2</v>
      </c>
      <c r="GE124">
        <f>GE123</f>
        <v>14800.399999999998</v>
      </c>
      <c r="GF124">
        <f t="shared" ref="GF124:GF152" si="291">GE124/((1+GF$122)^GD124)</f>
        <v>13816.331769702911</v>
      </c>
      <c r="GG124" s="18">
        <f t="shared" si="247"/>
        <v>688.85724457102162</v>
      </c>
      <c r="GH124">
        <v>2</v>
      </c>
      <c r="GI124">
        <f>GI123</f>
        <v>9848.1999999999989</v>
      </c>
      <c r="GJ124">
        <f t="shared" si="248"/>
        <v>9193.4000793484101</v>
      </c>
      <c r="GK124">
        <f t="shared" si="249"/>
        <v>344.42862228551081</v>
      </c>
      <c r="GM124">
        <v>2</v>
      </c>
      <c r="GN124">
        <f>GN123</f>
        <v>4924.0999999999995</v>
      </c>
      <c r="GO124">
        <f t="shared" ref="GO124:GO152" si="292">GN124/((1+GO$122)^GM124)</f>
        <v>4596.7000396742051</v>
      </c>
      <c r="GP124">
        <f t="shared" si="250"/>
        <v>172.21431114275541</v>
      </c>
      <c r="GR124">
        <v>2</v>
      </c>
      <c r="GS124">
        <f>GS123</f>
        <v>19696.399999999998</v>
      </c>
      <c r="GT124">
        <f t="shared" ref="GT124:GT152" si="293">GS124/((1+GT$122)^GR124)</f>
        <v>18386.80015869682</v>
      </c>
      <c r="GU124" s="18">
        <f t="shared" si="251"/>
        <v>688.85724457102162</v>
      </c>
      <c r="GV124">
        <v>2</v>
      </c>
      <c r="GW124">
        <f>GW123</f>
        <v>12296.199999999999</v>
      </c>
      <c r="GX124">
        <f t="shared" si="252"/>
        <v>11478.634273845364</v>
      </c>
      <c r="GY124">
        <f t="shared" ref="GY124:GY152" si="294">$GW124/((1+GY$122)^$H124)</f>
        <v>10943.574225703094</v>
      </c>
      <c r="HA124">
        <v>2</v>
      </c>
      <c r="HB124">
        <f>HB123</f>
        <v>6148.0999999999995</v>
      </c>
      <c r="HC124">
        <f t="shared" ref="HC124:HC152" si="295">HB124/((1+HC$122)^HA124)</f>
        <v>5739.317136922682</v>
      </c>
      <c r="HD124">
        <f t="shared" si="253"/>
        <v>172.21431114275541</v>
      </c>
      <c r="HF124">
        <v>2</v>
      </c>
      <c r="HG124">
        <f>HG123</f>
        <v>24592.399999999998</v>
      </c>
      <c r="HH124">
        <f t="shared" ref="HH124:HH152" si="296">HG124/((1+HH$122)^HF124)</f>
        <v>22957.268547690728</v>
      </c>
      <c r="HI124" s="18">
        <f t="shared" si="254"/>
        <v>688.85724457102162</v>
      </c>
    </row>
    <row r="125" spans="1:217" x14ac:dyDescent="0.25">
      <c r="H125">
        <v>3</v>
      </c>
      <c r="I125">
        <f t="shared" ref="I125:I152" si="297">I124</f>
        <v>387</v>
      </c>
      <c r="J125">
        <f t="shared" si="255"/>
        <v>349.05182709352465</v>
      </c>
      <c r="K125">
        <f t="shared" si="256"/>
        <v>324.93266253350072</v>
      </c>
      <c r="M125">
        <v>3</v>
      </c>
      <c r="N125">
        <v>193.5</v>
      </c>
      <c r="O125">
        <f t="shared" ref="O125:O152" si="298">N125/((1+O$122)^M125)</f>
        <v>174.52591354676233</v>
      </c>
      <c r="P125">
        <f t="shared" si="257"/>
        <v>162.46633126675036</v>
      </c>
      <c r="R125">
        <v>3</v>
      </c>
      <c r="S125">
        <v>774</v>
      </c>
      <c r="T125">
        <f t="shared" ref="T125:T152" si="299">S125/((1+T$122)^R125)</f>
        <v>698.1036541870493</v>
      </c>
      <c r="U125" s="18">
        <f t="shared" ref="U125:U152" si="300">$S125/((1+U$122)^$H125)</f>
        <v>649.86532506700144</v>
      </c>
      <c r="V125">
        <v>3</v>
      </c>
      <c r="W125">
        <f t="shared" ref="W125:W152" si="301">W124</f>
        <v>423.4</v>
      </c>
      <c r="X125">
        <f t="shared" si="258"/>
        <v>381.88254157984068</v>
      </c>
      <c r="Y125">
        <f t="shared" si="259"/>
        <v>355.49480443587646</v>
      </c>
      <c r="AA125">
        <v>3</v>
      </c>
      <c r="AB125">
        <f t="shared" ref="AB125:AB152" si="302">AB124</f>
        <v>211.7</v>
      </c>
      <c r="AC125">
        <f t="shared" ref="AC125:AC152" si="303">AB125/((1+AC$122)^AA125)</f>
        <v>190.94127078992034</v>
      </c>
      <c r="AD125">
        <f t="shared" si="260"/>
        <v>162.46633126675036</v>
      </c>
      <c r="AF125">
        <v>3</v>
      </c>
      <c r="AG125">
        <f t="shared" ref="AG125:AG152" si="304">AG124</f>
        <v>846.8</v>
      </c>
      <c r="AH125">
        <f t="shared" ref="AH125:AH152" si="305">AG125/((1+AH$122)^AF125)</f>
        <v>763.76508315968135</v>
      </c>
      <c r="AI125" s="18">
        <f t="shared" ref="AI125:AI152" si="306">$S125/((1+AI$122)^$H125)</f>
        <v>649.86532506700144</v>
      </c>
      <c r="AJ125">
        <v>3</v>
      </c>
      <c r="AK125">
        <f t="shared" ref="AK125:AK152" si="307">AK124</f>
        <v>423.4</v>
      </c>
      <c r="AL125">
        <f t="shared" si="261"/>
        <v>381.88254157984068</v>
      </c>
      <c r="AM125">
        <f t="shared" si="262"/>
        <v>355.49480443587646</v>
      </c>
      <c r="AO125">
        <v>3</v>
      </c>
      <c r="AP125">
        <f t="shared" ref="AP125:AP152" si="308">AP124</f>
        <v>211.7</v>
      </c>
      <c r="AQ125">
        <f t="shared" ref="AQ125:AQ152" si="309">AP125/((1+AQ$122)^AO125)</f>
        <v>190.94127078992034</v>
      </c>
      <c r="AR125">
        <f t="shared" si="263"/>
        <v>162.46633126675036</v>
      </c>
      <c r="AT125">
        <v>3</v>
      </c>
      <c r="AU125">
        <f t="shared" ref="AU125:AU152" si="310">AU124</f>
        <v>846.8</v>
      </c>
      <c r="AV125">
        <f t="shared" ref="AV125:AV152" si="311">AU125/((1+AV$122)^AT125)</f>
        <v>763.76508315968135</v>
      </c>
      <c r="AW125" s="18">
        <f t="shared" ref="AW125:AW152" si="312">$S125/((1+AW$122)^$H125)</f>
        <v>649.86532506700144</v>
      </c>
      <c r="AX125">
        <v>3</v>
      </c>
      <c r="AY125">
        <f t="shared" ref="AY125:AY152" si="313">AY124</f>
        <v>423.4</v>
      </c>
      <c r="AZ125">
        <f t="shared" si="216"/>
        <v>381.88254157984068</v>
      </c>
      <c r="BA125">
        <f t="shared" si="264"/>
        <v>355.49480443587646</v>
      </c>
      <c r="BC125">
        <v>3</v>
      </c>
      <c r="BD125">
        <f t="shared" ref="BD125:BD152" si="314">BD124</f>
        <v>211.7</v>
      </c>
      <c r="BE125">
        <f t="shared" si="265"/>
        <v>190.94127078992034</v>
      </c>
      <c r="BF125">
        <f t="shared" si="217"/>
        <v>162.46633126675036</v>
      </c>
      <c r="BH125">
        <v>3</v>
      </c>
      <c r="BI125">
        <f t="shared" ref="BI125:BI152" si="315">BI124</f>
        <v>846.8</v>
      </c>
      <c r="BJ125">
        <f t="shared" si="266"/>
        <v>763.76508315968135</v>
      </c>
      <c r="BK125" s="18">
        <f t="shared" si="218"/>
        <v>649.86532506700144</v>
      </c>
      <c r="BL125">
        <v>3</v>
      </c>
      <c r="BM125">
        <f t="shared" ref="BM125:BM152" si="316">BM124</f>
        <v>668.19999999999993</v>
      </c>
      <c r="BN125">
        <f t="shared" si="219"/>
        <v>602.67811592737246</v>
      </c>
      <c r="BO125">
        <f t="shared" si="267"/>
        <v>561.03360492218394</v>
      </c>
      <c r="BQ125">
        <v>3</v>
      </c>
      <c r="BR125">
        <f t="shared" ref="BR125:BR152" si="317">BR124</f>
        <v>334.09999999999997</v>
      </c>
      <c r="BS125">
        <f t="shared" si="268"/>
        <v>301.33905796368623</v>
      </c>
      <c r="BT125">
        <f t="shared" si="220"/>
        <v>162.46633126675036</v>
      </c>
      <c r="BV125">
        <v>3</v>
      </c>
      <c r="BW125">
        <f t="shared" ref="BW125:BW152" si="318">BW124</f>
        <v>1336.3999999999999</v>
      </c>
      <c r="BX125">
        <f t="shared" si="269"/>
        <v>1205.3562318547449</v>
      </c>
      <c r="BY125" s="18">
        <f t="shared" si="221"/>
        <v>649.86532506700144</v>
      </c>
      <c r="BZ125">
        <v>3</v>
      </c>
      <c r="CA125">
        <f t="shared" ref="CA125:CA152" si="319">CA124</f>
        <v>974.19999999999993</v>
      </c>
      <c r="CB125">
        <f t="shared" si="222"/>
        <v>878.6725838617873</v>
      </c>
      <c r="CC125">
        <f t="shared" si="270"/>
        <v>817.95710553006813</v>
      </c>
      <c r="CE125">
        <v>3</v>
      </c>
      <c r="CF125">
        <f t="shared" ref="CF125:CF152" si="320">CF124</f>
        <v>487.09999999999997</v>
      </c>
      <c r="CG125">
        <f t="shared" si="271"/>
        <v>439.33629193089365</v>
      </c>
      <c r="CH125">
        <f t="shared" si="223"/>
        <v>162.46633126675036</v>
      </c>
      <c r="CJ125">
        <v>3</v>
      </c>
      <c r="CK125">
        <f t="shared" ref="CK125:CK152" si="321">CK124</f>
        <v>1948.3999999999999</v>
      </c>
      <c r="CL125">
        <f t="shared" si="272"/>
        <v>1757.3451677235746</v>
      </c>
      <c r="CM125" s="18">
        <f t="shared" si="224"/>
        <v>649.86532506700144</v>
      </c>
      <c r="CN125">
        <v>3</v>
      </c>
      <c r="CO125">
        <f t="shared" ref="CO125:CO152" si="322">CO124</f>
        <v>1280.1999999999998</v>
      </c>
      <c r="CP125">
        <f t="shared" si="225"/>
        <v>1154.667051796202</v>
      </c>
      <c r="CQ125">
        <f t="shared" si="273"/>
        <v>1074.8806061379523</v>
      </c>
      <c r="CS125">
        <v>3</v>
      </c>
      <c r="CT125">
        <f t="shared" ref="CT125:CT152" si="323">CT124</f>
        <v>640.09999999999991</v>
      </c>
      <c r="CU125">
        <f t="shared" si="274"/>
        <v>577.33352589810102</v>
      </c>
      <c r="CV125">
        <f t="shared" si="226"/>
        <v>162.46633126675036</v>
      </c>
      <c r="CX125">
        <v>3</v>
      </c>
      <c r="CY125">
        <f t="shared" ref="CY125:CY152" si="324">CY124</f>
        <v>2560.3999999999996</v>
      </c>
      <c r="CZ125">
        <f t="shared" si="275"/>
        <v>2309.3341035924041</v>
      </c>
      <c r="DA125" s="18">
        <f t="shared" si="227"/>
        <v>649.86532506700144</v>
      </c>
      <c r="DB125">
        <v>3</v>
      </c>
      <c r="DC125">
        <f t="shared" ref="DC125:DC152" si="325">DC124</f>
        <v>1892.1999999999998</v>
      </c>
      <c r="DD125">
        <f t="shared" si="228"/>
        <v>1706.6559876650317</v>
      </c>
      <c r="DE125">
        <f t="shared" si="276"/>
        <v>324.93266253350072</v>
      </c>
      <c r="DG125">
        <v>3</v>
      </c>
      <c r="DH125">
        <f t="shared" ref="DH125:DH152" si="326">DH124</f>
        <v>946.09999999999991</v>
      </c>
      <c r="DI125">
        <f t="shared" si="277"/>
        <v>853.32799383251586</v>
      </c>
      <c r="DJ125">
        <f t="shared" si="229"/>
        <v>162.46633126675036</v>
      </c>
      <c r="DL125">
        <v>3</v>
      </c>
      <c r="DM125">
        <f t="shared" ref="DM125:DM152" si="327">DM124</f>
        <v>3784.3999999999996</v>
      </c>
      <c r="DN125">
        <f t="shared" si="278"/>
        <v>3413.3119753300634</v>
      </c>
      <c r="DO125" s="18">
        <f t="shared" si="230"/>
        <v>649.86532506700144</v>
      </c>
      <c r="DP125">
        <v>3</v>
      </c>
      <c r="DQ125">
        <f t="shared" ref="DQ125:DQ152" si="328">DQ124</f>
        <v>2504.1999999999998</v>
      </c>
      <c r="DR125">
        <f t="shared" si="231"/>
        <v>2258.6449235338614</v>
      </c>
      <c r="DS125">
        <f t="shared" si="279"/>
        <v>2102.5746085694896</v>
      </c>
      <c r="DU125">
        <v>3</v>
      </c>
      <c r="DV125">
        <f t="shared" ref="DV125:DV152" si="329">DV124</f>
        <v>1252.0999999999999</v>
      </c>
      <c r="DW125">
        <f t="shared" si="280"/>
        <v>1129.3224617669307</v>
      </c>
      <c r="DX125">
        <f t="shared" si="232"/>
        <v>162.46633126675036</v>
      </c>
      <c r="DZ125">
        <v>3</v>
      </c>
      <c r="EA125">
        <f t="shared" ref="EA125:EA152" si="330">EA124</f>
        <v>5008.3999999999996</v>
      </c>
      <c r="EB125">
        <f t="shared" si="281"/>
        <v>4517.2898470677228</v>
      </c>
      <c r="EC125" s="18">
        <f t="shared" si="233"/>
        <v>649.86532506700144</v>
      </c>
      <c r="ED125">
        <v>3</v>
      </c>
      <c r="EE125">
        <f t="shared" ref="EE125:EE152" si="331">EE124</f>
        <v>3728.2</v>
      </c>
      <c r="EF125">
        <f t="shared" si="234"/>
        <v>3362.6227952715208</v>
      </c>
      <c r="EG125">
        <f t="shared" si="282"/>
        <v>3130.2686110010268</v>
      </c>
      <c r="EI125">
        <v>3</v>
      </c>
      <c r="EJ125">
        <f t="shared" ref="EJ125:EJ152" si="332">EJ124</f>
        <v>1864.1</v>
      </c>
      <c r="EK125">
        <f t="shared" si="283"/>
        <v>1681.3113976357604</v>
      </c>
      <c r="EL125">
        <f t="shared" si="235"/>
        <v>162.46633126675036</v>
      </c>
      <c r="EN125">
        <v>3</v>
      </c>
      <c r="EO125">
        <f t="shared" ref="EO125:EO152" si="333">EO124</f>
        <v>7456.4</v>
      </c>
      <c r="EP125">
        <f t="shared" si="284"/>
        <v>6725.2455905430415</v>
      </c>
      <c r="EQ125" s="18">
        <f t="shared" si="236"/>
        <v>649.86532506700144</v>
      </c>
      <c r="ER125">
        <v>3</v>
      </c>
      <c r="ES125">
        <f t="shared" ref="ES125:ES152" si="334">ES124</f>
        <v>4952.1999999999989</v>
      </c>
      <c r="ET125">
        <f t="shared" si="237"/>
        <v>4466.6006670091792</v>
      </c>
      <c r="EU125">
        <f t="shared" si="285"/>
        <v>4157.9626134325636</v>
      </c>
      <c r="EW125">
        <v>3</v>
      </c>
      <c r="EX125">
        <f t="shared" ref="EX125:EX152" si="335">EX124</f>
        <v>2476.0999999999995</v>
      </c>
      <c r="EY125">
        <f t="shared" si="286"/>
        <v>2233.3003335045896</v>
      </c>
      <c r="EZ125">
        <f t="shared" si="238"/>
        <v>162.46633126675036</v>
      </c>
      <c r="FB125">
        <v>3</v>
      </c>
      <c r="FC125">
        <f t="shared" ref="FC125:FC152" si="336">FC124</f>
        <v>9904.3999999999978</v>
      </c>
      <c r="FD125">
        <f t="shared" si="287"/>
        <v>8933.2013340183585</v>
      </c>
      <c r="FE125" s="18">
        <f t="shared" si="239"/>
        <v>649.86532506700144</v>
      </c>
      <c r="FF125">
        <v>3</v>
      </c>
      <c r="FG125">
        <f t="shared" ref="FG125:FG152" si="337">FG124</f>
        <v>6176.1999999999989</v>
      </c>
      <c r="FH125">
        <f t="shared" si="240"/>
        <v>5570.5785387468386</v>
      </c>
      <c r="FI125">
        <f t="shared" si="241"/>
        <v>324.93266253350072</v>
      </c>
      <c r="FK125">
        <v>3</v>
      </c>
      <c r="FL125">
        <f t="shared" ref="FL125:FL152" si="338">FL124</f>
        <v>3088.0999999999995</v>
      </c>
      <c r="FM125">
        <f t="shared" si="288"/>
        <v>2785.2892693734193</v>
      </c>
      <c r="FN125">
        <f t="shared" si="242"/>
        <v>162.46633126675036</v>
      </c>
      <c r="FP125">
        <v>3</v>
      </c>
      <c r="FQ125">
        <f t="shared" ref="FQ125:FQ152" si="339">FQ124</f>
        <v>12352.399999999998</v>
      </c>
      <c r="FR125">
        <f t="shared" si="289"/>
        <v>11141.157077493677</v>
      </c>
      <c r="FS125" s="18">
        <f t="shared" si="243"/>
        <v>649.86532506700144</v>
      </c>
      <c r="FT125">
        <v>3</v>
      </c>
      <c r="FU125">
        <f t="shared" ref="FU125:FU152" si="340">FU124</f>
        <v>7400.1999999999989</v>
      </c>
      <c r="FV125">
        <f t="shared" si="244"/>
        <v>6674.556410484498</v>
      </c>
      <c r="FW125">
        <f t="shared" si="245"/>
        <v>324.93266253350072</v>
      </c>
      <c r="FY125">
        <v>3</v>
      </c>
      <c r="FZ125">
        <f t="shared" ref="FZ125:FZ152" si="341">FZ124</f>
        <v>3700.0999999999995</v>
      </c>
      <c r="GA125">
        <f t="shared" si="290"/>
        <v>3337.278205242249</v>
      </c>
      <c r="GB125">
        <f t="shared" si="246"/>
        <v>162.46633126675036</v>
      </c>
      <c r="GD125">
        <v>3</v>
      </c>
      <c r="GE125">
        <f t="shared" ref="GE125:GE152" si="342">GE124</f>
        <v>14800.399999999998</v>
      </c>
      <c r="GF125">
        <f t="shared" si="291"/>
        <v>13349.112820968996</v>
      </c>
      <c r="GG125" s="18">
        <f t="shared" si="247"/>
        <v>649.86532506700144</v>
      </c>
      <c r="GH125">
        <v>3</v>
      </c>
      <c r="GI125">
        <f t="shared" ref="GI125:GI152" si="343">GI124</f>
        <v>9848.1999999999989</v>
      </c>
      <c r="GJ125">
        <f t="shared" si="248"/>
        <v>8882.5121539598167</v>
      </c>
      <c r="GK125">
        <f t="shared" si="249"/>
        <v>324.93266253350072</v>
      </c>
      <c r="GM125">
        <v>3</v>
      </c>
      <c r="GN125">
        <f t="shared" ref="GN125:GN152" si="344">GN124</f>
        <v>4924.0999999999995</v>
      </c>
      <c r="GO125">
        <f t="shared" si="292"/>
        <v>4441.2560769799084</v>
      </c>
      <c r="GP125">
        <f t="shared" si="250"/>
        <v>162.46633126675036</v>
      </c>
      <c r="GR125">
        <v>3</v>
      </c>
      <c r="GS125">
        <f t="shared" ref="GS125:GS152" si="345">GS124</f>
        <v>19696.399999999998</v>
      </c>
      <c r="GT125">
        <f t="shared" si="293"/>
        <v>17765.024307919633</v>
      </c>
      <c r="GU125" s="18">
        <f t="shared" si="251"/>
        <v>649.86532506700144</v>
      </c>
      <c r="GV125">
        <v>3</v>
      </c>
      <c r="GW125">
        <f t="shared" ref="GW125:GW152" si="346">GW124</f>
        <v>12296.199999999999</v>
      </c>
      <c r="GX125">
        <f t="shared" si="252"/>
        <v>11090.467897435135</v>
      </c>
      <c r="GY125">
        <f t="shared" si="294"/>
        <v>10324.126628021786</v>
      </c>
      <c r="HA125">
        <v>3</v>
      </c>
      <c r="HB125">
        <f t="shared" ref="HB125:HB152" si="347">HB124</f>
        <v>6148.0999999999995</v>
      </c>
      <c r="HC125">
        <f t="shared" si="295"/>
        <v>5545.2339487175677</v>
      </c>
      <c r="HD125">
        <f t="shared" si="253"/>
        <v>162.46633126675036</v>
      </c>
      <c r="HF125">
        <v>3</v>
      </c>
      <c r="HG125">
        <f t="shared" ref="HG125:HG152" si="348">HG124</f>
        <v>24592.399999999998</v>
      </c>
      <c r="HH125">
        <f t="shared" si="296"/>
        <v>22180.935794870271</v>
      </c>
      <c r="HI125" s="18">
        <f t="shared" si="254"/>
        <v>649.86532506700144</v>
      </c>
    </row>
    <row r="126" spans="1:217" x14ac:dyDescent="0.25">
      <c r="H126">
        <v>4</v>
      </c>
      <c r="I126">
        <f t="shared" si="297"/>
        <v>387</v>
      </c>
      <c r="J126">
        <f t="shared" si="255"/>
        <v>337.24814211934751</v>
      </c>
      <c r="K126">
        <f t="shared" si="256"/>
        <v>306.54024767311387</v>
      </c>
      <c r="M126">
        <v>4</v>
      </c>
      <c r="N126">
        <v>193.5</v>
      </c>
      <c r="O126">
        <f t="shared" si="298"/>
        <v>168.62407105967375</v>
      </c>
      <c r="P126">
        <f t="shared" si="257"/>
        <v>153.27012383655693</v>
      </c>
      <c r="R126">
        <v>4</v>
      </c>
      <c r="S126">
        <v>774</v>
      </c>
      <c r="T126">
        <f t="shared" si="299"/>
        <v>674.49628423869501</v>
      </c>
      <c r="U126" s="18">
        <f t="shared" si="300"/>
        <v>613.08049534622774</v>
      </c>
      <c r="V126">
        <v>4</v>
      </c>
      <c r="W126">
        <f t="shared" si="301"/>
        <v>423.4</v>
      </c>
      <c r="X126">
        <f t="shared" si="258"/>
        <v>368.96863920757551</v>
      </c>
      <c r="Y126">
        <f t="shared" si="259"/>
        <v>335.37245701497784</v>
      </c>
      <c r="AA126">
        <v>4</v>
      </c>
      <c r="AB126">
        <f t="shared" si="302"/>
        <v>211.7</v>
      </c>
      <c r="AC126">
        <f t="shared" si="303"/>
        <v>184.48431960378775</v>
      </c>
      <c r="AD126">
        <f t="shared" si="260"/>
        <v>153.27012383655693</v>
      </c>
      <c r="AF126">
        <v>4</v>
      </c>
      <c r="AG126">
        <f t="shared" si="304"/>
        <v>846.8</v>
      </c>
      <c r="AH126">
        <f t="shared" si="305"/>
        <v>737.93727841515101</v>
      </c>
      <c r="AI126" s="18">
        <f t="shared" si="306"/>
        <v>613.08049534622774</v>
      </c>
      <c r="AJ126">
        <v>4</v>
      </c>
      <c r="AK126">
        <f t="shared" si="307"/>
        <v>423.4</v>
      </c>
      <c r="AL126">
        <f t="shared" si="261"/>
        <v>368.96863920757551</v>
      </c>
      <c r="AM126">
        <f t="shared" si="262"/>
        <v>335.37245701497784</v>
      </c>
      <c r="AO126">
        <v>4</v>
      </c>
      <c r="AP126">
        <f t="shared" si="308"/>
        <v>211.7</v>
      </c>
      <c r="AQ126">
        <f t="shared" si="309"/>
        <v>184.48431960378775</v>
      </c>
      <c r="AR126">
        <f t="shared" si="263"/>
        <v>153.27012383655693</v>
      </c>
      <c r="AT126">
        <v>4</v>
      </c>
      <c r="AU126">
        <f t="shared" si="310"/>
        <v>846.8</v>
      </c>
      <c r="AV126">
        <f t="shared" si="311"/>
        <v>737.93727841515101</v>
      </c>
      <c r="AW126" s="18">
        <f t="shared" si="312"/>
        <v>613.08049534622774</v>
      </c>
      <c r="AX126">
        <v>4</v>
      </c>
      <c r="AY126">
        <f t="shared" si="313"/>
        <v>423.4</v>
      </c>
      <c r="AZ126">
        <f t="shared" si="216"/>
        <v>368.96863920757551</v>
      </c>
      <c r="BA126">
        <f t="shared" si="264"/>
        <v>335.37245701497784</v>
      </c>
      <c r="BC126">
        <v>4</v>
      </c>
      <c r="BD126">
        <f t="shared" si="314"/>
        <v>211.7</v>
      </c>
      <c r="BE126">
        <f t="shared" si="265"/>
        <v>184.48431960378775</v>
      </c>
      <c r="BF126">
        <f t="shared" si="217"/>
        <v>153.27012383655693</v>
      </c>
      <c r="BH126">
        <v>4</v>
      </c>
      <c r="BI126">
        <f t="shared" si="315"/>
        <v>846.8</v>
      </c>
      <c r="BJ126">
        <f t="shared" si="266"/>
        <v>737.93727841515101</v>
      </c>
      <c r="BK126" s="18">
        <f t="shared" si="218"/>
        <v>613.08049534622774</v>
      </c>
      <c r="BL126">
        <v>4</v>
      </c>
      <c r="BM126">
        <f t="shared" si="316"/>
        <v>668.19999999999993</v>
      </c>
      <c r="BN126">
        <f t="shared" si="219"/>
        <v>582.29769654818597</v>
      </c>
      <c r="BO126">
        <f t="shared" si="267"/>
        <v>529.27698577564513</v>
      </c>
      <c r="BQ126">
        <v>4</v>
      </c>
      <c r="BR126">
        <f t="shared" si="317"/>
        <v>334.09999999999997</v>
      </c>
      <c r="BS126">
        <f t="shared" si="268"/>
        <v>291.14884827409298</v>
      </c>
      <c r="BT126">
        <f t="shared" si="220"/>
        <v>153.27012383655693</v>
      </c>
      <c r="BV126">
        <v>4</v>
      </c>
      <c r="BW126">
        <f t="shared" si="318"/>
        <v>1336.3999999999999</v>
      </c>
      <c r="BX126">
        <f t="shared" si="269"/>
        <v>1164.5953930963719</v>
      </c>
      <c r="BY126" s="18">
        <f t="shared" si="221"/>
        <v>613.08049534622774</v>
      </c>
      <c r="BZ126">
        <v>4</v>
      </c>
      <c r="CA126">
        <f t="shared" si="319"/>
        <v>974.19999999999993</v>
      </c>
      <c r="CB126">
        <f t="shared" si="222"/>
        <v>848.95901822394922</v>
      </c>
      <c r="CC126">
        <f t="shared" si="270"/>
        <v>771.65764672647947</v>
      </c>
      <c r="CE126">
        <v>4</v>
      </c>
      <c r="CF126">
        <f t="shared" si="320"/>
        <v>487.09999999999997</v>
      </c>
      <c r="CG126">
        <f t="shared" si="271"/>
        <v>424.47950911197461</v>
      </c>
      <c r="CH126">
        <f t="shared" si="223"/>
        <v>153.27012383655693</v>
      </c>
      <c r="CJ126">
        <v>4</v>
      </c>
      <c r="CK126">
        <f t="shared" si="321"/>
        <v>1948.3999999999999</v>
      </c>
      <c r="CL126">
        <f t="shared" si="272"/>
        <v>1697.9180364478984</v>
      </c>
      <c r="CM126" s="18">
        <f t="shared" si="224"/>
        <v>613.08049534622774</v>
      </c>
      <c r="CN126">
        <v>4</v>
      </c>
      <c r="CO126">
        <f t="shared" si="322"/>
        <v>1280.1999999999998</v>
      </c>
      <c r="CP126">
        <f t="shared" si="225"/>
        <v>1115.6203398997122</v>
      </c>
      <c r="CQ126">
        <f t="shared" si="273"/>
        <v>1014.0383076773136</v>
      </c>
      <c r="CS126">
        <v>4</v>
      </c>
      <c r="CT126">
        <f t="shared" si="323"/>
        <v>640.09999999999991</v>
      </c>
      <c r="CU126">
        <f t="shared" si="274"/>
        <v>557.81016994985612</v>
      </c>
      <c r="CV126">
        <f t="shared" si="226"/>
        <v>153.27012383655693</v>
      </c>
      <c r="CX126">
        <v>4</v>
      </c>
      <c r="CY126">
        <f t="shared" si="324"/>
        <v>2560.3999999999996</v>
      </c>
      <c r="CZ126">
        <f t="shared" si="275"/>
        <v>2231.2406797994245</v>
      </c>
      <c r="DA126" s="18">
        <f t="shared" si="227"/>
        <v>613.08049534622774</v>
      </c>
      <c r="DB126">
        <v>4</v>
      </c>
      <c r="DC126">
        <f t="shared" si="325"/>
        <v>1892.1999999999998</v>
      </c>
      <c r="DD126">
        <f t="shared" si="228"/>
        <v>1648.9429832512385</v>
      </c>
      <c r="DE126">
        <f t="shared" si="276"/>
        <v>306.54024767311387</v>
      </c>
      <c r="DG126">
        <v>4</v>
      </c>
      <c r="DH126">
        <f t="shared" si="326"/>
        <v>946.09999999999991</v>
      </c>
      <c r="DI126">
        <f t="shared" si="277"/>
        <v>824.47149162561925</v>
      </c>
      <c r="DJ126">
        <f t="shared" si="229"/>
        <v>153.27012383655693</v>
      </c>
      <c r="DL126">
        <v>4</v>
      </c>
      <c r="DM126">
        <f t="shared" si="327"/>
        <v>3784.3999999999996</v>
      </c>
      <c r="DN126">
        <f t="shared" si="278"/>
        <v>3297.885966502477</v>
      </c>
      <c r="DO126" s="18">
        <f t="shared" si="230"/>
        <v>613.08049534622774</v>
      </c>
      <c r="DP126">
        <v>4</v>
      </c>
      <c r="DQ126">
        <f t="shared" si="328"/>
        <v>2504.1999999999998</v>
      </c>
      <c r="DR126">
        <f t="shared" si="231"/>
        <v>2182.2656266027648</v>
      </c>
      <c r="DS126">
        <f t="shared" si="279"/>
        <v>1983.5609514806506</v>
      </c>
      <c r="DU126">
        <v>4</v>
      </c>
      <c r="DV126">
        <f t="shared" si="329"/>
        <v>1252.0999999999999</v>
      </c>
      <c r="DW126">
        <f t="shared" si="280"/>
        <v>1091.1328133013824</v>
      </c>
      <c r="DX126">
        <f t="shared" si="232"/>
        <v>153.27012383655693</v>
      </c>
      <c r="DZ126">
        <v>4</v>
      </c>
      <c r="EA126">
        <f t="shared" si="330"/>
        <v>5008.3999999999996</v>
      </c>
      <c r="EB126">
        <f t="shared" si="281"/>
        <v>4364.5312532055295</v>
      </c>
      <c r="EC126" s="18">
        <f t="shared" si="233"/>
        <v>613.08049534622774</v>
      </c>
      <c r="ED126">
        <v>4</v>
      </c>
      <c r="EE126">
        <f t="shared" si="331"/>
        <v>3728.2</v>
      </c>
      <c r="EF126">
        <f t="shared" si="234"/>
        <v>3248.9109133058173</v>
      </c>
      <c r="EG126">
        <f t="shared" si="282"/>
        <v>2953.0835952839875</v>
      </c>
      <c r="EI126">
        <v>4</v>
      </c>
      <c r="EJ126">
        <f t="shared" si="332"/>
        <v>1864.1</v>
      </c>
      <c r="EK126">
        <f t="shared" si="283"/>
        <v>1624.4554566529087</v>
      </c>
      <c r="EL126">
        <f t="shared" si="235"/>
        <v>153.27012383655693</v>
      </c>
      <c r="EN126">
        <v>4</v>
      </c>
      <c r="EO126">
        <f t="shared" si="333"/>
        <v>7456.4</v>
      </c>
      <c r="EP126">
        <f t="shared" si="284"/>
        <v>6497.8218266116346</v>
      </c>
      <c r="EQ126" s="18">
        <f t="shared" si="236"/>
        <v>613.08049534622774</v>
      </c>
      <c r="ER126">
        <v>4</v>
      </c>
      <c r="ES126">
        <f t="shared" si="334"/>
        <v>4952.1999999999989</v>
      </c>
      <c r="ET126">
        <f t="shared" si="237"/>
        <v>4315.5562000088694</v>
      </c>
      <c r="EU126">
        <f t="shared" si="285"/>
        <v>3922.606239087324</v>
      </c>
      <c r="EW126">
        <v>4</v>
      </c>
      <c r="EX126">
        <f t="shared" si="335"/>
        <v>2476.0999999999995</v>
      </c>
      <c r="EY126">
        <f t="shared" si="286"/>
        <v>2157.7781000044347</v>
      </c>
      <c r="EZ126">
        <f t="shared" si="238"/>
        <v>153.27012383655693</v>
      </c>
      <c r="FB126">
        <v>4</v>
      </c>
      <c r="FC126">
        <f t="shared" si="336"/>
        <v>9904.3999999999978</v>
      </c>
      <c r="FD126">
        <f t="shared" si="287"/>
        <v>8631.1124000177388</v>
      </c>
      <c r="FE126" s="18">
        <f t="shared" si="239"/>
        <v>613.08049534622774</v>
      </c>
      <c r="FF126">
        <v>4</v>
      </c>
      <c r="FG126">
        <f t="shared" si="337"/>
        <v>6176.1999999999989</v>
      </c>
      <c r="FH126">
        <f t="shared" si="240"/>
        <v>5382.2014867119215</v>
      </c>
      <c r="FI126">
        <f t="shared" si="241"/>
        <v>306.54024767311387</v>
      </c>
      <c r="FK126">
        <v>4</v>
      </c>
      <c r="FL126">
        <f t="shared" si="338"/>
        <v>3088.0999999999995</v>
      </c>
      <c r="FM126">
        <f t="shared" si="288"/>
        <v>2691.1007433559607</v>
      </c>
      <c r="FN126">
        <f t="shared" si="242"/>
        <v>153.27012383655693</v>
      </c>
      <c r="FP126">
        <v>4</v>
      </c>
      <c r="FQ126">
        <f t="shared" si="339"/>
        <v>12352.399999999998</v>
      </c>
      <c r="FR126">
        <f t="shared" si="289"/>
        <v>10764.402973423843</v>
      </c>
      <c r="FS126" s="18">
        <f t="shared" si="243"/>
        <v>613.08049534622774</v>
      </c>
      <c r="FT126">
        <v>4</v>
      </c>
      <c r="FU126">
        <f t="shared" si="340"/>
        <v>7400.1999999999989</v>
      </c>
      <c r="FV126">
        <f t="shared" si="244"/>
        <v>6448.8467734149745</v>
      </c>
      <c r="FW126">
        <f t="shared" si="245"/>
        <v>306.54024767311387</v>
      </c>
      <c r="FY126">
        <v>4</v>
      </c>
      <c r="FZ126">
        <f t="shared" si="341"/>
        <v>3700.0999999999995</v>
      </c>
      <c r="GA126">
        <f t="shared" si="290"/>
        <v>3224.4233867074872</v>
      </c>
      <c r="GB126">
        <f t="shared" si="246"/>
        <v>153.27012383655693</v>
      </c>
      <c r="GD126">
        <v>4</v>
      </c>
      <c r="GE126">
        <f t="shared" si="342"/>
        <v>14800.399999999998</v>
      </c>
      <c r="GF126">
        <f t="shared" si="291"/>
        <v>12897.693546829949</v>
      </c>
      <c r="GG126" s="18">
        <f t="shared" si="247"/>
        <v>613.08049534622774</v>
      </c>
      <c r="GH126">
        <v>4</v>
      </c>
      <c r="GI126">
        <f t="shared" si="343"/>
        <v>9848.1999999999989</v>
      </c>
      <c r="GJ126">
        <f t="shared" si="248"/>
        <v>8582.1373468210804</v>
      </c>
      <c r="GK126">
        <f t="shared" si="249"/>
        <v>306.54024767311387</v>
      </c>
      <c r="GM126">
        <v>4</v>
      </c>
      <c r="GN126">
        <f t="shared" si="344"/>
        <v>4924.0999999999995</v>
      </c>
      <c r="GO126">
        <f t="shared" si="292"/>
        <v>4291.0686734105402</v>
      </c>
      <c r="GP126">
        <f t="shared" si="250"/>
        <v>153.27012383655693</v>
      </c>
      <c r="GR126">
        <v>4</v>
      </c>
      <c r="GS126">
        <f t="shared" si="345"/>
        <v>19696.399999999998</v>
      </c>
      <c r="GT126">
        <f t="shared" si="293"/>
        <v>17164.274693642161</v>
      </c>
      <c r="GU126" s="18">
        <f t="shared" si="251"/>
        <v>613.08049534622774</v>
      </c>
      <c r="GV126">
        <v>4</v>
      </c>
      <c r="GW126">
        <f t="shared" si="346"/>
        <v>12296.199999999999</v>
      </c>
      <c r="GX126">
        <f t="shared" si="252"/>
        <v>10715.427920227185</v>
      </c>
      <c r="GY126">
        <f t="shared" si="294"/>
        <v>9739.7421019073463</v>
      </c>
      <c r="HA126">
        <v>4</v>
      </c>
      <c r="HB126">
        <f t="shared" si="347"/>
        <v>6148.0999999999995</v>
      </c>
      <c r="HC126">
        <f t="shared" si="295"/>
        <v>5357.7139601135923</v>
      </c>
      <c r="HD126">
        <f t="shared" si="253"/>
        <v>153.27012383655693</v>
      </c>
      <c r="HF126">
        <v>4</v>
      </c>
      <c r="HG126">
        <f t="shared" si="348"/>
        <v>24592.399999999998</v>
      </c>
      <c r="HH126">
        <f t="shared" si="296"/>
        <v>21430.855840454369</v>
      </c>
      <c r="HI126" s="18">
        <f t="shared" si="254"/>
        <v>613.08049534622774</v>
      </c>
    </row>
    <row r="127" spans="1:217" x14ac:dyDescent="0.25">
      <c r="H127">
        <v>5</v>
      </c>
      <c r="I127">
        <f t="shared" si="297"/>
        <v>387</v>
      </c>
      <c r="J127">
        <f t="shared" si="255"/>
        <v>325.84361557424887</v>
      </c>
      <c r="K127">
        <f t="shared" si="256"/>
        <v>289.188912899164</v>
      </c>
      <c r="M127">
        <v>5</v>
      </c>
      <c r="N127">
        <v>193.5</v>
      </c>
      <c r="O127">
        <f t="shared" si="298"/>
        <v>162.92180778712444</v>
      </c>
      <c r="P127">
        <f t="shared" si="257"/>
        <v>144.594456449582</v>
      </c>
      <c r="R127">
        <v>5</v>
      </c>
      <c r="S127">
        <v>774</v>
      </c>
      <c r="T127">
        <f t="shared" si="299"/>
        <v>651.68723114849774</v>
      </c>
      <c r="U127" s="18">
        <f t="shared" si="300"/>
        <v>578.37782579832799</v>
      </c>
      <c r="V127">
        <v>5</v>
      </c>
      <c r="W127">
        <f t="shared" si="301"/>
        <v>423.4</v>
      </c>
      <c r="X127">
        <f t="shared" si="258"/>
        <v>356.49143884789913</v>
      </c>
      <c r="Y127">
        <f t="shared" si="259"/>
        <v>316.38911039148849</v>
      </c>
      <c r="AA127">
        <v>5</v>
      </c>
      <c r="AB127">
        <f t="shared" si="302"/>
        <v>211.7</v>
      </c>
      <c r="AC127">
        <f t="shared" si="303"/>
        <v>178.24571942394957</v>
      </c>
      <c r="AD127">
        <f t="shared" si="260"/>
        <v>144.594456449582</v>
      </c>
      <c r="AF127">
        <v>5</v>
      </c>
      <c r="AG127">
        <f t="shared" si="304"/>
        <v>846.8</v>
      </c>
      <c r="AH127">
        <f t="shared" si="305"/>
        <v>712.98287769579827</v>
      </c>
      <c r="AI127" s="18">
        <f t="shared" si="306"/>
        <v>578.37782579832799</v>
      </c>
      <c r="AJ127">
        <v>5</v>
      </c>
      <c r="AK127">
        <f t="shared" si="307"/>
        <v>423.4</v>
      </c>
      <c r="AL127">
        <f t="shared" si="261"/>
        <v>356.49143884789913</v>
      </c>
      <c r="AM127">
        <f t="shared" si="262"/>
        <v>316.38911039148849</v>
      </c>
      <c r="AO127">
        <v>5</v>
      </c>
      <c r="AP127">
        <f t="shared" si="308"/>
        <v>211.7</v>
      </c>
      <c r="AQ127">
        <f t="shared" si="309"/>
        <v>178.24571942394957</v>
      </c>
      <c r="AR127">
        <f t="shared" si="263"/>
        <v>144.594456449582</v>
      </c>
      <c r="AT127">
        <v>5</v>
      </c>
      <c r="AU127">
        <f t="shared" si="310"/>
        <v>846.8</v>
      </c>
      <c r="AV127">
        <f t="shared" si="311"/>
        <v>712.98287769579827</v>
      </c>
      <c r="AW127" s="18">
        <f t="shared" si="312"/>
        <v>578.37782579832799</v>
      </c>
      <c r="AX127">
        <v>5</v>
      </c>
      <c r="AY127">
        <f t="shared" si="313"/>
        <v>423.4</v>
      </c>
      <c r="AZ127">
        <f t="shared" si="216"/>
        <v>356.49143884789913</v>
      </c>
      <c r="BA127">
        <f t="shared" si="264"/>
        <v>316.38911039148849</v>
      </c>
      <c r="BC127">
        <v>5</v>
      </c>
      <c r="BD127">
        <f t="shared" si="314"/>
        <v>211.7</v>
      </c>
      <c r="BE127">
        <f t="shared" si="265"/>
        <v>178.24571942394957</v>
      </c>
      <c r="BF127">
        <f t="shared" si="217"/>
        <v>144.594456449582</v>
      </c>
      <c r="BH127">
        <v>5</v>
      </c>
      <c r="BI127">
        <f t="shared" si="315"/>
        <v>846.8</v>
      </c>
      <c r="BJ127">
        <f t="shared" si="266"/>
        <v>712.98287769579827</v>
      </c>
      <c r="BK127" s="18">
        <f t="shared" si="218"/>
        <v>578.37782579832799</v>
      </c>
      <c r="BL127">
        <v>5</v>
      </c>
      <c r="BM127">
        <f t="shared" si="316"/>
        <v>668.19999999999993</v>
      </c>
      <c r="BN127">
        <f t="shared" si="219"/>
        <v>562.60647009486581</v>
      </c>
      <c r="BO127">
        <f t="shared" si="267"/>
        <v>499.31791110909916</v>
      </c>
      <c r="BQ127">
        <v>5</v>
      </c>
      <c r="BR127">
        <f t="shared" si="317"/>
        <v>334.09999999999997</v>
      </c>
      <c r="BS127">
        <f t="shared" si="268"/>
        <v>281.30323504743291</v>
      </c>
      <c r="BT127">
        <f t="shared" si="220"/>
        <v>144.594456449582</v>
      </c>
      <c r="BV127">
        <v>5</v>
      </c>
      <c r="BW127">
        <f t="shared" si="318"/>
        <v>1336.3999999999999</v>
      </c>
      <c r="BX127">
        <f t="shared" si="269"/>
        <v>1125.2129401897316</v>
      </c>
      <c r="BY127" s="18">
        <f t="shared" si="221"/>
        <v>578.37782579832799</v>
      </c>
      <c r="BZ127">
        <v>5</v>
      </c>
      <c r="CA127">
        <f t="shared" si="319"/>
        <v>974.19999999999993</v>
      </c>
      <c r="CB127">
        <f t="shared" si="222"/>
        <v>820.25025915357423</v>
      </c>
      <c r="CC127">
        <f t="shared" si="270"/>
        <v>727.97891200611252</v>
      </c>
      <c r="CE127">
        <v>5</v>
      </c>
      <c r="CF127">
        <f t="shared" si="320"/>
        <v>487.09999999999997</v>
      </c>
      <c r="CG127">
        <f t="shared" si="271"/>
        <v>410.12512957678712</v>
      </c>
      <c r="CH127">
        <f t="shared" si="223"/>
        <v>144.594456449582</v>
      </c>
      <c r="CJ127">
        <v>5</v>
      </c>
      <c r="CK127">
        <f t="shared" si="321"/>
        <v>1948.3999999999999</v>
      </c>
      <c r="CL127">
        <f t="shared" si="272"/>
        <v>1640.5005183071485</v>
      </c>
      <c r="CM127" s="18">
        <f t="shared" si="224"/>
        <v>578.37782579832799</v>
      </c>
      <c r="CN127">
        <v>5</v>
      </c>
      <c r="CO127">
        <f t="shared" si="322"/>
        <v>1280.1999999999998</v>
      </c>
      <c r="CP127">
        <f t="shared" si="225"/>
        <v>1077.8940482122825</v>
      </c>
      <c r="CQ127">
        <f t="shared" si="273"/>
        <v>956.63991290312595</v>
      </c>
      <c r="CS127">
        <v>5</v>
      </c>
      <c r="CT127">
        <f t="shared" si="323"/>
        <v>640.09999999999991</v>
      </c>
      <c r="CU127">
        <f t="shared" si="274"/>
        <v>538.94702410614127</v>
      </c>
      <c r="CV127">
        <f t="shared" si="226"/>
        <v>144.594456449582</v>
      </c>
      <c r="CX127">
        <v>5</v>
      </c>
      <c r="CY127">
        <f t="shared" si="324"/>
        <v>2560.3999999999996</v>
      </c>
      <c r="CZ127">
        <f t="shared" si="275"/>
        <v>2155.7880964245651</v>
      </c>
      <c r="DA127" s="18">
        <f t="shared" si="227"/>
        <v>578.37782579832799</v>
      </c>
      <c r="DB127">
        <v>5</v>
      </c>
      <c r="DC127">
        <f t="shared" si="325"/>
        <v>1892.1999999999998</v>
      </c>
      <c r="DD127">
        <f t="shared" si="228"/>
        <v>1593.1816263296994</v>
      </c>
      <c r="DE127">
        <f t="shared" si="276"/>
        <v>289.188912899164</v>
      </c>
      <c r="DG127">
        <v>5</v>
      </c>
      <c r="DH127">
        <f t="shared" si="326"/>
        <v>946.09999999999991</v>
      </c>
      <c r="DI127">
        <f t="shared" si="277"/>
        <v>796.59081316484969</v>
      </c>
      <c r="DJ127">
        <f t="shared" si="229"/>
        <v>144.594456449582</v>
      </c>
      <c r="DL127">
        <v>5</v>
      </c>
      <c r="DM127">
        <f t="shared" si="327"/>
        <v>3784.3999999999996</v>
      </c>
      <c r="DN127">
        <f t="shared" si="278"/>
        <v>3186.3632526593988</v>
      </c>
      <c r="DO127" s="18">
        <f t="shared" si="230"/>
        <v>578.37782579832799</v>
      </c>
      <c r="DP127">
        <v>5</v>
      </c>
      <c r="DQ127">
        <f t="shared" si="328"/>
        <v>2504.1999999999998</v>
      </c>
      <c r="DR127">
        <f t="shared" si="231"/>
        <v>2108.4692044471162</v>
      </c>
      <c r="DS127">
        <f t="shared" si="279"/>
        <v>1871.2839164911795</v>
      </c>
      <c r="DU127">
        <v>5</v>
      </c>
      <c r="DV127">
        <f t="shared" si="329"/>
        <v>1252.0999999999999</v>
      </c>
      <c r="DW127">
        <f t="shared" si="280"/>
        <v>1054.2346022235581</v>
      </c>
      <c r="DX127">
        <f t="shared" si="232"/>
        <v>144.594456449582</v>
      </c>
      <c r="DZ127">
        <v>5</v>
      </c>
      <c r="EA127">
        <f t="shared" si="330"/>
        <v>5008.3999999999996</v>
      </c>
      <c r="EB127">
        <f t="shared" si="281"/>
        <v>4216.9384088942325</v>
      </c>
      <c r="EC127" s="18">
        <f t="shared" si="233"/>
        <v>578.37782579832799</v>
      </c>
      <c r="ED127">
        <v>5</v>
      </c>
      <c r="EE127">
        <f t="shared" si="331"/>
        <v>3728.2</v>
      </c>
      <c r="EF127">
        <f t="shared" si="234"/>
        <v>3139.0443606819495</v>
      </c>
      <c r="EG127">
        <f t="shared" si="282"/>
        <v>2785.927920079233</v>
      </c>
      <c r="EI127">
        <v>5</v>
      </c>
      <c r="EJ127">
        <f t="shared" si="332"/>
        <v>1864.1</v>
      </c>
      <c r="EK127">
        <f t="shared" si="283"/>
        <v>1569.5221803409747</v>
      </c>
      <c r="EL127">
        <f t="shared" si="235"/>
        <v>144.594456449582</v>
      </c>
      <c r="EN127">
        <v>5</v>
      </c>
      <c r="EO127">
        <f t="shared" si="333"/>
        <v>7456.4</v>
      </c>
      <c r="EP127">
        <f t="shared" si="284"/>
        <v>6278.0887213638989</v>
      </c>
      <c r="EQ127" s="18">
        <f t="shared" si="236"/>
        <v>578.37782579832799</v>
      </c>
      <c r="ER127">
        <v>5</v>
      </c>
      <c r="ES127">
        <f t="shared" si="334"/>
        <v>4952.1999999999989</v>
      </c>
      <c r="ET127">
        <f t="shared" si="237"/>
        <v>4169.6195169167822</v>
      </c>
      <c r="EU127">
        <f t="shared" si="285"/>
        <v>3700.5719236672862</v>
      </c>
      <c r="EW127">
        <v>5</v>
      </c>
      <c r="EX127">
        <f t="shared" si="335"/>
        <v>2476.0999999999995</v>
      </c>
      <c r="EY127">
        <f t="shared" si="286"/>
        <v>2084.8097584583911</v>
      </c>
      <c r="EZ127">
        <f t="shared" si="238"/>
        <v>144.594456449582</v>
      </c>
      <c r="FB127">
        <v>5</v>
      </c>
      <c r="FC127">
        <f t="shared" si="336"/>
        <v>9904.3999999999978</v>
      </c>
      <c r="FD127">
        <f t="shared" si="287"/>
        <v>8339.2390338335645</v>
      </c>
      <c r="FE127" s="18">
        <f t="shared" si="239"/>
        <v>578.37782579832799</v>
      </c>
      <c r="FF127">
        <v>5</v>
      </c>
      <c r="FG127">
        <f t="shared" si="337"/>
        <v>6176.1999999999989</v>
      </c>
      <c r="FH127">
        <f t="shared" si="240"/>
        <v>5200.1946731516164</v>
      </c>
      <c r="FI127">
        <f t="shared" si="241"/>
        <v>289.188912899164</v>
      </c>
      <c r="FK127">
        <v>5</v>
      </c>
      <c r="FL127">
        <f t="shared" si="338"/>
        <v>3088.0999999999995</v>
      </c>
      <c r="FM127">
        <f t="shared" si="288"/>
        <v>2600.0973365758082</v>
      </c>
      <c r="FN127">
        <f t="shared" si="242"/>
        <v>144.594456449582</v>
      </c>
      <c r="FP127">
        <v>5</v>
      </c>
      <c r="FQ127">
        <f t="shared" si="339"/>
        <v>12352.399999999998</v>
      </c>
      <c r="FR127">
        <f t="shared" si="289"/>
        <v>10400.389346303233</v>
      </c>
      <c r="FS127" s="18">
        <f t="shared" si="243"/>
        <v>578.37782579832799</v>
      </c>
      <c r="FT127">
        <v>5</v>
      </c>
      <c r="FU127">
        <f t="shared" si="340"/>
        <v>7400.1999999999989</v>
      </c>
      <c r="FV127">
        <f t="shared" si="244"/>
        <v>6230.7698293864496</v>
      </c>
      <c r="FW127">
        <f t="shared" si="245"/>
        <v>289.188912899164</v>
      </c>
      <c r="FY127">
        <v>5</v>
      </c>
      <c r="FZ127">
        <f t="shared" si="341"/>
        <v>3700.0999999999995</v>
      </c>
      <c r="GA127">
        <f t="shared" si="290"/>
        <v>3115.3849146932248</v>
      </c>
      <c r="GB127">
        <f t="shared" si="246"/>
        <v>144.594456449582</v>
      </c>
      <c r="GD127">
        <v>5</v>
      </c>
      <c r="GE127">
        <f t="shared" si="342"/>
        <v>14800.399999999998</v>
      </c>
      <c r="GF127">
        <f t="shared" si="291"/>
        <v>12461.539658772899</v>
      </c>
      <c r="GG127" s="18">
        <f t="shared" si="247"/>
        <v>578.37782579832799</v>
      </c>
      <c r="GH127">
        <v>5</v>
      </c>
      <c r="GI127">
        <f t="shared" si="343"/>
        <v>9848.1999999999989</v>
      </c>
      <c r="GJ127">
        <f t="shared" si="248"/>
        <v>8291.920141856117</v>
      </c>
      <c r="GK127">
        <f t="shared" si="249"/>
        <v>289.188912899164</v>
      </c>
      <c r="GM127">
        <v>5</v>
      </c>
      <c r="GN127">
        <f t="shared" si="344"/>
        <v>4924.0999999999995</v>
      </c>
      <c r="GO127">
        <f t="shared" si="292"/>
        <v>4145.9600709280585</v>
      </c>
      <c r="GP127">
        <f t="shared" si="250"/>
        <v>144.594456449582</v>
      </c>
      <c r="GR127">
        <v>5</v>
      </c>
      <c r="GS127">
        <f t="shared" si="345"/>
        <v>19696.399999999998</v>
      </c>
      <c r="GT127">
        <f t="shared" si="293"/>
        <v>16583.840283712234</v>
      </c>
      <c r="GU127" s="18">
        <f t="shared" si="251"/>
        <v>578.37782579832799</v>
      </c>
      <c r="GV127">
        <v>5</v>
      </c>
      <c r="GW127">
        <f t="shared" si="346"/>
        <v>12296.199999999999</v>
      </c>
      <c r="GX127">
        <f t="shared" si="252"/>
        <v>10353.070454325783</v>
      </c>
      <c r="GY127">
        <f t="shared" si="294"/>
        <v>9188.4359451956079</v>
      </c>
      <c r="HA127">
        <v>5</v>
      </c>
      <c r="HB127">
        <f t="shared" si="347"/>
        <v>6148.0999999999995</v>
      </c>
      <c r="HC127">
        <f t="shared" si="295"/>
        <v>5176.5352271628917</v>
      </c>
      <c r="HD127">
        <f t="shared" si="253"/>
        <v>144.594456449582</v>
      </c>
      <c r="HF127">
        <v>5</v>
      </c>
      <c r="HG127">
        <f t="shared" si="348"/>
        <v>24592.399999999998</v>
      </c>
      <c r="HH127">
        <f t="shared" si="296"/>
        <v>20706.140908651567</v>
      </c>
      <c r="HI127" s="18">
        <f t="shared" si="254"/>
        <v>578.37782579832799</v>
      </c>
    </row>
    <row r="128" spans="1:217" x14ac:dyDescent="0.25">
      <c r="H128">
        <v>6</v>
      </c>
      <c r="I128">
        <f t="shared" si="297"/>
        <v>387</v>
      </c>
      <c r="J128">
        <f t="shared" si="255"/>
        <v>314.82474934710035</v>
      </c>
      <c r="K128">
        <f t="shared" si="256"/>
        <v>272.81972915015473</v>
      </c>
      <c r="M128">
        <v>6</v>
      </c>
      <c r="N128">
        <v>193.5</v>
      </c>
      <c r="O128">
        <f t="shared" si="298"/>
        <v>157.41237467355018</v>
      </c>
      <c r="P128">
        <f t="shared" si="257"/>
        <v>136.40986457507736</v>
      </c>
      <c r="R128">
        <v>6</v>
      </c>
      <c r="S128">
        <v>774</v>
      </c>
      <c r="T128">
        <f t="shared" si="299"/>
        <v>629.6494986942007</v>
      </c>
      <c r="U128" s="18">
        <f t="shared" si="300"/>
        <v>545.63945830030946</v>
      </c>
      <c r="V128">
        <v>6</v>
      </c>
      <c r="W128">
        <f t="shared" si="301"/>
        <v>423.4</v>
      </c>
      <c r="X128">
        <f t="shared" si="258"/>
        <v>344.43617279990252</v>
      </c>
      <c r="Y128">
        <f t="shared" si="259"/>
        <v>298.4802928221589</v>
      </c>
      <c r="AA128">
        <v>6</v>
      </c>
      <c r="AB128">
        <f t="shared" si="302"/>
        <v>211.7</v>
      </c>
      <c r="AC128">
        <f t="shared" si="303"/>
        <v>172.21808639995126</v>
      </c>
      <c r="AD128">
        <f t="shared" si="260"/>
        <v>136.40986457507736</v>
      </c>
      <c r="AF128">
        <v>6</v>
      </c>
      <c r="AG128">
        <f t="shared" si="304"/>
        <v>846.8</v>
      </c>
      <c r="AH128">
        <f t="shared" si="305"/>
        <v>688.87234559980504</v>
      </c>
      <c r="AI128" s="18">
        <f t="shared" si="306"/>
        <v>545.63945830030946</v>
      </c>
      <c r="AJ128">
        <v>6</v>
      </c>
      <c r="AK128">
        <f t="shared" si="307"/>
        <v>423.4</v>
      </c>
      <c r="AL128">
        <f t="shared" si="261"/>
        <v>344.43617279990252</v>
      </c>
      <c r="AM128">
        <f t="shared" si="262"/>
        <v>298.4802928221589</v>
      </c>
      <c r="AO128">
        <v>6</v>
      </c>
      <c r="AP128">
        <f t="shared" si="308"/>
        <v>211.7</v>
      </c>
      <c r="AQ128">
        <f t="shared" si="309"/>
        <v>172.21808639995126</v>
      </c>
      <c r="AR128">
        <f t="shared" si="263"/>
        <v>136.40986457507736</v>
      </c>
      <c r="AT128">
        <v>6</v>
      </c>
      <c r="AU128">
        <f t="shared" si="310"/>
        <v>846.8</v>
      </c>
      <c r="AV128">
        <f t="shared" si="311"/>
        <v>688.87234559980504</v>
      </c>
      <c r="AW128" s="18">
        <f t="shared" si="312"/>
        <v>545.63945830030946</v>
      </c>
      <c r="AX128">
        <v>6</v>
      </c>
      <c r="AY128">
        <f t="shared" si="313"/>
        <v>423.4</v>
      </c>
      <c r="AZ128">
        <f t="shared" si="216"/>
        <v>344.43617279990252</v>
      </c>
      <c r="BA128">
        <f t="shared" si="264"/>
        <v>298.4802928221589</v>
      </c>
      <c r="BC128">
        <v>6</v>
      </c>
      <c r="BD128">
        <f t="shared" si="314"/>
        <v>211.7</v>
      </c>
      <c r="BE128">
        <f t="shared" si="265"/>
        <v>172.21808639995126</v>
      </c>
      <c r="BF128">
        <f t="shared" si="217"/>
        <v>136.40986457507736</v>
      </c>
      <c r="BH128">
        <v>6</v>
      </c>
      <c r="BI128">
        <f t="shared" si="315"/>
        <v>846.8</v>
      </c>
      <c r="BJ128">
        <f t="shared" si="266"/>
        <v>688.87234559980504</v>
      </c>
      <c r="BK128" s="18">
        <f t="shared" si="218"/>
        <v>545.63945830030946</v>
      </c>
      <c r="BL128">
        <v>6</v>
      </c>
      <c r="BM128">
        <f t="shared" si="316"/>
        <v>668.19999999999993</v>
      </c>
      <c r="BN128">
        <f t="shared" si="219"/>
        <v>543.58113052644035</v>
      </c>
      <c r="BO128">
        <f t="shared" si="267"/>
        <v>471.05463312179165</v>
      </c>
      <c r="BQ128">
        <v>6</v>
      </c>
      <c r="BR128">
        <f t="shared" si="317"/>
        <v>334.09999999999997</v>
      </c>
      <c r="BS128">
        <f t="shared" si="268"/>
        <v>271.79056526322017</v>
      </c>
      <c r="BT128">
        <f t="shared" si="220"/>
        <v>136.40986457507736</v>
      </c>
      <c r="BV128">
        <v>6</v>
      </c>
      <c r="BW128">
        <f t="shared" si="318"/>
        <v>1336.3999999999999</v>
      </c>
      <c r="BX128">
        <f t="shared" si="269"/>
        <v>1087.1622610528807</v>
      </c>
      <c r="BY128" s="18">
        <f t="shared" si="221"/>
        <v>545.63945830030946</v>
      </c>
      <c r="BZ128">
        <v>6</v>
      </c>
      <c r="CA128">
        <f t="shared" si="319"/>
        <v>974.19999999999993</v>
      </c>
      <c r="CB128">
        <f t="shared" si="222"/>
        <v>792.51232768461273</v>
      </c>
      <c r="CC128">
        <f t="shared" si="270"/>
        <v>686.77255849633264</v>
      </c>
      <c r="CE128">
        <v>6</v>
      </c>
      <c r="CF128">
        <f t="shared" si="320"/>
        <v>487.09999999999997</v>
      </c>
      <c r="CG128">
        <f t="shared" si="271"/>
        <v>396.25616384230636</v>
      </c>
      <c r="CH128">
        <f t="shared" si="223"/>
        <v>136.40986457507736</v>
      </c>
      <c r="CJ128">
        <v>6</v>
      </c>
      <c r="CK128">
        <f t="shared" si="321"/>
        <v>1948.3999999999999</v>
      </c>
      <c r="CL128">
        <f t="shared" si="272"/>
        <v>1585.0246553692255</v>
      </c>
      <c r="CM128" s="18">
        <f t="shared" si="224"/>
        <v>545.63945830030946</v>
      </c>
      <c r="CN128">
        <v>6</v>
      </c>
      <c r="CO128">
        <f t="shared" si="322"/>
        <v>1280.1999999999998</v>
      </c>
      <c r="CP128">
        <f t="shared" si="225"/>
        <v>1041.4435248427849</v>
      </c>
      <c r="CQ128">
        <f t="shared" si="273"/>
        <v>902.4904838708735</v>
      </c>
      <c r="CS128">
        <v>6</v>
      </c>
      <c r="CT128">
        <f t="shared" si="323"/>
        <v>640.09999999999991</v>
      </c>
      <c r="CU128">
        <f t="shared" si="274"/>
        <v>520.72176242139244</v>
      </c>
      <c r="CV128">
        <f t="shared" si="226"/>
        <v>136.40986457507736</v>
      </c>
      <c r="CX128">
        <v>6</v>
      </c>
      <c r="CY128">
        <f t="shared" si="324"/>
        <v>2560.3999999999996</v>
      </c>
      <c r="CZ128">
        <f t="shared" si="275"/>
        <v>2082.8870496855698</v>
      </c>
      <c r="DA128" s="18">
        <f t="shared" si="227"/>
        <v>545.63945830030946</v>
      </c>
      <c r="DB128">
        <v>6</v>
      </c>
      <c r="DC128">
        <f t="shared" si="325"/>
        <v>1892.1999999999998</v>
      </c>
      <c r="DD128">
        <f t="shared" si="228"/>
        <v>1539.3059191591296</v>
      </c>
      <c r="DE128">
        <f t="shared" si="276"/>
        <v>272.81972915015473</v>
      </c>
      <c r="DG128">
        <v>6</v>
      </c>
      <c r="DH128">
        <f t="shared" si="326"/>
        <v>946.09999999999991</v>
      </c>
      <c r="DI128">
        <f t="shared" si="277"/>
        <v>769.65295957956482</v>
      </c>
      <c r="DJ128">
        <f t="shared" si="229"/>
        <v>136.40986457507736</v>
      </c>
      <c r="DL128">
        <v>6</v>
      </c>
      <c r="DM128">
        <f t="shared" si="327"/>
        <v>3784.3999999999996</v>
      </c>
      <c r="DN128">
        <f t="shared" si="278"/>
        <v>3078.6118383182593</v>
      </c>
      <c r="DO128" s="18">
        <f t="shared" si="230"/>
        <v>545.63945830030946</v>
      </c>
      <c r="DP128">
        <v>6</v>
      </c>
      <c r="DQ128">
        <f t="shared" si="328"/>
        <v>2504.1999999999998</v>
      </c>
      <c r="DR128">
        <f t="shared" si="231"/>
        <v>2037.1683134754744</v>
      </c>
      <c r="DS128">
        <f t="shared" si="279"/>
        <v>1765.3621853690372</v>
      </c>
      <c r="DU128">
        <v>6</v>
      </c>
      <c r="DV128">
        <f t="shared" si="329"/>
        <v>1252.0999999999999</v>
      </c>
      <c r="DW128">
        <f t="shared" si="280"/>
        <v>1018.5841567377372</v>
      </c>
      <c r="DX128">
        <f t="shared" si="232"/>
        <v>136.40986457507736</v>
      </c>
      <c r="DZ128">
        <v>6</v>
      </c>
      <c r="EA128">
        <f t="shared" si="330"/>
        <v>5008.3999999999996</v>
      </c>
      <c r="EB128">
        <f t="shared" si="281"/>
        <v>4074.3366269509488</v>
      </c>
      <c r="EC128" s="18">
        <f t="shared" si="233"/>
        <v>545.63945830030946</v>
      </c>
      <c r="ED128">
        <v>6</v>
      </c>
      <c r="EE128">
        <f t="shared" si="331"/>
        <v>3728.2</v>
      </c>
      <c r="EF128">
        <f t="shared" si="234"/>
        <v>3032.8931021081639</v>
      </c>
      <c r="EG128">
        <f t="shared" si="282"/>
        <v>2628.2338868672009</v>
      </c>
      <c r="EI128">
        <v>6</v>
      </c>
      <c r="EJ128">
        <f t="shared" si="332"/>
        <v>1864.1</v>
      </c>
      <c r="EK128">
        <f t="shared" si="283"/>
        <v>1516.446551054082</v>
      </c>
      <c r="EL128">
        <f t="shared" si="235"/>
        <v>136.40986457507736</v>
      </c>
      <c r="EN128">
        <v>6</v>
      </c>
      <c r="EO128">
        <f t="shared" si="333"/>
        <v>7456.4</v>
      </c>
      <c r="EP128">
        <f t="shared" si="284"/>
        <v>6065.7862042163279</v>
      </c>
      <c r="EQ128" s="18">
        <f t="shared" si="236"/>
        <v>545.63945830030946</v>
      </c>
      <c r="ER128">
        <v>6</v>
      </c>
      <c r="ES128">
        <f t="shared" si="334"/>
        <v>4952.1999999999989</v>
      </c>
      <c r="ET128">
        <f t="shared" si="237"/>
        <v>4028.6178907408525</v>
      </c>
      <c r="EU128">
        <f t="shared" si="285"/>
        <v>3491.1055883653639</v>
      </c>
      <c r="EW128">
        <v>6</v>
      </c>
      <c r="EX128">
        <f t="shared" si="335"/>
        <v>2476.0999999999995</v>
      </c>
      <c r="EY128">
        <f t="shared" si="286"/>
        <v>2014.3089453704263</v>
      </c>
      <c r="EZ128">
        <f t="shared" si="238"/>
        <v>136.40986457507736</v>
      </c>
      <c r="FB128">
        <v>6</v>
      </c>
      <c r="FC128">
        <f t="shared" si="336"/>
        <v>9904.3999999999978</v>
      </c>
      <c r="FD128">
        <f t="shared" si="287"/>
        <v>8057.2357814817051</v>
      </c>
      <c r="FE128" s="18">
        <f t="shared" si="239"/>
        <v>545.63945830030946</v>
      </c>
      <c r="FF128">
        <v>6</v>
      </c>
      <c r="FG128">
        <f t="shared" si="337"/>
        <v>6176.1999999999989</v>
      </c>
      <c r="FH128">
        <f t="shared" si="240"/>
        <v>5024.3426793735416</v>
      </c>
      <c r="FI128">
        <f t="shared" si="241"/>
        <v>272.81972915015473</v>
      </c>
      <c r="FK128">
        <v>6</v>
      </c>
      <c r="FL128">
        <f t="shared" si="338"/>
        <v>3088.0999999999995</v>
      </c>
      <c r="FM128">
        <f t="shared" si="288"/>
        <v>2512.1713396867708</v>
      </c>
      <c r="FN128">
        <f t="shared" si="242"/>
        <v>136.40986457507736</v>
      </c>
      <c r="FP128">
        <v>6</v>
      </c>
      <c r="FQ128">
        <f t="shared" si="339"/>
        <v>12352.399999999998</v>
      </c>
      <c r="FR128">
        <f t="shared" si="289"/>
        <v>10048.685358747083</v>
      </c>
      <c r="FS128" s="18">
        <f t="shared" si="243"/>
        <v>545.63945830030946</v>
      </c>
      <c r="FT128">
        <v>6</v>
      </c>
      <c r="FU128">
        <f t="shared" si="340"/>
        <v>7400.1999999999989</v>
      </c>
      <c r="FV128">
        <f t="shared" si="244"/>
        <v>6020.0674680062311</v>
      </c>
      <c r="FW128">
        <f t="shared" si="245"/>
        <v>272.81972915015473</v>
      </c>
      <c r="FY128">
        <v>6</v>
      </c>
      <c r="FZ128">
        <f t="shared" si="341"/>
        <v>3700.0999999999995</v>
      </c>
      <c r="GA128">
        <f t="shared" si="290"/>
        <v>3010.0337340031156</v>
      </c>
      <c r="GB128">
        <f t="shared" si="246"/>
        <v>136.40986457507736</v>
      </c>
      <c r="GD128">
        <v>6</v>
      </c>
      <c r="GE128">
        <f t="shared" si="342"/>
        <v>14800.399999999998</v>
      </c>
      <c r="GF128">
        <f t="shared" si="291"/>
        <v>12040.134936012462</v>
      </c>
      <c r="GG128" s="18">
        <f t="shared" si="247"/>
        <v>545.63945830030946</v>
      </c>
      <c r="GH128">
        <v>6</v>
      </c>
      <c r="GI128">
        <f t="shared" si="343"/>
        <v>9848.1999999999989</v>
      </c>
      <c r="GJ128">
        <f t="shared" si="248"/>
        <v>8011.5170452716102</v>
      </c>
      <c r="GK128">
        <f t="shared" si="249"/>
        <v>272.81972915015473</v>
      </c>
      <c r="GM128">
        <v>6</v>
      </c>
      <c r="GN128">
        <f t="shared" si="344"/>
        <v>4924.0999999999995</v>
      </c>
      <c r="GO128">
        <f t="shared" si="292"/>
        <v>4005.7585226358051</v>
      </c>
      <c r="GP128">
        <f t="shared" si="250"/>
        <v>136.40986457507736</v>
      </c>
      <c r="GR128">
        <v>6</v>
      </c>
      <c r="GS128">
        <f t="shared" si="345"/>
        <v>19696.399999999998</v>
      </c>
      <c r="GT128">
        <f t="shared" si="293"/>
        <v>16023.03409054322</v>
      </c>
      <c r="GU128" s="18">
        <f t="shared" si="251"/>
        <v>545.63945830030946</v>
      </c>
      <c r="GV128">
        <v>6</v>
      </c>
      <c r="GW128">
        <f t="shared" si="346"/>
        <v>12296.199999999999</v>
      </c>
      <c r="GX128">
        <f t="shared" si="252"/>
        <v>10002.966622536989</v>
      </c>
      <c r="GY128">
        <f t="shared" si="294"/>
        <v>8668.3357973543461</v>
      </c>
      <c r="HA128">
        <v>6</v>
      </c>
      <c r="HB128">
        <f t="shared" si="347"/>
        <v>6148.0999999999995</v>
      </c>
      <c r="HC128">
        <f t="shared" si="295"/>
        <v>5001.4833112684946</v>
      </c>
      <c r="HD128">
        <f t="shared" si="253"/>
        <v>136.40986457507736</v>
      </c>
      <c r="HF128">
        <v>6</v>
      </c>
      <c r="HG128">
        <f t="shared" si="348"/>
        <v>24592.399999999998</v>
      </c>
      <c r="HH128">
        <f t="shared" si="296"/>
        <v>20005.933245073978</v>
      </c>
      <c r="HI128" s="18">
        <f t="shared" si="254"/>
        <v>545.63945830030946</v>
      </c>
    </row>
    <row r="129" spans="8:217" x14ac:dyDescent="0.25">
      <c r="H129">
        <v>7</v>
      </c>
      <c r="I129">
        <f t="shared" si="297"/>
        <v>387</v>
      </c>
      <c r="J129">
        <f t="shared" si="255"/>
        <v>304.178501784638</v>
      </c>
      <c r="K129">
        <f t="shared" si="256"/>
        <v>257.37710297184407</v>
      </c>
      <c r="M129">
        <v>7</v>
      </c>
      <c r="N129">
        <v>193.5</v>
      </c>
      <c r="O129">
        <f t="shared" si="298"/>
        <v>152.089250892319</v>
      </c>
      <c r="P129">
        <f t="shared" si="257"/>
        <v>128.68855148592203</v>
      </c>
      <c r="R129">
        <v>7</v>
      </c>
      <c r="S129">
        <v>774</v>
      </c>
      <c r="T129">
        <f t="shared" si="299"/>
        <v>608.357003569276</v>
      </c>
      <c r="U129" s="18">
        <f t="shared" si="300"/>
        <v>514.75420594368813</v>
      </c>
      <c r="V129">
        <v>7</v>
      </c>
      <c r="W129">
        <f t="shared" si="301"/>
        <v>423.4</v>
      </c>
      <c r="X129">
        <f t="shared" si="258"/>
        <v>332.78857275352902</v>
      </c>
      <c r="Y129">
        <f t="shared" si="259"/>
        <v>281.58518190769706</v>
      </c>
      <c r="AA129">
        <v>7</v>
      </c>
      <c r="AB129">
        <f t="shared" si="302"/>
        <v>211.7</v>
      </c>
      <c r="AC129">
        <f t="shared" si="303"/>
        <v>166.39428637676451</v>
      </c>
      <c r="AD129">
        <f t="shared" si="260"/>
        <v>128.68855148592203</v>
      </c>
      <c r="AF129">
        <v>7</v>
      </c>
      <c r="AG129">
        <f t="shared" si="304"/>
        <v>846.8</v>
      </c>
      <c r="AH129">
        <f t="shared" si="305"/>
        <v>665.57714550705805</v>
      </c>
      <c r="AI129" s="18">
        <f t="shared" si="306"/>
        <v>514.75420594368813</v>
      </c>
      <c r="AJ129">
        <v>7</v>
      </c>
      <c r="AK129">
        <f t="shared" si="307"/>
        <v>423.4</v>
      </c>
      <c r="AL129">
        <f t="shared" si="261"/>
        <v>332.78857275352902</v>
      </c>
      <c r="AM129">
        <f t="shared" si="262"/>
        <v>281.58518190769706</v>
      </c>
      <c r="AO129">
        <v>7</v>
      </c>
      <c r="AP129">
        <f t="shared" si="308"/>
        <v>211.7</v>
      </c>
      <c r="AQ129">
        <f t="shared" si="309"/>
        <v>166.39428637676451</v>
      </c>
      <c r="AR129">
        <f t="shared" si="263"/>
        <v>128.68855148592203</v>
      </c>
      <c r="AT129">
        <v>7</v>
      </c>
      <c r="AU129">
        <f t="shared" si="310"/>
        <v>846.8</v>
      </c>
      <c r="AV129">
        <f t="shared" si="311"/>
        <v>665.57714550705805</v>
      </c>
      <c r="AW129" s="18">
        <f t="shared" si="312"/>
        <v>514.75420594368813</v>
      </c>
      <c r="AX129">
        <v>7</v>
      </c>
      <c r="AY129">
        <f t="shared" si="313"/>
        <v>423.4</v>
      </c>
      <c r="AZ129">
        <f t="shared" si="216"/>
        <v>332.78857275352902</v>
      </c>
      <c r="BA129">
        <f t="shared" si="264"/>
        <v>281.58518190769706</v>
      </c>
      <c r="BC129">
        <v>7</v>
      </c>
      <c r="BD129">
        <f t="shared" si="314"/>
        <v>211.7</v>
      </c>
      <c r="BE129">
        <f t="shared" si="265"/>
        <v>166.39428637676451</v>
      </c>
      <c r="BF129">
        <f t="shared" si="217"/>
        <v>128.68855148592203</v>
      </c>
      <c r="BH129">
        <v>7</v>
      </c>
      <c r="BI129">
        <f t="shared" si="315"/>
        <v>846.8</v>
      </c>
      <c r="BJ129">
        <f t="shared" si="266"/>
        <v>665.57714550705805</v>
      </c>
      <c r="BK129" s="18">
        <f t="shared" si="218"/>
        <v>514.75420594368813</v>
      </c>
      <c r="BL129">
        <v>7</v>
      </c>
      <c r="BM129">
        <f t="shared" si="316"/>
        <v>668.19999999999993</v>
      </c>
      <c r="BN129">
        <f t="shared" si="219"/>
        <v>525.19915992892788</v>
      </c>
      <c r="BO129">
        <f t="shared" si="267"/>
        <v>444.39116332244487</v>
      </c>
      <c r="BQ129">
        <v>7</v>
      </c>
      <c r="BR129">
        <f t="shared" si="317"/>
        <v>334.09999999999997</v>
      </c>
      <c r="BS129">
        <f t="shared" si="268"/>
        <v>262.59957996446394</v>
      </c>
      <c r="BT129">
        <f t="shared" si="220"/>
        <v>128.68855148592203</v>
      </c>
      <c r="BV129">
        <v>7</v>
      </c>
      <c r="BW129">
        <f t="shared" si="318"/>
        <v>1336.3999999999999</v>
      </c>
      <c r="BX129">
        <f t="shared" si="269"/>
        <v>1050.3983198578558</v>
      </c>
      <c r="BY129" s="18">
        <f t="shared" si="221"/>
        <v>514.75420594368813</v>
      </c>
      <c r="BZ129">
        <v>7</v>
      </c>
      <c r="CA129">
        <f t="shared" si="319"/>
        <v>974.19999999999993</v>
      </c>
      <c r="CB129">
        <f t="shared" si="222"/>
        <v>765.71239389817663</v>
      </c>
      <c r="CC129">
        <f t="shared" si="270"/>
        <v>647.89864009087967</v>
      </c>
      <c r="CE129">
        <v>7</v>
      </c>
      <c r="CF129">
        <f t="shared" si="320"/>
        <v>487.09999999999997</v>
      </c>
      <c r="CG129">
        <f t="shared" si="271"/>
        <v>382.85619694908831</v>
      </c>
      <c r="CH129">
        <f t="shared" si="223"/>
        <v>128.68855148592203</v>
      </c>
      <c r="CJ129">
        <v>7</v>
      </c>
      <c r="CK129">
        <f t="shared" si="321"/>
        <v>1948.3999999999999</v>
      </c>
      <c r="CL129">
        <f t="shared" si="272"/>
        <v>1531.4247877963533</v>
      </c>
      <c r="CM129" s="18">
        <f t="shared" si="224"/>
        <v>514.75420594368813</v>
      </c>
      <c r="CN129">
        <v>7</v>
      </c>
      <c r="CO129">
        <f t="shared" si="322"/>
        <v>1280.1999999999998</v>
      </c>
      <c r="CP129">
        <f t="shared" si="225"/>
        <v>1006.2256278674251</v>
      </c>
      <c r="CQ129">
        <f t="shared" si="273"/>
        <v>851.40611685931447</v>
      </c>
      <c r="CS129">
        <v>7</v>
      </c>
      <c r="CT129">
        <f t="shared" si="323"/>
        <v>640.09999999999991</v>
      </c>
      <c r="CU129">
        <f t="shared" si="274"/>
        <v>503.11281393371257</v>
      </c>
      <c r="CV129">
        <f t="shared" si="226"/>
        <v>128.68855148592203</v>
      </c>
      <c r="CX129">
        <v>7</v>
      </c>
      <c r="CY129">
        <f t="shared" si="324"/>
        <v>2560.3999999999996</v>
      </c>
      <c r="CZ129">
        <f t="shared" si="275"/>
        <v>2012.4512557348503</v>
      </c>
      <c r="DA129" s="18">
        <f t="shared" si="227"/>
        <v>514.75420594368813</v>
      </c>
      <c r="DB129">
        <v>7</v>
      </c>
      <c r="DC129">
        <f t="shared" si="325"/>
        <v>1892.1999999999998</v>
      </c>
      <c r="DD129">
        <f t="shared" si="228"/>
        <v>1487.2520958059224</v>
      </c>
      <c r="DE129">
        <f t="shared" si="276"/>
        <v>257.37710297184407</v>
      </c>
      <c r="DG129">
        <v>7</v>
      </c>
      <c r="DH129">
        <f t="shared" si="326"/>
        <v>946.09999999999991</v>
      </c>
      <c r="DI129">
        <f t="shared" si="277"/>
        <v>743.6260479029612</v>
      </c>
      <c r="DJ129">
        <f t="shared" si="229"/>
        <v>128.68855148592203</v>
      </c>
      <c r="DL129">
        <v>7</v>
      </c>
      <c r="DM129">
        <f t="shared" si="327"/>
        <v>3784.3999999999996</v>
      </c>
      <c r="DN129">
        <f t="shared" si="278"/>
        <v>2974.5041916118448</v>
      </c>
      <c r="DO129" s="18">
        <f t="shared" si="230"/>
        <v>514.75420594368813</v>
      </c>
      <c r="DP129">
        <v>7</v>
      </c>
      <c r="DQ129">
        <f t="shared" si="328"/>
        <v>2504.1999999999998</v>
      </c>
      <c r="DR129">
        <f t="shared" si="231"/>
        <v>1968.2785637444199</v>
      </c>
      <c r="DS129">
        <f t="shared" si="279"/>
        <v>1665.4360239330538</v>
      </c>
      <c r="DU129">
        <v>7</v>
      </c>
      <c r="DV129">
        <f t="shared" si="329"/>
        <v>1252.0999999999999</v>
      </c>
      <c r="DW129">
        <f t="shared" si="280"/>
        <v>984.13928187220995</v>
      </c>
      <c r="DX129">
        <f t="shared" si="232"/>
        <v>128.68855148592203</v>
      </c>
      <c r="DZ129">
        <v>7</v>
      </c>
      <c r="EA129">
        <f t="shared" si="330"/>
        <v>5008.3999999999996</v>
      </c>
      <c r="EB129">
        <f t="shared" si="281"/>
        <v>3936.5571274888398</v>
      </c>
      <c r="EC129" s="18">
        <f t="shared" si="233"/>
        <v>514.75420594368813</v>
      </c>
      <c r="ED129">
        <v>7</v>
      </c>
      <c r="EE129">
        <f t="shared" si="331"/>
        <v>3728.2</v>
      </c>
      <c r="EF129">
        <f t="shared" si="234"/>
        <v>2930.3314996214144</v>
      </c>
      <c r="EG129">
        <f t="shared" si="282"/>
        <v>2479.4659310067932</v>
      </c>
      <c r="EI129">
        <v>7</v>
      </c>
      <c r="EJ129">
        <f t="shared" si="332"/>
        <v>1864.1</v>
      </c>
      <c r="EK129">
        <f t="shared" si="283"/>
        <v>1465.1657498107072</v>
      </c>
      <c r="EL129">
        <f t="shared" si="235"/>
        <v>128.68855148592203</v>
      </c>
      <c r="EN129">
        <v>7</v>
      </c>
      <c r="EO129">
        <f t="shared" si="333"/>
        <v>7456.4</v>
      </c>
      <c r="EP129">
        <f t="shared" si="284"/>
        <v>5860.6629992428288</v>
      </c>
      <c r="EQ129" s="18">
        <f t="shared" si="236"/>
        <v>514.75420594368813</v>
      </c>
      <c r="ER129">
        <v>7</v>
      </c>
      <c r="ES129">
        <f t="shared" si="334"/>
        <v>4952.1999999999989</v>
      </c>
      <c r="ET129">
        <f t="shared" si="237"/>
        <v>3892.3844354984085</v>
      </c>
      <c r="EU129">
        <f t="shared" si="285"/>
        <v>3293.4958380805319</v>
      </c>
      <c r="EW129">
        <v>7</v>
      </c>
      <c r="EX129">
        <f t="shared" si="335"/>
        <v>2476.0999999999995</v>
      </c>
      <c r="EY129">
        <f t="shared" si="286"/>
        <v>1946.1922177492042</v>
      </c>
      <c r="EZ129">
        <f t="shared" si="238"/>
        <v>128.68855148592203</v>
      </c>
      <c r="FB129">
        <v>7</v>
      </c>
      <c r="FC129">
        <f t="shared" si="336"/>
        <v>9904.3999999999978</v>
      </c>
      <c r="FD129">
        <f t="shared" si="287"/>
        <v>7784.768870996817</v>
      </c>
      <c r="FE129" s="18">
        <f t="shared" si="239"/>
        <v>514.75420594368813</v>
      </c>
      <c r="FF129">
        <v>7</v>
      </c>
      <c r="FG129">
        <f t="shared" si="337"/>
        <v>6176.1999999999989</v>
      </c>
      <c r="FH129">
        <f t="shared" si="240"/>
        <v>4854.437371375403</v>
      </c>
      <c r="FI129">
        <f t="shared" si="241"/>
        <v>257.37710297184407</v>
      </c>
      <c r="FK129">
        <v>7</v>
      </c>
      <c r="FL129">
        <f t="shared" si="338"/>
        <v>3088.0999999999995</v>
      </c>
      <c r="FM129">
        <f t="shared" si="288"/>
        <v>2427.2186856877015</v>
      </c>
      <c r="FN129">
        <f t="shared" si="242"/>
        <v>128.68855148592203</v>
      </c>
      <c r="FP129">
        <v>7</v>
      </c>
      <c r="FQ129">
        <f t="shared" si="339"/>
        <v>12352.399999999998</v>
      </c>
      <c r="FR129">
        <f t="shared" si="289"/>
        <v>9708.874742750806</v>
      </c>
      <c r="FS129" s="18">
        <f t="shared" si="243"/>
        <v>514.75420594368813</v>
      </c>
      <c r="FT129">
        <v>7</v>
      </c>
      <c r="FU129">
        <f t="shared" si="340"/>
        <v>7400.1999999999989</v>
      </c>
      <c r="FV129">
        <f t="shared" si="244"/>
        <v>5816.4903072523975</v>
      </c>
      <c r="FW129">
        <f t="shared" si="245"/>
        <v>257.37710297184407</v>
      </c>
      <c r="FY129">
        <v>7</v>
      </c>
      <c r="FZ129">
        <f t="shared" si="341"/>
        <v>3700.0999999999995</v>
      </c>
      <c r="GA129">
        <f t="shared" si="290"/>
        <v>2908.2451536261988</v>
      </c>
      <c r="GB129">
        <f t="shared" si="246"/>
        <v>128.68855148592203</v>
      </c>
      <c r="GD129">
        <v>7</v>
      </c>
      <c r="GE129">
        <f t="shared" si="342"/>
        <v>14800.399999999998</v>
      </c>
      <c r="GF129">
        <f t="shared" si="291"/>
        <v>11632.980614504795</v>
      </c>
      <c r="GG129" s="18">
        <f t="shared" si="247"/>
        <v>514.75420594368813</v>
      </c>
      <c r="GH129">
        <v>7</v>
      </c>
      <c r="GI129">
        <f t="shared" si="343"/>
        <v>9848.1999999999989</v>
      </c>
      <c r="GJ129">
        <f t="shared" si="248"/>
        <v>7740.5961790063875</v>
      </c>
      <c r="GK129">
        <f t="shared" si="249"/>
        <v>257.37710297184407</v>
      </c>
      <c r="GM129">
        <v>7</v>
      </c>
      <c r="GN129">
        <f t="shared" si="344"/>
        <v>4924.0999999999995</v>
      </c>
      <c r="GO129">
        <f t="shared" si="292"/>
        <v>3870.2980895031938</v>
      </c>
      <c r="GP129">
        <f t="shared" si="250"/>
        <v>128.68855148592203</v>
      </c>
      <c r="GR129">
        <v>7</v>
      </c>
      <c r="GS129">
        <f t="shared" si="345"/>
        <v>19696.399999999998</v>
      </c>
      <c r="GT129">
        <f t="shared" si="293"/>
        <v>15481.192358012775</v>
      </c>
      <c r="GU129" s="18">
        <f t="shared" si="251"/>
        <v>514.75420594368813</v>
      </c>
      <c r="GV129">
        <v>7</v>
      </c>
      <c r="GW129">
        <f t="shared" si="346"/>
        <v>12296.199999999999</v>
      </c>
      <c r="GX129">
        <f t="shared" si="252"/>
        <v>9664.7020507603756</v>
      </c>
      <c r="GY129">
        <f t="shared" si="294"/>
        <v>8177.6752805229671</v>
      </c>
      <c r="HA129">
        <v>7</v>
      </c>
      <c r="HB129">
        <f t="shared" si="347"/>
        <v>6148.0999999999995</v>
      </c>
      <c r="HC129">
        <f t="shared" si="295"/>
        <v>4832.3510253801878</v>
      </c>
      <c r="HD129">
        <f t="shared" si="253"/>
        <v>128.68855148592203</v>
      </c>
      <c r="HF129">
        <v>7</v>
      </c>
      <c r="HG129">
        <f t="shared" si="348"/>
        <v>24592.399999999998</v>
      </c>
      <c r="HH129">
        <f t="shared" si="296"/>
        <v>19329.404101520751</v>
      </c>
      <c r="HI129" s="18">
        <f t="shared" si="254"/>
        <v>514.75420594368813</v>
      </c>
    </row>
    <row r="130" spans="8:217" x14ac:dyDescent="0.25">
      <c r="H130">
        <v>8</v>
      </c>
      <c r="I130">
        <f t="shared" si="297"/>
        <v>387</v>
      </c>
      <c r="J130">
        <f t="shared" si="255"/>
        <v>293.89227225568897</v>
      </c>
      <c r="K130">
        <f t="shared" si="256"/>
        <v>242.80858770928685</v>
      </c>
      <c r="M130">
        <v>8</v>
      </c>
      <c r="N130">
        <v>193.5</v>
      </c>
      <c r="O130">
        <f t="shared" si="298"/>
        <v>146.94613612784448</v>
      </c>
      <c r="P130">
        <f t="shared" si="257"/>
        <v>121.40429385464343</v>
      </c>
      <c r="R130">
        <v>8</v>
      </c>
      <c r="S130">
        <v>774</v>
      </c>
      <c r="T130">
        <f t="shared" si="299"/>
        <v>587.78454451137793</v>
      </c>
      <c r="U130" s="18">
        <f t="shared" si="300"/>
        <v>485.61717541857371</v>
      </c>
      <c r="V130">
        <v>8</v>
      </c>
      <c r="W130">
        <f t="shared" si="301"/>
        <v>423.4</v>
      </c>
      <c r="X130">
        <f t="shared" si="258"/>
        <v>321.53485290196045</v>
      </c>
      <c r="Y130">
        <f t="shared" si="259"/>
        <v>265.6463980261293</v>
      </c>
      <c r="AA130">
        <v>8</v>
      </c>
      <c r="AB130">
        <f t="shared" si="302"/>
        <v>211.7</v>
      </c>
      <c r="AC130">
        <f t="shared" si="303"/>
        <v>160.76742645098022</v>
      </c>
      <c r="AD130">
        <f t="shared" si="260"/>
        <v>121.40429385464343</v>
      </c>
      <c r="AF130">
        <v>8</v>
      </c>
      <c r="AG130">
        <f t="shared" si="304"/>
        <v>846.8</v>
      </c>
      <c r="AH130">
        <f t="shared" si="305"/>
        <v>643.0697058039209</v>
      </c>
      <c r="AI130" s="18">
        <f t="shared" si="306"/>
        <v>485.61717541857371</v>
      </c>
      <c r="AJ130">
        <v>8</v>
      </c>
      <c r="AK130">
        <f t="shared" si="307"/>
        <v>423.4</v>
      </c>
      <c r="AL130">
        <f t="shared" si="261"/>
        <v>321.53485290196045</v>
      </c>
      <c r="AM130">
        <f t="shared" si="262"/>
        <v>265.6463980261293</v>
      </c>
      <c r="AO130">
        <v>8</v>
      </c>
      <c r="AP130">
        <f t="shared" si="308"/>
        <v>211.7</v>
      </c>
      <c r="AQ130">
        <f t="shared" si="309"/>
        <v>160.76742645098022</v>
      </c>
      <c r="AR130">
        <f t="shared" si="263"/>
        <v>121.40429385464343</v>
      </c>
      <c r="AT130">
        <v>8</v>
      </c>
      <c r="AU130">
        <f t="shared" si="310"/>
        <v>846.8</v>
      </c>
      <c r="AV130">
        <f t="shared" si="311"/>
        <v>643.0697058039209</v>
      </c>
      <c r="AW130" s="18">
        <f t="shared" si="312"/>
        <v>485.61717541857371</v>
      </c>
      <c r="AX130">
        <v>8</v>
      </c>
      <c r="AY130">
        <f t="shared" si="313"/>
        <v>423.4</v>
      </c>
      <c r="AZ130">
        <f t="shared" si="216"/>
        <v>321.53485290196045</v>
      </c>
      <c r="BA130">
        <f t="shared" si="264"/>
        <v>265.6463980261293</v>
      </c>
      <c r="BC130">
        <v>8</v>
      </c>
      <c r="BD130">
        <f t="shared" si="314"/>
        <v>211.7</v>
      </c>
      <c r="BE130">
        <f t="shared" si="265"/>
        <v>160.76742645098022</v>
      </c>
      <c r="BF130">
        <f t="shared" si="217"/>
        <v>121.40429385464343</v>
      </c>
      <c r="BH130">
        <v>8</v>
      </c>
      <c r="BI130">
        <f t="shared" si="315"/>
        <v>846.8</v>
      </c>
      <c r="BJ130">
        <f t="shared" si="266"/>
        <v>643.0697058039209</v>
      </c>
      <c r="BK130" s="18">
        <f t="shared" si="218"/>
        <v>485.61717541857371</v>
      </c>
      <c r="BL130">
        <v>8</v>
      </c>
      <c r="BM130">
        <f t="shared" si="316"/>
        <v>668.19999999999993</v>
      </c>
      <c r="BN130">
        <f t="shared" si="219"/>
        <v>507.43880186369859</v>
      </c>
      <c r="BO130">
        <f t="shared" si="267"/>
        <v>419.23694653060841</v>
      </c>
      <c r="BQ130">
        <v>8</v>
      </c>
      <c r="BR130">
        <f t="shared" si="317"/>
        <v>334.09999999999997</v>
      </c>
      <c r="BS130">
        <f t="shared" si="268"/>
        <v>253.71940093184929</v>
      </c>
      <c r="BT130">
        <f t="shared" si="220"/>
        <v>121.40429385464343</v>
      </c>
      <c r="BV130">
        <v>8</v>
      </c>
      <c r="BW130">
        <f t="shared" si="318"/>
        <v>1336.3999999999999</v>
      </c>
      <c r="BX130">
        <f t="shared" si="269"/>
        <v>1014.8776037273972</v>
      </c>
      <c r="BY130" s="18">
        <f t="shared" si="221"/>
        <v>485.61717541857371</v>
      </c>
      <c r="BZ130">
        <v>8</v>
      </c>
      <c r="CA130">
        <f t="shared" si="319"/>
        <v>974.19999999999993</v>
      </c>
      <c r="CB130">
        <f t="shared" si="222"/>
        <v>739.81873806587123</v>
      </c>
      <c r="CC130">
        <f t="shared" si="270"/>
        <v>611.22513216120728</v>
      </c>
      <c r="CE130">
        <v>8</v>
      </c>
      <c r="CF130">
        <f t="shared" si="320"/>
        <v>487.09999999999997</v>
      </c>
      <c r="CG130">
        <f t="shared" si="271"/>
        <v>369.90936903293561</v>
      </c>
      <c r="CH130">
        <f t="shared" si="223"/>
        <v>121.40429385464343</v>
      </c>
      <c r="CJ130">
        <v>8</v>
      </c>
      <c r="CK130">
        <f t="shared" si="321"/>
        <v>1948.3999999999999</v>
      </c>
      <c r="CL130">
        <f t="shared" si="272"/>
        <v>1479.6374761317425</v>
      </c>
      <c r="CM130" s="18">
        <f t="shared" si="224"/>
        <v>485.61717541857371</v>
      </c>
      <c r="CN130">
        <v>8</v>
      </c>
      <c r="CO130">
        <f t="shared" si="322"/>
        <v>1280.1999999999998</v>
      </c>
      <c r="CP130">
        <f t="shared" si="225"/>
        <v>972.19867426804387</v>
      </c>
      <c r="CQ130">
        <f t="shared" si="273"/>
        <v>803.21331779180616</v>
      </c>
      <c r="CS130">
        <v>8</v>
      </c>
      <c r="CT130">
        <f t="shared" si="323"/>
        <v>640.09999999999991</v>
      </c>
      <c r="CU130">
        <f t="shared" si="274"/>
        <v>486.09933713402194</v>
      </c>
      <c r="CV130">
        <f t="shared" si="226"/>
        <v>121.40429385464343</v>
      </c>
      <c r="CX130">
        <v>8</v>
      </c>
      <c r="CY130">
        <f t="shared" si="324"/>
        <v>2560.3999999999996</v>
      </c>
      <c r="CZ130">
        <f t="shared" si="275"/>
        <v>1944.3973485360877</v>
      </c>
      <c r="DA130" s="18">
        <f t="shared" si="227"/>
        <v>485.61717541857371</v>
      </c>
      <c r="DB130">
        <v>8</v>
      </c>
      <c r="DC130">
        <f t="shared" si="325"/>
        <v>1892.1999999999998</v>
      </c>
      <c r="DD130">
        <f t="shared" si="228"/>
        <v>1436.9585466723893</v>
      </c>
      <c r="DE130">
        <f t="shared" si="276"/>
        <v>242.80858770928685</v>
      </c>
      <c r="DG130">
        <v>8</v>
      </c>
      <c r="DH130">
        <f t="shared" si="326"/>
        <v>946.09999999999991</v>
      </c>
      <c r="DI130">
        <f t="shared" si="277"/>
        <v>718.47927333619464</v>
      </c>
      <c r="DJ130">
        <f t="shared" si="229"/>
        <v>121.40429385464343</v>
      </c>
      <c r="DL130">
        <v>8</v>
      </c>
      <c r="DM130">
        <f t="shared" si="327"/>
        <v>3784.3999999999996</v>
      </c>
      <c r="DN130">
        <f t="shared" si="278"/>
        <v>2873.9170933447786</v>
      </c>
      <c r="DO130" s="18">
        <f t="shared" si="230"/>
        <v>485.61717541857371</v>
      </c>
      <c r="DP130">
        <v>8</v>
      </c>
      <c r="DQ130">
        <f t="shared" si="328"/>
        <v>2504.1999999999998</v>
      </c>
      <c r="DR130">
        <f t="shared" si="231"/>
        <v>1901.7184190767346</v>
      </c>
      <c r="DS130">
        <f t="shared" si="279"/>
        <v>1571.1660603142018</v>
      </c>
      <c r="DU130">
        <v>8</v>
      </c>
      <c r="DV130">
        <f t="shared" si="329"/>
        <v>1252.0999999999999</v>
      </c>
      <c r="DW130">
        <f t="shared" si="280"/>
        <v>950.85920953836728</v>
      </c>
      <c r="DX130">
        <f t="shared" si="232"/>
        <v>121.40429385464343</v>
      </c>
      <c r="DZ130">
        <v>8</v>
      </c>
      <c r="EA130">
        <f t="shared" si="330"/>
        <v>5008.3999999999996</v>
      </c>
      <c r="EB130">
        <f t="shared" si="281"/>
        <v>3803.4368381534691</v>
      </c>
      <c r="EC130" s="18">
        <f t="shared" si="233"/>
        <v>485.61717541857371</v>
      </c>
      <c r="ED130">
        <v>8</v>
      </c>
      <c r="EE130">
        <f t="shared" si="331"/>
        <v>3728.2</v>
      </c>
      <c r="EF130">
        <f t="shared" si="234"/>
        <v>2831.2381638854254</v>
      </c>
      <c r="EG130">
        <f t="shared" si="282"/>
        <v>2339.1188028365973</v>
      </c>
      <c r="EI130">
        <v>8</v>
      </c>
      <c r="EJ130">
        <f t="shared" si="332"/>
        <v>1864.1</v>
      </c>
      <c r="EK130">
        <f t="shared" si="283"/>
        <v>1415.6190819427127</v>
      </c>
      <c r="EL130">
        <f t="shared" si="235"/>
        <v>121.40429385464343</v>
      </c>
      <c r="EN130">
        <v>8</v>
      </c>
      <c r="EO130">
        <f t="shared" si="333"/>
        <v>7456.4</v>
      </c>
      <c r="EP130">
        <f t="shared" si="284"/>
        <v>5662.4763277708507</v>
      </c>
      <c r="EQ130" s="18">
        <f t="shared" si="236"/>
        <v>485.61717541857371</v>
      </c>
      <c r="ER130">
        <v>8</v>
      </c>
      <c r="ES130">
        <f t="shared" si="334"/>
        <v>4952.1999999999989</v>
      </c>
      <c r="ET130">
        <f t="shared" si="237"/>
        <v>3760.757908694115</v>
      </c>
      <c r="EU130">
        <f t="shared" si="285"/>
        <v>3107.0715453589924</v>
      </c>
      <c r="EW130">
        <v>8</v>
      </c>
      <c r="EX130">
        <f t="shared" si="335"/>
        <v>2476.0999999999995</v>
      </c>
      <c r="EY130">
        <f t="shared" si="286"/>
        <v>1880.3789543470575</v>
      </c>
      <c r="EZ130">
        <f t="shared" si="238"/>
        <v>121.40429385464343</v>
      </c>
      <c r="FB130">
        <v>8</v>
      </c>
      <c r="FC130">
        <f t="shared" si="336"/>
        <v>9904.3999999999978</v>
      </c>
      <c r="FD130">
        <f t="shared" si="287"/>
        <v>7521.5158173882301</v>
      </c>
      <c r="FE130" s="18">
        <f t="shared" si="239"/>
        <v>485.61717541857371</v>
      </c>
      <c r="FF130">
        <v>8</v>
      </c>
      <c r="FG130">
        <f t="shared" si="337"/>
        <v>6176.1999999999989</v>
      </c>
      <c r="FH130">
        <f t="shared" si="240"/>
        <v>4690.2776535028061</v>
      </c>
      <c r="FI130">
        <f t="shared" si="241"/>
        <v>242.80858770928685</v>
      </c>
      <c r="FK130">
        <v>8</v>
      </c>
      <c r="FL130">
        <f t="shared" si="338"/>
        <v>3088.0999999999995</v>
      </c>
      <c r="FM130">
        <f t="shared" si="288"/>
        <v>2345.138826751403</v>
      </c>
      <c r="FN130">
        <f t="shared" si="242"/>
        <v>121.40429385464343</v>
      </c>
      <c r="FP130">
        <v>8</v>
      </c>
      <c r="FQ130">
        <f t="shared" si="339"/>
        <v>12352.399999999998</v>
      </c>
      <c r="FR130">
        <f t="shared" si="289"/>
        <v>9380.5553070056121</v>
      </c>
      <c r="FS130" s="18">
        <f t="shared" si="243"/>
        <v>485.61717541857371</v>
      </c>
      <c r="FT130">
        <v>8</v>
      </c>
      <c r="FU130">
        <f t="shared" si="340"/>
        <v>7400.1999999999989</v>
      </c>
      <c r="FV130">
        <f t="shared" si="244"/>
        <v>5619.7973983114962</v>
      </c>
      <c r="FW130">
        <f t="shared" si="245"/>
        <v>242.80858770928685</v>
      </c>
      <c r="FY130">
        <v>8</v>
      </c>
      <c r="FZ130">
        <f t="shared" si="341"/>
        <v>3700.0999999999995</v>
      </c>
      <c r="GA130">
        <f t="shared" si="290"/>
        <v>2809.8986991557481</v>
      </c>
      <c r="GB130">
        <f t="shared" si="246"/>
        <v>121.40429385464343</v>
      </c>
      <c r="GD130">
        <v>8</v>
      </c>
      <c r="GE130">
        <f t="shared" si="342"/>
        <v>14800.399999999998</v>
      </c>
      <c r="GF130">
        <f t="shared" si="291"/>
        <v>11239.594796622992</v>
      </c>
      <c r="GG130" s="18">
        <f t="shared" si="247"/>
        <v>485.61717541857371</v>
      </c>
      <c r="GH130">
        <v>8</v>
      </c>
      <c r="GI130">
        <f t="shared" si="343"/>
        <v>9848.1999999999989</v>
      </c>
      <c r="GJ130">
        <f t="shared" si="248"/>
        <v>7478.8368879288782</v>
      </c>
      <c r="GK130">
        <f t="shared" si="249"/>
        <v>242.80858770928685</v>
      </c>
      <c r="GM130">
        <v>8</v>
      </c>
      <c r="GN130">
        <f t="shared" si="344"/>
        <v>4924.0999999999995</v>
      </c>
      <c r="GO130">
        <f t="shared" si="292"/>
        <v>3739.4184439644391</v>
      </c>
      <c r="GP130">
        <f t="shared" si="250"/>
        <v>121.40429385464343</v>
      </c>
      <c r="GR130">
        <v>8</v>
      </c>
      <c r="GS130">
        <f t="shared" si="345"/>
        <v>19696.399999999998</v>
      </c>
      <c r="GT130">
        <f t="shared" si="293"/>
        <v>14957.673775857756</v>
      </c>
      <c r="GU130" s="18">
        <f t="shared" si="251"/>
        <v>485.61717541857371</v>
      </c>
      <c r="GV130">
        <v>8</v>
      </c>
      <c r="GW130">
        <f t="shared" si="346"/>
        <v>12296.199999999999</v>
      </c>
      <c r="GX130">
        <f t="shared" si="252"/>
        <v>9337.8763775462594</v>
      </c>
      <c r="GY130">
        <f t="shared" si="294"/>
        <v>7714.7880004933659</v>
      </c>
      <c r="HA130">
        <v>8</v>
      </c>
      <c r="HB130">
        <f t="shared" si="347"/>
        <v>6148.0999999999995</v>
      </c>
      <c r="HC130">
        <f t="shared" si="295"/>
        <v>4668.9381887731297</v>
      </c>
      <c r="HD130">
        <f t="shared" si="253"/>
        <v>121.40429385464343</v>
      </c>
      <c r="HF130">
        <v>8</v>
      </c>
      <c r="HG130">
        <f t="shared" si="348"/>
        <v>24592.399999999998</v>
      </c>
      <c r="HH130">
        <f t="shared" si="296"/>
        <v>18675.752755092519</v>
      </c>
      <c r="HI130" s="18">
        <f t="shared" si="254"/>
        <v>485.61717541857371</v>
      </c>
    </row>
    <row r="131" spans="8:217" x14ac:dyDescent="0.25">
      <c r="H131">
        <v>9</v>
      </c>
      <c r="I131">
        <f t="shared" si="297"/>
        <v>387</v>
      </c>
      <c r="J131">
        <f t="shared" si="255"/>
        <v>283.95388623738069</v>
      </c>
      <c r="K131">
        <f t="shared" si="256"/>
        <v>229.06470538611967</v>
      </c>
      <c r="M131">
        <v>9</v>
      </c>
      <c r="N131">
        <v>193.5</v>
      </c>
      <c r="O131">
        <f t="shared" si="298"/>
        <v>141.97694311869034</v>
      </c>
      <c r="P131">
        <f t="shared" si="257"/>
        <v>114.53235269305983</v>
      </c>
      <c r="R131">
        <v>9</v>
      </c>
      <c r="S131">
        <v>774</v>
      </c>
      <c r="T131">
        <f t="shared" si="299"/>
        <v>567.90777247476137</v>
      </c>
      <c r="U131" s="18">
        <f t="shared" si="300"/>
        <v>458.12941077223934</v>
      </c>
      <c r="V131">
        <v>9</v>
      </c>
      <c r="W131">
        <f t="shared" si="301"/>
        <v>423.4</v>
      </c>
      <c r="X131">
        <f t="shared" si="258"/>
        <v>310.66169362508265</v>
      </c>
      <c r="Y131">
        <f t="shared" si="259"/>
        <v>250.60980945861257</v>
      </c>
      <c r="AA131">
        <v>9</v>
      </c>
      <c r="AB131">
        <f t="shared" si="302"/>
        <v>211.7</v>
      </c>
      <c r="AC131">
        <f t="shared" si="303"/>
        <v>155.33084681254132</v>
      </c>
      <c r="AD131">
        <f t="shared" si="260"/>
        <v>114.53235269305983</v>
      </c>
      <c r="AF131">
        <v>9</v>
      </c>
      <c r="AG131">
        <f t="shared" si="304"/>
        <v>846.8</v>
      </c>
      <c r="AH131">
        <f t="shared" si="305"/>
        <v>621.3233872501653</v>
      </c>
      <c r="AI131" s="18">
        <f t="shared" si="306"/>
        <v>458.12941077223934</v>
      </c>
      <c r="AJ131">
        <v>9</v>
      </c>
      <c r="AK131">
        <f t="shared" si="307"/>
        <v>423.4</v>
      </c>
      <c r="AL131">
        <f t="shared" si="261"/>
        <v>310.66169362508265</v>
      </c>
      <c r="AM131">
        <f t="shared" si="262"/>
        <v>250.60980945861257</v>
      </c>
      <c r="AO131">
        <v>9</v>
      </c>
      <c r="AP131">
        <f t="shared" si="308"/>
        <v>211.7</v>
      </c>
      <c r="AQ131">
        <f t="shared" si="309"/>
        <v>155.33084681254132</v>
      </c>
      <c r="AR131">
        <f t="shared" si="263"/>
        <v>114.53235269305983</v>
      </c>
      <c r="AT131">
        <v>9</v>
      </c>
      <c r="AU131">
        <f t="shared" si="310"/>
        <v>846.8</v>
      </c>
      <c r="AV131">
        <f t="shared" si="311"/>
        <v>621.3233872501653</v>
      </c>
      <c r="AW131" s="18">
        <f t="shared" si="312"/>
        <v>458.12941077223934</v>
      </c>
      <c r="AX131">
        <v>9</v>
      </c>
      <c r="AY131">
        <f t="shared" si="313"/>
        <v>423.4</v>
      </c>
      <c r="AZ131">
        <f t="shared" si="216"/>
        <v>310.66169362508265</v>
      </c>
      <c r="BA131">
        <f t="shared" si="264"/>
        <v>250.60980945861257</v>
      </c>
      <c r="BC131">
        <v>9</v>
      </c>
      <c r="BD131">
        <f t="shared" si="314"/>
        <v>211.7</v>
      </c>
      <c r="BE131">
        <f t="shared" si="265"/>
        <v>155.33084681254132</v>
      </c>
      <c r="BF131">
        <f t="shared" si="217"/>
        <v>114.53235269305983</v>
      </c>
      <c r="BH131">
        <v>9</v>
      </c>
      <c r="BI131">
        <f t="shared" si="315"/>
        <v>846.8</v>
      </c>
      <c r="BJ131">
        <f t="shared" si="266"/>
        <v>621.3233872501653</v>
      </c>
      <c r="BK131" s="18">
        <f t="shared" si="218"/>
        <v>458.12941077223934</v>
      </c>
      <c r="BL131">
        <v>9</v>
      </c>
      <c r="BM131">
        <f t="shared" si="316"/>
        <v>668.19999999999993</v>
      </c>
      <c r="BN131">
        <f t="shared" si="219"/>
        <v>490.27903561710013</v>
      </c>
      <c r="BO131">
        <f t="shared" si="267"/>
        <v>395.50655333076264</v>
      </c>
      <c r="BQ131">
        <v>9</v>
      </c>
      <c r="BR131">
        <f t="shared" si="317"/>
        <v>334.09999999999997</v>
      </c>
      <c r="BS131">
        <f t="shared" si="268"/>
        <v>245.13951780855007</v>
      </c>
      <c r="BT131">
        <f t="shared" si="220"/>
        <v>114.53235269305983</v>
      </c>
      <c r="BV131">
        <v>9</v>
      </c>
      <c r="BW131">
        <f t="shared" si="318"/>
        <v>1336.3999999999999</v>
      </c>
      <c r="BX131">
        <f t="shared" si="269"/>
        <v>980.55807123420027</v>
      </c>
      <c r="BY131" s="18">
        <f t="shared" si="221"/>
        <v>458.12941077223934</v>
      </c>
      <c r="BZ131">
        <v>9</v>
      </c>
      <c r="CA131">
        <f t="shared" si="319"/>
        <v>974.19999999999993</v>
      </c>
      <c r="CB131">
        <f t="shared" si="222"/>
        <v>714.80071310712208</v>
      </c>
      <c r="CC131">
        <f t="shared" si="270"/>
        <v>576.62748317095031</v>
      </c>
      <c r="CE131">
        <v>9</v>
      </c>
      <c r="CF131">
        <f t="shared" si="320"/>
        <v>487.09999999999997</v>
      </c>
      <c r="CG131">
        <f t="shared" si="271"/>
        <v>357.40035655356104</v>
      </c>
      <c r="CH131">
        <f t="shared" si="223"/>
        <v>114.53235269305983</v>
      </c>
      <c r="CJ131">
        <v>9</v>
      </c>
      <c r="CK131">
        <f t="shared" si="321"/>
        <v>1948.3999999999999</v>
      </c>
      <c r="CL131">
        <f t="shared" si="272"/>
        <v>1429.6014262142442</v>
      </c>
      <c r="CM131" s="18">
        <f t="shared" si="224"/>
        <v>458.12941077223934</v>
      </c>
      <c r="CN131">
        <v>9</v>
      </c>
      <c r="CO131">
        <f t="shared" si="322"/>
        <v>1280.1999999999998</v>
      </c>
      <c r="CP131">
        <f t="shared" si="225"/>
        <v>939.32239059714391</v>
      </c>
      <c r="CQ131">
        <f t="shared" si="273"/>
        <v>757.74841301113793</v>
      </c>
      <c r="CS131">
        <v>9</v>
      </c>
      <c r="CT131">
        <f t="shared" si="323"/>
        <v>640.09999999999991</v>
      </c>
      <c r="CU131">
        <f t="shared" si="274"/>
        <v>469.66119529857195</v>
      </c>
      <c r="CV131">
        <f t="shared" si="226"/>
        <v>114.53235269305983</v>
      </c>
      <c r="CX131">
        <v>9</v>
      </c>
      <c r="CY131">
        <f t="shared" si="324"/>
        <v>2560.3999999999996</v>
      </c>
      <c r="CZ131">
        <f t="shared" si="275"/>
        <v>1878.6447811942878</v>
      </c>
      <c r="DA131" s="18">
        <f t="shared" si="227"/>
        <v>458.12941077223934</v>
      </c>
      <c r="DB131">
        <v>9</v>
      </c>
      <c r="DC131">
        <f t="shared" si="325"/>
        <v>1892.1999999999998</v>
      </c>
      <c r="DD131">
        <f t="shared" si="228"/>
        <v>1388.3657455771879</v>
      </c>
      <c r="DE131">
        <f t="shared" si="276"/>
        <v>229.06470538611967</v>
      </c>
      <c r="DG131">
        <v>9</v>
      </c>
      <c r="DH131">
        <f t="shared" si="326"/>
        <v>946.09999999999991</v>
      </c>
      <c r="DI131">
        <f t="shared" si="277"/>
        <v>694.18287278859395</v>
      </c>
      <c r="DJ131">
        <f t="shared" si="229"/>
        <v>114.53235269305983</v>
      </c>
      <c r="DL131">
        <v>9</v>
      </c>
      <c r="DM131">
        <f t="shared" si="327"/>
        <v>3784.3999999999996</v>
      </c>
      <c r="DN131">
        <f t="shared" si="278"/>
        <v>2776.7314911543758</v>
      </c>
      <c r="DO131" s="18">
        <f t="shared" si="230"/>
        <v>458.12941077223934</v>
      </c>
      <c r="DP131">
        <v>9</v>
      </c>
      <c r="DQ131">
        <f t="shared" si="328"/>
        <v>2504.1999999999998</v>
      </c>
      <c r="DR131">
        <f t="shared" si="231"/>
        <v>1837.4091005572316</v>
      </c>
      <c r="DS131">
        <f t="shared" si="279"/>
        <v>1482.2321323718886</v>
      </c>
      <c r="DU131">
        <v>9</v>
      </c>
      <c r="DV131">
        <f t="shared" si="329"/>
        <v>1252.0999999999999</v>
      </c>
      <c r="DW131">
        <f t="shared" si="280"/>
        <v>918.70455027861578</v>
      </c>
      <c r="DX131">
        <f t="shared" si="232"/>
        <v>114.53235269305983</v>
      </c>
      <c r="DZ131">
        <v>9</v>
      </c>
      <c r="EA131">
        <f t="shared" si="330"/>
        <v>5008.3999999999996</v>
      </c>
      <c r="EB131">
        <f t="shared" si="281"/>
        <v>3674.8182011144631</v>
      </c>
      <c r="EC131" s="18">
        <f t="shared" si="233"/>
        <v>458.12941077223934</v>
      </c>
      <c r="ED131">
        <v>9</v>
      </c>
      <c r="EE131">
        <f t="shared" si="331"/>
        <v>3728.2</v>
      </c>
      <c r="EF131">
        <f t="shared" si="234"/>
        <v>2735.4958105173196</v>
      </c>
      <c r="EG131">
        <f t="shared" si="282"/>
        <v>2206.7158517326393</v>
      </c>
      <c r="EI131">
        <v>9</v>
      </c>
      <c r="EJ131">
        <f t="shared" si="332"/>
        <v>1864.1</v>
      </c>
      <c r="EK131">
        <f t="shared" si="283"/>
        <v>1367.7479052586598</v>
      </c>
      <c r="EL131">
        <f t="shared" si="235"/>
        <v>114.53235269305983</v>
      </c>
      <c r="EN131">
        <v>9</v>
      </c>
      <c r="EO131">
        <f t="shared" si="333"/>
        <v>7456.4</v>
      </c>
      <c r="EP131">
        <f t="shared" si="284"/>
        <v>5470.9916210346391</v>
      </c>
      <c r="EQ131" s="18">
        <f t="shared" si="236"/>
        <v>458.12941077223934</v>
      </c>
      <c r="ER131">
        <v>9</v>
      </c>
      <c r="ES131">
        <f t="shared" si="334"/>
        <v>4952.1999999999989</v>
      </c>
      <c r="ET131">
        <f t="shared" si="237"/>
        <v>3633.5825204774064</v>
      </c>
      <c r="EU131">
        <f t="shared" si="285"/>
        <v>2931.1995710933893</v>
      </c>
      <c r="EW131">
        <v>9</v>
      </c>
      <c r="EX131">
        <f t="shared" si="335"/>
        <v>2476.0999999999995</v>
      </c>
      <c r="EY131">
        <f t="shared" si="286"/>
        <v>1816.7912602387032</v>
      </c>
      <c r="EZ131">
        <f t="shared" si="238"/>
        <v>114.53235269305983</v>
      </c>
      <c r="FB131">
        <v>9</v>
      </c>
      <c r="FC131">
        <f t="shared" si="336"/>
        <v>9904.3999999999978</v>
      </c>
      <c r="FD131">
        <f t="shared" si="287"/>
        <v>7267.1650409548129</v>
      </c>
      <c r="FE131" s="18">
        <f t="shared" si="239"/>
        <v>458.12941077223934</v>
      </c>
      <c r="FF131">
        <v>9</v>
      </c>
      <c r="FG131">
        <f t="shared" si="337"/>
        <v>6176.1999999999989</v>
      </c>
      <c r="FH131">
        <f t="shared" si="240"/>
        <v>4531.6692304374947</v>
      </c>
      <c r="FI131">
        <f t="shared" si="241"/>
        <v>229.06470538611967</v>
      </c>
      <c r="FK131">
        <v>9</v>
      </c>
      <c r="FL131">
        <f t="shared" si="338"/>
        <v>3088.0999999999995</v>
      </c>
      <c r="FM131">
        <f t="shared" si="288"/>
        <v>2265.8346152187473</v>
      </c>
      <c r="FN131">
        <f t="shared" si="242"/>
        <v>114.53235269305983</v>
      </c>
      <c r="FP131">
        <v>9</v>
      </c>
      <c r="FQ131">
        <f t="shared" si="339"/>
        <v>12352.399999999998</v>
      </c>
      <c r="FR131">
        <f t="shared" si="289"/>
        <v>9063.3384608749893</v>
      </c>
      <c r="FS131" s="18">
        <f t="shared" si="243"/>
        <v>458.12941077223934</v>
      </c>
      <c r="FT131">
        <v>9</v>
      </c>
      <c r="FU131">
        <f t="shared" si="340"/>
        <v>7400.1999999999989</v>
      </c>
      <c r="FV131">
        <f t="shared" si="244"/>
        <v>5429.755940397582</v>
      </c>
      <c r="FW131">
        <f t="shared" si="245"/>
        <v>229.06470538611967</v>
      </c>
      <c r="FY131">
        <v>9</v>
      </c>
      <c r="FZ131">
        <f t="shared" si="341"/>
        <v>3700.0999999999995</v>
      </c>
      <c r="GA131">
        <f t="shared" si="290"/>
        <v>2714.877970198791</v>
      </c>
      <c r="GB131">
        <f t="shared" si="246"/>
        <v>114.53235269305983</v>
      </c>
      <c r="GD131">
        <v>9</v>
      </c>
      <c r="GE131">
        <f t="shared" si="342"/>
        <v>14800.399999999998</v>
      </c>
      <c r="GF131">
        <f t="shared" si="291"/>
        <v>10859.511880795164</v>
      </c>
      <c r="GG131" s="18">
        <f t="shared" si="247"/>
        <v>458.12941077223934</v>
      </c>
      <c r="GH131">
        <v>9</v>
      </c>
      <c r="GI131">
        <f t="shared" si="343"/>
        <v>9848.1999999999989</v>
      </c>
      <c r="GJ131">
        <f t="shared" si="248"/>
        <v>7225.9293603177575</v>
      </c>
      <c r="GK131">
        <f t="shared" si="249"/>
        <v>229.06470538611967</v>
      </c>
      <c r="GM131">
        <v>9</v>
      </c>
      <c r="GN131">
        <f t="shared" si="344"/>
        <v>4924.0999999999995</v>
      </c>
      <c r="GO131">
        <f t="shared" si="292"/>
        <v>3612.9646801588788</v>
      </c>
      <c r="GP131">
        <f t="shared" si="250"/>
        <v>114.53235269305983</v>
      </c>
      <c r="GR131">
        <v>9</v>
      </c>
      <c r="GS131">
        <f t="shared" si="345"/>
        <v>19696.399999999998</v>
      </c>
      <c r="GT131">
        <f t="shared" si="293"/>
        <v>14451.858720635515</v>
      </c>
      <c r="GU131" s="18">
        <f t="shared" si="251"/>
        <v>458.12941077223934</v>
      </c>
      <c r="GV131">
        <v>9</v>
      </c>
      <c r="GW131">
        <f t="shared" si="346"/>
        <v>12296.199999999999</v>
      </c>
      <c r="GX131">
        <f t="shared" si="252"/>
        <v>9022.1027802379322</v>
      </c>
      <c r="GY131">
        <f t="shared" si="294"/>
        <v>7278.1018872578925</v>
      </c>
      <c r="HA131">
        <v>9</v>
      </c>
      <c r="HB131">
        <f t="shared" si="347"/>
        <v>6148.0999999999995</v>
      </c>
      <c r="HC131">
        <f t="shared" si="295"/>
        <v>4511.0513901189661</v>
      </c>
      <c r="HD131">
        <f t="shared" si="253"/>
        <v>114.53235269305983</v>
      </c>
      <c r="HF131">
        <v>9</v>
      </c>
      <c r="HG131">
        <f t="shared" si="348"/>
        <v>24592.399999999998</v>
      </c>
      <c r="HH131">
        <f t="shared" si="296"/>
        <v>18044.205560475864</v>
      </c>
      <c r="HI131" s="18">
        <f t="shared" si="254"/>
        <v>458.12941077223934</v>
      </c>
    </row>
    <row r="132" spans="8:217" x14ac:dyDescent="0.25">
      <c r="H132">
        <v>10</v>
      </c>
      <c r="I132">
        <f t="shared" si="297"/>
        <v>387</v>
      </c>
      <c r="J132">
        <f t="shared" si="255"/>
        <v>274.35158090568183</v>
      </c>
      <c r="K132">
        <f t="shared" si="256"/>
        <v>216.09877866615062</v>
      </c>
      <c r="M132">
        <v>10</v>
      </c>
      <c r="N132">
        <v>193.5</v>
      </c>
      <c r="O132">
        <f t="shared" si="298"/>
        <v>137.17579045284091</v>
      </c>
      <c r="P132">
        <f t="shared" si="257"/>
        <v>108.04938933307531</v>
      </c>
      <c r="R132">
        <v>10</v>
      </c>
      <c r="S132">
        <v>774</v>
      </c>
      <c r="T132">
        <f t="shared" si="299"/>
        <v>548.70316181136366</v>
      </c>
      <c r="U132" s="18">
        <f t="shared" si="300"/>
        <v>432.19755733230124</v>
      </c>
      <c r="V132">
        <v>10</v>
      </c>
      <c r="W132">
        <f t="shared" si="301"/>
        <v>423.4</v>
      </c>
      <c r="X132">
        <f t="shared" si="258"/>
        <v>300.1562257247175</v>
      </c>
      <c r="Y132">
        <f t="shared" si="259"/>
        <v>236.42434854586091</v>
      </c>
      <c r="AA132">
        <v>10</v>
      </c>
      <c r="AB132">
        <f t="shared" si="302"/>
        <v>211.7</v>
      </c>
      <c r="AC132">
        <f t="shared" si="303"/>
        <v>150.07811286235875</v>
      </c>
      <c r="AD132">
        <f t="shared" si="260"/>
        <v>108.04938933307531</v>
      </c>
      <c r="AF132">
        <v>10</v>
      </c>
      <c r="AG132">
        <f t="shared" si="304"/>
        <v>846.8</v>
      </c>
      <c r="AH132">
        <f t="shared" si="305"/>
        <v>600.312451449435</v>
      </c>
      <c r="AI132" s="18">
        <f t="shared" si="306"/>
        <v>432.19755733230124</v>
      </c>
      <c r="AJ132">
        <v>10</v>
      </c>
      <c r="AK132">
        <f t="shared" si="307"/>
        <v>423.4</v>
      </c>
      <c r="AL132">
        <f t="shared" si="261"/>
        <v>300.1562257247175</v>
      </c>
      <c r="AM132">
        <f t="shared" si="262"/>
        <v>236.42434854586091</v>
      </c>
      <c r="AO132">
        <v>10</v>
      </c>
      <c r="AP132">
        <f t="shared" si="308"/>
        <v>211.7</v>
      </c>
      <c r="AQ132">
        <f t="shared" si="309"/>
        <v>150.07811286235875</v>
      </c>
      <c r="AR132">
        <f t="shared" si="263"/>
        <v>108.04938933307531</v>
      </c>
      <c r="AT132">
        <v>10</v>
      </c>
      <c r="AU132">
        <f t="shared" si="310"/>
        <v>846.8</v>
      </c>
      <c r="AV132">
        <f t="shared" si="311"/>
        <v>600.312451449435</v>
      </c>
      <c r="AW132" s="18">
        <f t="shared" si="312"/>
        <v>432.19755733230124</v>
      </c>
      <c r="AX132">
        <v>10</v>
      </c>
      <c r="AY132">
        <f t="shared" si="313"/>
        <v>423.4</v>
      </c>
      <c r="AZ132">
        <f t="shared" si="216"/>
        <v>300.1562257247175</v>
      </c>
      <c r="BA132">
        <f t="shared" si="264"/>
        <v>236.42434854586091</v>
      </c>
      <c r="BC132">
        <v>10</v>
      </c>
      <c r="BD132">
        <f t="shared" si="314"/>
        <v>211.7</v>
      </c>
      <c r="BE132">
        <f t="shared" si="265"/>
        <v>150.07811286235875</v>
      </c>
      <c r="BF132">
        <f t="shared" si="217"/>
        <v>108.04938933307531</v>
      </c>
      <c r="BH132">
        <v>10</v>
      </c>
      <c r="BI132">
        <f t="shared" si="315"/>
        <v>846.8</v>
      </c>
      <c r="BJ132">
        <f t="shared" si="266"/>
        <v>600.312451449435</v>
      </c>
      <c r="BK132" s="18">
        <f t="shared" si="218"/>
        <v>432.19755733230124</v>
      </c>
      <c r="BL132">
        <v>10</v>
      </c>
      <c r="BM132">
        <f t="shared" si="316"/>
        <v>668.19999999999993</v>
      </c>
      <c r="BN132">
        <f t="shared" si="219"/>
        <v>473.69955132086972</v>
      </c>
      <c r="BO132">
        <f t="shared" si="267"/>
        <v>373.11938993468175</v>
      </c>
      <c r="BQ132">
        <v>10</v>
      </c>
      <c r="BR132">
        <f t="shared" si="317"/>
        <v>334.09999999999997</v>
      </c>
      <c r="BS132">
        <f t="shared" si="268"/>
        <v>236.84977566043486</v>
      </c>
      <c r="BT132">
        <f t="shared" si="220"/>
        <v>108.04938933307531</v>
      </c>
      <c r="BV132">
        <v>10</v>
      </c>
      <c r="BW132">
        <f t="shared" si="318"/>
        <v>1336.3999999999999</v>
      </c>
      <c r="BX132">
        <f t="shared" si="269"/>
        <v>947.39910264173943</v>
      </c>
      <c r="BY132" s="18">
        <f t="shared" si="221"/>
        <v>432.19755733230124</v>
      </c>
      <c r="BZ132">
        <v>10</v>
      </c>
      <c r="CA132">
        <f t="shared" si="319"/>
        <v>974.19999999999993</v>
      </c>
      <c r="CB132">
        <f t="shared" si="222"/>
        <v>690.62870831606006</v>
      </c>
      <c r="CC132">
        <f t="shared" si="270"/>
        <v>543.98819167070781</v>
      </c>
      <c r="CE132">
        <v>10</v>
      </c>
      <c r="CF132">
        <f t="shared" si="320"/>
        <v>487.09999999999997</v>
      </c>
      <c r="CG132">
        <f t="shared" si="271"/>
        <v>345.31435415803003</v>
      </c>
      <c r="CH132">
        <f t="shared" si="223"/>
        <v>108.04938933307531</v>
      </c>
      <c r="CJ132">
        <v>10</v>
      </c>
      <c r="CK132">
        <f t="shared" si="321"/>
        <v>1948.3999999999999</v>
      </c>
      <c r="CL132">
        <f t="shared" si="272"/>
        <v>1381.2574166321201</v>
      </c>
      <c r="CM132" s="18">
        <f t="shared" si="224"/>
        <v>432.19755733230124</v>
      </c>
      <c r="CN132">
        <v>10</v>
      </c>
      <c r="CO132">
        <f t="shared" si="322"/>
        <v>1280.1999999999998</v>
      </c>
      <c r="CP132">
        <f t="shared" si="225"/>
        <v>907.55786531125023</v>
      </c>
      <c r="CQ132">
        <f t="shared" si="273"/>
        <v>714.85699340673375</v>
      </c>
      <c r="CS132">
        <v>10</v>
      </c>
      <c r="CT132">
        <f t="shared" si="323"/>
        <v>640.09999999999991</v>
      </c>
      <c r="CU132">
        <f t="shared" si="274"/>
        <v>453.77893265562511</v>
      </c>
      <c r="CV132">
        <f t="shared" si="226"/>
        <v>108.04938933307531</v>
      </c>
      <c r="CX132">
        <v>10</v>
      </c>
      <c r="CY132">
        <f t="shared" si="324"/>
        <v>2560.3999999999996</v>
      </c>
      <c r="CZ132">
        <f t="shared" si="275"/>
        <v>1815.1157306225005</v>
      </c>
      <c r="DA132" s="18">
        <f t="shared" si="227"/>
        <v>432.19755733230124</v>
      </c>
      <c r="DB132">
        <v>10</v>
      </c>
      <c r="DC132">
        <f t="shared" si="325"/>
        <v>1892.1999999999998</v>
      </c>
      <c r="DD132">
        <f t="shared" si="228"/>
        <v>1341.4161793016308</v>
      </c>
      <c r="DE132">
        <f t="shared" si="276"/>
        <v>216.09877866615062</v>
      </c>
      <c r="DG132">
        <v>10</v>
      </c>
      <c r="DH132">
        <f t="shared" si="326"/>
        <v>946.09999999999991</v>
      </c>
      <c r="DI132">
        <f t="shared" si="277"/>
        <v>670.7080896508154</v>
      </c>
      <c r="DJ132">
        <f t="shared" si="229"/>
        <v>108.04938933307531</v>
      </c>
      <c r="DL132">
        <v>10</v>
      </c>
      <c r="DM132">
        <f t="shared" si="327"/>
        <v>3784.3999999999996</v>
      </c>
      <c r="DN132">
        <f t="shared" si="278"/>
        <v>2682.8323586032616</v>
      </c>
      <c r="DO132" s="18">
        <f t="shared" si="230"/>
        <v>432.19755733230124</v>
      </c>
      <c r="DP132">
        <v>10</v>
      </c>
      <c r="DQ132">
        <f t="shared" si="328"/>
        <v>2504.1999999999998</v>
      </c>
      <c r="DR132">
        <f t="shared" si="231"/>
        <v>1775.2744932920114</v>
      </c>
      <c r="DS132">
        <f t="shared" si="279"/>
        <v>1398.3322003508381</v>
      </c>
      <c r="DU132">
        <v>10</v>
      </c>
      <c r="DV132">
        <f t="shared" si="329"/>
        <v>1252.0999999999999</v>
      </c>
      <c r="DW132">
        <f t="shared" si="280"/>
        <v>887.63724664600568</v>
      </c>
      <c r="DX132">
        <f t="shared" si="232"/>
        <v>108.04938933307531</v>
      </c>
      <c r="DZ132">
        <v>10</v>
      </c>
      <c r="EA132">
        <f t="shared" si="330"/>
        <v>5008.3999999999996</v>
      </c>
      <c r="EB132">
        <f t="shared" si="281"/>
        <v>3550.5489865840227</v>
      </c>
      <c r="EC132" s="18">
        <f t="shared" si="233"/>
        <v>432.19755733230124</v>
      </c>
      <c r="ED132">
        <v>10</v>
      </c>
      <c r="EE132">
        <f t="shared" si="331"/>
        <v>3728.2</v>
      </c>
      <c r="EF132">
        <f t="shared" si="234"/>
        <v>2642.9911212727725</v>
      </c>
      <c r="EG132">
        <f t="shared" si="282"/>
        <v>2081.8074072949425</v>
      </c>
      <c r="EI132">
        <v>10</v>
      </c>
      <c r="EJ132">
        <f t="shared" si="332"/>
        <v>1864.1</v>
      </c>
      <c r="EK132">
        <f t="shared" si="283"/>
        <v>1321.4955606363862</v>
      </c>
      <c r="EL132">
        <f t="shared" si="235"/>
        <v>108.04938933307531</v>
      </c>
      <c r="EN132">
        <v>10</v>
      </c>
      <c r="EO132">
        <f t="shared" si="333"/>
        <v>7456.4</v>
      </c>
      <c r="EP132">
        <f t="shared" si="284"/>
        <v>5285.982242545545</v>
      </c>
      <c r="EQ132" s="18">
        <f t="shared" si="236"/>
        <v>432.19755733230124</v>
      </c>
      <c r="ER132">
        <v>10</v>
      </c>
      <c r="ES132">
        <f t="shared" si="334"/>
        <v>4952.1999999999989</v>
      </c>
      <c r="ET132">
        <f t="shared" si="237"/>
        <v>3510.7077492535332</v>
      </c>
      <c r="EU132">
        <f t="shared" si="285"/>
        <v>2765.2826142390463</v>
      </c>
      <c r="EW132">
        <v>10</v>
      </c>
      <c r="EX132">
        <f t="shared" si="335"/>
        <v>2476.0999999999995</v>
      </c>
      <c r="EY132">
        <f t="shared" si="286"/>
        <v>1755.3538746267666</v>
      </c>
      <c r="EZ132">
        <f t="shared" si="238"/>
        <v>108.04938933307531</v>
      </c>
      <c r="FB132">
        <v>10</v>
      </c>
      <c r="FC132">
        <f t="shared" si="336"/>
        <v>9904.3999999999978</v>
      </c>
      <c r="FD132">
        <f t="shared" si="287"/>
        <v>7021.4154985070663</v>
      </c>
      <c r="FE132" s="18">
        <f t="shared" si="239"/>
        <v>432.19755733230124</v>
      </c>
      <c r="FF132">
        <v>10</v>
      </c>
      <c r="FG132">
        <f t="shared" si="337"/>
        <v>6176.1999999999989</v>
      </c>
      <c r="FH132">
        <f t="shared" si="240"/>
        <v>4378.4243772342943</v>
      </c>
      <c r="FI132">
        <f t="shared" si="241"/>
        <v>216.09877866615062</v>
      </c>
      <c r="FK132">
        <v>10</v>
      </c>
      <c r="FL132">
        <f t="shared" si="338"/>
        <v>3088.0999999999995</v>
      </c>
      <c r="FM132">
        <f t="shared" si="288"/>
        <v>2189.2121886171471</v>
      </c>
      <c r="FN132">
        <f t="shared" si="242"/>
        <v>108.04938933307531</v>
      </c>
      <c r="FP132">
        <v>10</v>
      </c>
      <c r="FQ132">
        <f t="shared" si="339"/>
        <v>12352.399999999998</v>
      </c>
      <c r="FR132">
        <f t="shared" si="289"/>
        <v>8756.8487544685886</v>
      </c>
      <c r="FS132" s="18">
        <f t="shared" si="243"/>
        <v>432.19755733230124</v>
      </c>
      <c r="FT132">
        <v>10</v>
      </c>
      <c r="FU132">
        <f t="shared" si="340"/>
        <v>7400.1999999999989</v>
      </c>
      <c r="FV132">
        <f t="shared" si="244"/>
        <v>5246.141005215055</v>
      </c>
      <c r="FW132">
        <f t="shared" si="245"/>
        <v>216.09877866615062</v>
      </c>
      <c r="FY132">
        <v>10</v>
      </c>
      <c r="FZ132">
        <f t="shared" si="341"/>
        <v>3700.0999999999995</v>
      </c>
      <c r="GA132">
        <f t="shared" si="290"/>
        <v>2623.0705026075275</v>
      </c>
      <c r="GB132">
        <f t="shared" si="246"/>
        <v>108.04938933307531</v>
      </c>
      <c r="GD132">
        <v>10</v>
      </c>
      <c r="GE132">
        <f t="shared" si="342"/>
        <v>14800.399999999998</v>
      </c>
      <c r="GF132">
        <f t="shared" si="291"/>
        <v>10492.28201043011</v>
      </c>
      <c r="GG132" s="18">
        <f t="shared" si="247"/>
        <v>432.19755733230124</v>
      </c>
      <c r="GH132">
        <v>10</v>
      </c>
      <c r="GI132">
        <f t="shared" si="343"/>
        <v>9848.1999999999989</v>
      </c>
      <c r="GJ132">
        <f t="shared" si="248"/>
        <v>6981.5742611765772</v>
      </c>
      <c r="GK132">
        <f t="shared" si="249"/>
        <v>216.09877866615062</v>
      </c>
      <c r="GM132">
        <v>10</v>
      </c>
      <c r="GN132">
        <f t="shared" si="344"/>
        <v>4924.0999999999995</v>
      </c>
      <c r="GO132">
        <f t="shared" si="292"/>
        <v>3490.7871305882886</v>
      </c>
      <c r="GP132">
        <f t="shared" si="250"/>
        <v>108.04938933307531</v>
      </c>
      <c r="GR132">
        <v>10</v>
      </c>
      <c r="GS132">
        <f t="shared" si="345"/>
        <v>19696.399999999998</v>
      </c>
      <c r="GT132">
        <f t="shared" si="293"/>
        <v>13963.148522353154</v>
      </c>
      <c r="GU132" s="18">
        <f t="shared" si="251"/>
        <v>432.19755733230124</v>
      </c>
      <c r="GV132">
        <v>10</v>
      </c>
      <c r="GW132">
        <f t="shared" si="346"/>
        <v>12296.199999999999</v>
      </c>
      <c r="GX132">
        <f t="shared" si="252"/>
        <v>8717.0075171380995</v>
      </c>
      <c r="GY132">
        <f t="shared" si="294"/>
        <v>6866.1338559036722</v>
      </c>
      <c r="HA132">
        <v>10</v>
      </c>
      <c r="HB132">
        <f t="shared" si="347"/>
        <v>6148.0999999999995</v>
      </c>
      <c r="HC132">
        <f t="shared" si="295"/>
        <v>4358.5037585690498</v>
      </c>
      <c r="HD132">
        <f t="shared" si="253"/>
        <v>108.04938933307531</v>
      </c>
      <c r="HF132">
        <v>10</v>
      </c>
      <c r="HG132">
        <f t="shared" si="348"/>
        <v>24592.399999999998</v>
      </c>
      <c r="HH132">
        <f t="shared" si="296"/>
        <v>17434.015034276199</v>
      </c>
      <c r="HI132" s="18">
        <f t="shared" si="254"/>
        <v>432.19755733230124</v>
      </c>
    </row>
    <row r="133" spans="8:217" x14ac:dyDescent="0.25">
      <c r="H133">
        <v>11</v>
      </c>
      <c r="I133">
        <f t="shared" si="297"/>
        <v>387</v>
      </c>
      <c r="J133">
        <f t="shared" si="255"/>
        <v>265.07399121321913</v>
      </c>
      <c r="K133">
        <f t="shared" si="256"/>
        <v>203.86677232655717</v>
      </c>
      <c r="M133">
        <v>11</v>
      </c>
      <c r="N133">
        <v>193.5</v>
      </c>
      <c r="O133">
        <f t="shared" si="298"/>
        <v>132.53699560660957</v>
      </c>
      <c r="P133">
        <f t="shared" si="257"/>
        <v>101.93338616327858</v>
      </c>
      <c r="R133">
        <v>11</v>
      </c>
      <c r="S133">
        <v>774</v>
      </c>
      <c r="T133">
        <f t="shared" si="299"/>
        <v>530.14798242643826</v>
      </c>
      <c r="U133" s="18">
        <f t="shared" si="300"/>
        <v>407.73354465311434</v>
      </c>
      <c r="V133">
        <v>11</v>
      </c>
      <c r="W133">
        <f t="shared" si="301"/>
        <v>423.4</v>
      </c>
      <c r="X133">
        <f t="shared" si="258"/>
        <v>290.00601519296379</v>
      </c>
      <c r="Y133">
        <f t="shared" si="259"/>
        <v>223.04183825081213</v>
      </c>
      <c r="AA133">
        <v>11</v>
      </c>
      <c r="AB133">
        <f t="shared" si="302"/>
        <v>211.7</v>
      </c>
      <c r="AC133">
        <f t="shared" si="303"/>
        <v>145.00300759648189</v>
      </c>
      <c r="AD133">
        <f t="shared" si="260"/>
        <v>101.93338616327858</v>
      </c>
      <c r="AF133">
        <v>11</v>
      </c>
      <c r="AG133">
        <f t="shared" si="304"/>
        <v>846.8</v>
      </c>
      <c r="AH133">
        <f t="shared" si="305"/>
        <v>580.01203038592757</v>
      </c>
      <c r="AI133" s="18">
        <f t="shared" si="306"/>
        <v>407.73354465311434</v>
      </c>
      <c r="AJ133">
        <v>11</v>
      </c>
      <c r="AK133">
        <f t="shared" si="307"/>
        <v>423.4</v>
      </c>
      <c r="AL133">
        <f t="shared" si="261"/>
        <v>290.00601519296379</v>
      </c>
      <c r="AM133">
        <f t="shared" si="262"/>
        <v>223.04183825081213</v>
      </c>
      <c r="AO133">
        <v>11</v>
      </c>
      <c r="AP133">
        <f t="shared" si="308"/>
        <v>211.7</v>
      </c>
      <c r="AQ133">
        <f t="shared" si="309"/>
        <v>145.00300759648189</v>
      </c>
      <c r="AR133">
        <f t="shared" si="263"/>
        <v>101.93338616327858</v>
      </c>
      <c r="AT133">
        <v>11</v>
      </c>
      <c r="AU133">
        <f t="shared" si="310"/>
        <v>846.8</v>
      </c>
      <c r="AV133">
        <f t="shared" si="311"/>
        <v>580.01203038592757</v>
      </c>
      <c r="AW133" s="18">
        <f t="shared" si="312"/>
        <v>407.73354465311434</v>
      </c>
      <c r="AX133">
        <v>11</v>
      </c>
      <c r="AY133">
        <f t="shared" si="313"/>
        <v>423.4</v>
      </c>
      <c r="AZ133">
        <f t="shared" si="216"/>
        <v>290.00601519296379</v>
      </c>
      <c r="BA133">
        <f t="shared" si="264"/>
        <v>223.04183825081213</v>
      </c>
      <c r="BC133">
        <v>11</v>
      </c>
      <c r="BD133">
        <f t="shared" si="314"/>
        <v>211.7</v>
      </c>
      <c r="BE133">
        <f t="shared" si="265"/>
        <v>145.00300759648189</v>
      </c>
      <c r="BF133">
        <f t="shared" si="217"/>
        <v>101.93338616327858</v>
      </c>
      <c r="BH133">
        <v>11</v>
      </c>
      <c r="BI133">
        <f t="shared" si="315"/>
        <v>846.8</v>
      </c>
      <c r="BJ133">
        <f t="shared" si="266"/>
        <v>580.01203038592757</v>
      </c>
      <c r="BK133" s="18">
        <f t="shared" si="218"/>
        <v>407.73354465311434</v>
      </c>
      <c r="BL133">
        <v>11</v>
      </c>
      <c r="BM133">
        <f t="shared" si="316"/>
        <v>668.19999999999993</v>
      </c>
      <c r="BN133">
        <f t="shared" si="219"/>
        <v>457.68072591388375</v>
      </c>
      <c r="BO133">
        <f t="shared" si="267"/>
        <v>351.99942446668081</v>
      </c>
      <c r="BQ133">
        <v>11</v>
      </c>
      <c r="BR133">
        <f t="shared" si="317"/>
        <v>334.09999999999997</v>
      </c>
      <c r="BS133">
        <f t="shared" si="268"/>
        <v>228.84036295694187</v>
      </c>
      <c r="BT133">
        <f t="shared" si="220"/>
        <v>101.93338616327858</v>
      </c>
      <c r="BV133">
        <v>11</v>
      </c>
      <c r="BW133">
        <f t="shared" si="318"/>
        <v>1336.3999999999999</v>
      </c>
      <c r="BX133">
        <f t="shared" si="269"/>
        <v>915.3614518277675</v>
      </c>
      <c r="BY133" s="18">
        <f t="shared" si="221"/>
        <v>407.73354465311434</v>
      </c>
      <c r="BZ133">
        <v>11</v>
      </c>
      <c r="CA133">
        <f t="shared" si="319"/>
        <v>974.19999999999993</v>
      </c>
      <c r="CB133">
        <f t="shared" si="222"/>
        <v>667.27411431503378</v>
      </c>
      <c r="CC133">
        <f t="shared" si="270"/>
        <v>513.19640723651673</v>
      </c>
      <c r="CE133">
        <v>11</v>
      </c>
      <c r="CF133">
        <f t="shared" si="320"/>
        <v>487.09999999999997</v>
      </c>
      <c r="CG133">
        <f t="shared" si="271"/>
        <v>333.63705715751689</v>
      </c>
      <c r="CH133">
        <f t="shared" si="223"/>
        <v>101.93338616327858</v>
      </c>
      <c r="CJ133">
        <v>11</v>
      </c>
      <c r="CK133">
        <f t="shared" si="321"/>
        <v>1948.3999999999999</v>
      </c>
      <c r="CL133">
        <f t="shared" si="272"/>
        <v>1334.5482286300676</v>
      </c>
      <c r="CM133" s="18">
        <f t="shared" si="224"/>
        <v>407.73354465311434</v>
      </c>
      <c r="CN133">
        <v>11</v>
      </c>
      <c r="CO133">
        <f t="shared" si="322"/>
        <v>1280.1999999999998</v>
      </c>
      <c r="CP133">
        <f t="shared" si="225"/>
        <v>876.86750271618371</v>
      </c>
      <c r="CQ133">
        <f t="shared" si="273"/>
        <v>674.39339000635255</v>
      </c>
      <c r="CS133">
        <v>11</v>
      </c>
      <c r="CT133">
        <f t="shared" si="323"/>
        <v>640.09999999999991</v>
      </c>
      <c r="CU133">
        <f t="shared" si="274"/>
        <v>438.43375135809185</v>
      </c>
      <c r="CV133">
        <f t="shared" si="226"/>
        <v>101.93338616327858</v>
      </c>
      <c r="CX133">
        <v>11</v>
      </c>
      <c r="CY133">
        <f t="shared" si="324"/>
        <v>2560.3999999999996</v>
      </c>
      <c r="CZ133">
        <f t="shared" si="275"/>
        <v>1753.7350054323674</v>
      </c>
      <c r="DA133" s="18">
        <f t="shared" si="227"/>
        <v>407.73354465311434</v>
      </c>
      <c r="DB133">
        <v>11</v>
      </c>
      <c r="DC133">
        <f t="shared" si="325"/>
        <v>1892.1999999999998</v>
      </c>
      <c r="DD133">
        <f t="shared" si="228"/>
        <v>1296.0542795184838</v>
      </c>
      <c r="DE133">
        <f t="shared" si="276"/>
        <v>203.86677232655717</v>
      </c>
      <c r="DG133">
        <v>11</v>
      </c>
      <c r="DH133">
        <f t="shared" si="326"/>
        <v>946.09999999999991</v>
      </c>
      <c r="DI133">
        <f t="shared" si="277"/>
        <v>648.02713975924189</v>
      </c>
      <c r="DJ133">
        <f t="shared" si="229"/>
        <v>101.93338616327858</v>
      </c>
      <c r="DL133">
        <v>11</v>
      </c>
      <c r="DM133">
        <f t="shared" si="327"/>
        <v>3784.3999999999996</v>
      </c>
      <c r="DN133">
        <f t="shared" si="278"/>
        <v>2592.1085590369676</v>
      </c>
      <c r="DO133" s="18">
        <f t="shared" si="230"/>
        <v>407.73354465311434</v>
      </c>
      <c r="DP133">
        <v>11</v>
      </c>
      <c r="DQ133">
        <f t="shared" si="328"/>
        <v>2504.1999999999998</v>
      </c>
      <c r="DR133">
        <f t="shared" si="231"/>
        <v>1715.2410563207839</v>
      </c>
      <c r="DS133">
        <f t="shared" si="279"/>
        <v>1319.181321085696</v>
      </c>
      <c r="DU133">
        <v>11</v>
      </c>
      <c r="DV133">
        <f t="shared" si="329"/>
        <v>1252.0999999999999</v>
      </c>
      <c r="DW133">
        <f t="shared" si="280"/>
        <v>857.62052816039193</v>
      </c>
      <c r="DX133">
        <f t="shared" si="232"/>
        <v>101.93338616327858</v>
      </c>
      <c r="DZ133">
        <v>11</v>
      </c>
      <c r="EA133">
        <f t="shared" si="330"/>
        <v>5008.3999999999996</v>
      </c>
      <c r="EB133">
        <f t="shared" si="281"/>
        <v>3430.4821126415677</v>
      </c>
      <c r="EC133" s="18">
        <f t="shared" si="233"/>
        <v>407.73354465311434</v>
      </c>
      <c r="ED133">
        <v>11</v>
      </c>
      <c r="EE133">
        <f t="shared" si="331"/>
        <v>3728.2</v>
      </c>
      <c r="EF133">
        <f t="shared" si="234"/>
        <v>2553.6146099253838</v>
      </c>
      <c r="EG133">
        <f t="shared" si="282"/>
        <v>1963.9692521650397</v>
      </c>
      <c r="EI133">
        <v>11</v>
      </c>
      <c r="EJ133">
        <f t="shared" si="332"/>
        <v>1864.1</v>
      </c>
      <c r="EK133">
        <f t="shared" si="283"/>
        <v>1276.8073049626919</v>
      </c>
      <c r="EL133">
        <f t="shared" si="235"/>
        <v>101.93338616327858</v>
      </c>
      <c r="EN133">
        <v>11</v>
      </c>
      <c r="EO133">
        <f t="shared" si="333"/>
        <v>7456.4</v>
      </c>
      <c r="EP133">
        <f t="shared" si="284"/>
        <v>5107.2292198507675</v>
      </c>
      <c r="EQ133" s="18">
        <f t="shared" si="236"/>
        <v>407.73354465311434</v>
      </c>
      <c r="ER133">
        <v>11</v>
      </c>
      <c r="ES133">
        <f t="shared" si="334"/>
        <v>4952.1999999999989</v>
      </c>
      <c r="ET133">
        <f t="shared" si="237"/>
        <v>3391.9881635299835</v>
      </c>
      <c r="EU133">
        <f t="shared" si="285"/>
        <v>2608.7571832443828</v>
      </c>
      <c r="EW133">
        <v>11</v>
      </c>
      <c r="EX133">
        <f t="shared" si="335"/>
        <v>2476.0999999999995</v>
      </c>
      <c r="EY133">
        <f t="shared" si="286"/>
        <v>1695.9940817649917</v>
      </c>
      <c r="EZ133">
        <f t="shared" si="238"/>
        <v>101.93338616327858</v>
      </c>
      <c r="FB133">
        <v>11</v>
      </c>
      <c r="FC133">
        <f t="shared" si="336"/>
        <v>9904.3999999999978</v>
      </c>
      <c r="FD133">
        <f t="shared" si="287"/>
        <v>6783.9763270599669</v>
      </c>
      <c r="FE133" s="18">
        <f t="shared" si="239"/>
        <v>407.73354465311434</v>
      </c>
      <c r="FF133">
        <v>11</v>
      </c>
      <c r="FG133">
        <f t="shared" si="337"/>
        <v>6176.1999999999989</v>
      </c>
      <c r="FH133">
        <f t="shared" si="240"/>
        <v>4230.3617171345832</v>
      </c>
      <c r="FI133">
        <f t="shared" si="241"/>
        <v>203.86677232655717</v>
      </c>
      <c r="FK133">
        <v>11</v>
      </c>
      <c r="FL133">
        <f t="shared" si="338"/>
        <v>3088.0999999999995</v>
      </c>
      <c r="FM133">
        <f t="shared" si="288"/>
        <v>2115.1808585672916</v>
      </c>
      <c r="FN133">
        <f t="shared" si="242"/>
        <v>101.93338616327858</v>
      </c>
      <c r="FP133">
        <v>11</v>
      </c>
      <c r="FQ133">
        <f t="shared" si="339"/>
        <v>12352.399999999998</v>
      </c>
      <c r="FR133">
        <f t="shared" si="289"/>
        <v>8460.7234342691663</v>
      </c>
      <c r="FS133" s="18">
        <f t="shared" si="243"/>
        <v>407.73354465311434</v>
      </c>
      <c r="FT133">
        <v>11</v>
      </c>
      <c r="FU133">
        <f t="shared" si="340"/>
        <v>7400.1999999999989</v>
      </c>
      <c r="FV133">
        <f t="shared" si="244"/>
        <v>5068.7352707391838</v>
      </c>
      <c r="FW133">
        <f t="shared" si="245"/>
        <v>203.86677232655717</v>
      </c>
      <c r="FY133">
        <v>11</v>
      </c>
      <c r="FZ133">
        <f t="shared" si="341"/>
        <v>3700.0999999999995</v>
      </c>
      <c r="GA133">
        <f t="shared" si="290"/>
        <v>2534.3676353695919</v>
      </c>
      <c r="GB133">
        <f t="shared" si="246"/>
        <v>101.93338616327858</v>
      </c>
      <c r="GD133">
        <v>11</v>
      </c>
      <c r="GE133">
        <f t="shared" si="342"/>
        <v>14800.399999999998</v>
      </c>
      <c r="GF133">
        <f t="shared" si="291"/>
        <v>10137.470541478368</v>
      </c>
      <c r="GG133" s="18">
        <f t="shared" si="247"/>
        <v>407.73354465311434</v>
      </c>
      <c r="GH133">
        <v>11</v>
      </c>
      <c r="GI133">
        <f t="shared" si="343"/>
        <v>9848.1999999999989</v>
      </c>
      <c r="GJ133">
        <f t="shared" si="248"/>
        <v>6745.4823779483841</v>
      </c>
      <c r="GK133">
        <f t="shared" si="249"/>
        <v>203.86677232655717</v>
      </c>
      <c r="GM133">
        <v>11</v>
      </c>
      <c r="GN133">
        <f t="shared" si="344"/>
        <v>4924.0999999999995</v>
      </c>
      <c r="GO133">
        <f t="shared" si="292"/>
        <v>3372.741188974192</v>
      </c>
      <c r="GP133">
        <f t="shared" si="250"/>
        <v>101.93338616327858</v>
      </c>
      <c r="GR133">
        <v>11</v>
      </c>
      <c r="GS133">
        <f t="shared" si="345"/>
        <v>19696.399999999998</v>
      </c>
      <c r="GT133">
        <f t="shared" si="293"/>
        <v>13490.964755896768</v>
      </c>
      <c r="GU133" s="18">
        <f t="shared" si="251"/>
        <v>407.73354465311434</v>
      </c>
      <c r="GV133">
        <v>11</v>
      </c>
      <c r="GW133">
        <f t="shared" si="346"/>
        <v>12296.199999999999</v>
      </c>
      <c r="GX133">
        <f t="shared" si="252"/>
        <v>8422.2294851575843</v>
      </c>
      <c r="GY133">
        <f t="shared" si="294"/>
        <v>6477.4847697204441</v>
      </c>
      <c r="HA133">
        <v>11</v>
      </c>
      <c r="HB133">
        <f t="shared" si="347"/>
        <v>6148.0999999999995</v>
      </c>
      <c r="HC133">
        <f t="shared" si="295"/>
        <v>4211.1147425787922</v>
      </c>
      <c r="HD133">
        <f t="shared" si="253"/>
        <v>101.93338616327858</v>
      </c>
      <c r="HF133">
        <v>11</v>
      </c>
      <c r="HG133">
        <f t="shared" si="348"/>
        <v>24592.399999999998</v>
      </c>
      <c r="HH133">
        <f t="shared" si="296"/>
        <v>16844.458970315169</v>
      </c>
      <c r="HI133" s="18">
        <f t="shared" si="254"/>
        <v>407.73354465311434</v>
      </c>
    </row>
    <row r="134" spans="8:217" x14ac:dyDescent="0.25">
      <c r="H134">
        <v>12</v>
      </c>
      <c r="I134">
        <f t="shared" si="297"/>
        <v>387</v>
      </c>
      <c r="J134">
        <f t="shared" si="255"/>
        <v>256.11013643789289</v>
      </c>
      <c r="K134">
        <f t="shared" si="256"/>
        <v>192.3271437042992</v>
      </c>
      <c r="M134">
        <v>12</v>
      </c>
      <c r="N134">
        <v>193.5</v>
      </c>
      <c r="O134">
        <f t="shared" si="298"/>
        <v>128.05506821894645</v>
      </c>
      <c r="P134">
        <f t="shared" si="257"/>
        <v>96.163571852149602</v>
      </c>
      <c r="R134">
        <v>12</v>
      </c>
      <c r="S134">
        <v>774</v>
      </c>
      <c r="T134">
        <f t="shared" si="299"/>
        <v>512.22027287578578</v>
      </c>
      <c r="U134" s="18">
        <f t="shared" si="300"/>
        <v>384.65428740859841</v>
      </c>
      <c r="V134">
        <v>12</v>
      </c>
      <c r="W134">
        <f t="shared" si="301"/>
        <v>423.4</v>
      </c>
      <c r="X134">
        <f t="shared" si="258"/>
        <v>280.19904849561721</v>
      </c>
      <c r="Y134">
        <f t="shared" si="259"/>
        <v>210.41682853850199</v>
      </c>
      <c r="AA134">
        <v>12</v>
      </c>
      <c r="AB134">
        <f t="shared" si="302"/>
        <v>211.7</v>
      </c>
      <c r="AC134">
        <f t="shared" si="303"/>
        <v>140.0995242478086</v>
      </c>
      <c r="AD134">
        <f t="shared" si="260"/>
        <v>96.163571852149602</v>
      </c>
      <c r="AF134">
        <v>12</v>
      </c>
      <c r="AG134">
        <f t="shared" si="304"/>
        <v>846.8</v>
      </c>
      <c r="AH134">
        <f t="shared" si="305"/>
        <v>560.39809699123441</v>
      </c>
      <c r="AI134" s="18">
        <f t="shared" si="306"/>
        <v>384.65428740859841</v>
      </c>
      <c r="AJ134">
        <v>12</v>
      </c>
      <c r="AK134">
        <f t="shared" si="307"/>
        <v>423.4</v>
      </c>
      <c r="AL134">
        <f t="shared" si="261"/>
        <v>280.19904849561721</v>
      </c>
      <c r="AM134">
        <f t="shared" si="262"/>
        <v>210.41682853850199</v>
      </c>
      <c r="AO134">
        <v>12</v>
      </c>
      <c r="AP134">
        <f t="shared" si="308"/>
        <v>211.7</v>
      </c>
      <c r="AQ134">
        <f t="shared" si="309"/>
        <v>140.0995242478086</v>
      </c>
      <c r="AR134">
        <f t="shared" si="263"/>
        <v>96.163571852149602</v>
      </c>
      <c r="AT134">
        <v>12</v>
      </c>
      <c r="AU134">
        <f t="shared" si="310"/>
        <v>846.8</v>
      </c>
      <c r="AV134">
        <f t="shared" si="311"/>
        <v>560.39809699123441</v>
      </c>
      <c r="AW134" s="18">
        <f t="shared" si="312"/>
        <v>384.65428740859841</v>
      </c>
      <c r="AX134">
        <v>12</v>
      </c>
      <c r="AY134">
        <f t="shared" si="313"/>
        <v>423.4</v>
      </c>
      <c r="AZ134">
        <f t="shared" si="216"/>
        <v>280.19904849561721</v>
      </c>
      <c r="BA134">
        <f t="shared" si="264"/>
        <v>210.41682853850199</v>
      </c>
      <c r="BC134">
        <v>12</v>
      </c>
      <c r="BD134">
        <f t="shared" si="314"/>
        <v>211.7</v>
      </c>
      <c r="BE134">
        <f t="shared" si="265"/>
        <v>140.0995242478086</v>
      </c>
      <c r="BF134">
        <f t="shared" si="217"/>
        <v>96.163571852149602</v>
      </c>
      <c r="BH134">
        <v>12</v>
      </c>
      <c r="BI134">
        <f t="shared" si="315"/>
        <v>846.8</v>
      </c>
      <c r="BJ134">
        <f t="shared" si="266"/>
        <v>560.39809699123441</v>
      </c>
      <c r="BK134" s="18">
        <f t="shared" si="218"/>
        <v>384.65428740859841</v>
      </c>
      <c r="BL134">
        <v>12</v>
      </c>
      <c r="BM134">
        <f t="shared" si="316"/>
        <v>668.19999999999993</v>
      </c>
      <c r="BN134">
        <f t="shared" si="219"/>
        <v>442.20359991679595</v>
      </c>
      <c r="BO134">
        <f t="shared" si="267"/>
        <v>332.07492874215171</v>
      </c>
      <c r="BQ134">
        <v>12</v>
      </c>
      <c r="BR134">
        <f t="shared" si="317"/>
        <v>334.09999999999997</v>
      </c>
      <c r="BS134">
        <f t="shared" si="268"/>
        <v>221.10179995839798</v>
      </c>
      <c r="BT134">
        <f t="shared" si="220"/>
        <v>96.163571852149602</v>
      </c>
      <c r="BV134">
        <v>12</v>
      </c>
      <c r="BW134">
        <f t="shared" si="318"/>
        <v>1336.3999999999999</v>
      </c>
      <c r="BX134">
        <f t="shared" si="269"/>
        <v>884.4071998335919</v>
      </c>
      <c r="BY134" s="18">
        <f t="shared" si="221"/>
        <v>384.65428740859841</v>
      </c>
      <c r="BZ134">
        <v>12</v>
      </c>
      <c r="CA134">
        <f t="shared" si="319"/>
        <v>974.19999999999993</v>
      </c>
      <c r="CB134">
        <f t="shared" si="222"/>
        <v>644.70928919326946</v>
      </c>
      <c r="CC134">
        <f t="shared" si="270"/>
        <v>484.14755399671384</v>
      </c>
      <c r="CE134">
        <v>12</v>
      </c>
      <c r="CF134">
        <f t="shared" si="320"/>
        <v>487.09999999999997</v>
      </c>
      <c r="CG134">
        <f t="shared" si="271"/>
        <v>322.35464459663473</v>
      </c>
      <c r="CH134">
        <f t="shared" si="223"/>
        <v>96.163571852149602</v>
      </c>
      <c r="CJ134">
        <v>12</v>
      </c>
      <c r="CK134">
        <f t="shared" si="321"/>
        <v>1948.3999999999999</v>
      </c>
      <c r="CL134">
        <f t="shared" si="272"/>
        <v>1289.4185783865389</v>
      </c>
      <c r="CM134" s="18">
        <f t="shared" si="224"/>
        <v>384.65428740859841</v>
      </c>
      <c r="CN134">
        <v>12</v>
      </c>
      <c r="CO134">
        <f t="shared" si="322"/>
        <v>1280.1999999999998</v>
      </c>
      <c r="CP134">
        <f t="shared" si="225"/>
        <v>847.21497846974285</v>
      </c>
      <c r="CQ134">
        <f t="shared" si="273"/>
        <v>636.22017925127591</v>
      </c>
      <c r="CS134">
        <v>12</v>
      </c>
      <c r="CT134">
        <f t="shared" si="323"/>
        <v>640.09999999999991</v>
      </c>
      <c r="CU134">
        <f t="shared" si="274"/>
        <v>423.60748923487142</v>
      </c>
      <c r="CV134">
        <f t="shared" si="226"/>
        <v>96.163571852149602</v>
      </c>
      <c r="CX134">
        <v>12</v>
      </c>
      <c r="CY134">
        <f t="shared" si="324"/>
        <v>2560.3999999999996</v>
      </c>
      <c r="CZ134">
        <f t="shared" si="275"/>
        <v>1694.4299569394857</v>
      </c>
      <c r="DA134" s="18">
        <f t="shared" si="227"/>
        <v>384.65428740859841</v>
      </c>
      <c r="DB134">
        <v>12</v>
      </c>
      <c r="DC134">
        <f t="shared" si="325"/>
        <v>1892.1999999999998</v>
      </c>
      <c r="DD134">
        <f t="shared" si="228"/>
        <v>1252.2263570226899</v>
      </c>
      <c r="DE134">
        <f t="shared" si="276"/>
        <v>192.3271437042992</v>
      </c>
      <c r="DG134">
        <v>12</v>
      </c>
      <c r="DH134">
        <f t="shared" si="326"/>
        <v>946.09999999999991</v>
      </c>
      <c r="DI134">
        <f t="shared" si="277"/>
        <v>626.11317851134493</v>
      </c>
      <c r="DJ134">
        <f t="shared" si="229"/>
        <v>96.163571852149602</v>
      </c>
      <c r="DL134">
        <v>12</v>
      </c>
      <c r="DM134">
        <f t="shared" si="327"/>
        <v>3784.3999999999996</v>
      </c>
      <c r="DN134">
        <f t="shared" si="278"/>
        <v>2504.4527140453797</v>
      </c>
      <c r="DO134" s="18">
        <f t="shared" si="230"/>
        <v>384.65428740859841</v>
      </c>
      <c r="DP134">
        <v>12</v>
      </c>
      <c r="DQ134">
        <f t="shared" si="328"/>
        <v>2504.1999999999998</v>
      </c>
      <c r="DR134">
        <f t="shared" si="231"/>
        <v>1657.2377355756366</v>
      </c>
      <c r="DS134">
        <f t="shared" si="279"/>
        <v>1244.5106802695245</v>
      </c>
      <c r="DU134">
        <v>12</v>
      </c>
      <c r="DV134">
        <f t="shared" si="329"/>
        <v>1252.0999999999999</v>
      </c>
      <c r="DW134">
        <f t="shared" si="280"/>
        <v>828.61886778781832</v>
      </c>
      <c r="DX134">
        <f t="shared" si="232"/>
        <v>96.163571852149602</v>
      </c>
      <c r="DZ134">
        <v>12</v>
      </c>
      <c r="EA134">
        <f t="shared" si="330"/>
        <v>5008.3999999999996</v>
      </c>
      <c r="EB134">
        <f t="shared" si="281"/>
        <v>3314.4754711512733</v>
      </c>
      <c r="EC134" s="18">
        <f t="shared" si="233"/>
        <v>384.65428740859841</v>
      </c>
      <c r="ED134">
        <v>12</v>
      </c>
      <c r="EE134">
        <f t="shared" si="331"/>
        <v>3728.2</v>
      </c>
      <c r="EF134">
        <f t="shared" si="234"/>
        <v>2467.2604926815306</v>
      </c>
      <c r="EG134">
        <f t="shared" si="282"/>
        <v>1852.8011812877733</v>
      </c>
      <c r="EI134">
        <v>12</v>
      </c>
      <c r="EJ134">
        <f t="shared" si="332"/>
        <v>1864.1</v>
      </c>
      <c r="EK134">
        <f t="shared" si="283"/>
        <v>1233.6302463407653</v>
      </c>
      <c r="EL134">
        <f t="shared" si="235"/>
        <v>96.163571852149602</v>
      </c>
      <c r="EN134">
        <v>12</v>
      </c>
      <c r="EO134">
        <f t="shared" si="333"/>
        <v>7456.4</v>
      </c>
      <c r="EP134">
        <f t="shared" si="284"/>
        <v>4934.5209853630613</v>
      </c>
      <c r="EQ134" s="18">
        <f t="shared" si="236"/>
        <v>384.65428740859841</v>
      </c>
      <c r="ER134">
        <v>12</v>
      </c>
      <c r="ES134">
        <f t="shared" si="334"/>
        <v>4952.1999999999989</v>
      </c>
      <c r="ET134">
        <f t="shared" si="237"/>
        <v>3277.2832497874238</v>
      </c>
      <c r="EU134">
        <f t="shared" si="285"/>
        <v>2461.0916823060215</v>
      </c>
      <c r="EW134">
        <v>12</v>
      </c>
      <c r="EX134">
        <f t="shared" si="335"/>
        <v>2476.0999999999995</v>
      </c>
      <c r="EY134">
        <f t="shared" si="286"/>
        <v>1638.6416248937119</v>
      </c>
      <c r="EZ134">
        <f t="shared" si="238"/>
        <v>96.163571852149602</v>
      </c>
      <c r="FB134">
        <v>12</v>
      </c>
      <c r="FC134">
        <f t="shared" si="336"/>
        <v>9904.3999999999978</v>
      </c>
      <c r="FD134">
        <f t="shared" si="287"/>
        <v>6554.5664995748475</v>
      </c>
      <c r="FE134" s="18">
        <f t="shared" si="239"/>
        <v>384.65428740859841</v>
      </c>
      <c r="FF134">
        <v>12</v>
      </c>
      <c r="FG134">
        <f t="shared" si="337"/>
        <v>6176.1999999999989</v>
      </c>
      <c r="FH134">
        <f t="shared" si="240"/>
        <v>4087.3060068933178</v>
      </c>
      <c r="FI134">
        <f t="shared" si="241"/>
        <v>192.3271437042992</v>
      </c>
      <c r="FK134">
        <v>12</v>
      </c>
      <c r="FL134">
        <f t="shared" si="338"/>
        <v>3088.0999999999995</v>
      </c>
      <c r="FM134">
        <f t="shared" si="288"/>
        <v>2043.6530034466589</v>
      </c>
      <c r="FN134">
        <f t="shared" si="242"/>
        <v>96.163571852149602</v>
      </c>
      <c r="FP134">
        <v>12</v>
      </c>
      <c r="FQ134">
        <f t="shared" si="339"/>
        <v>12352.399999999998</v>
      </c>
      <c r="FR134">
        <f t="shared" si="289"/>
        <v>8174.6120137866355</v>
      </c>
      <c r="FS134" s="18">
        <f t="shared" si="243"/>
        <v>384.65428740859841</v>
      </c>
      <c r="FT134">
        <v>12</v>
      </c>
      <c r="FU134">
        <f t="shared" si="340"/>
        <v>7400.1999999999989</v>
      </c>
      <c r="FV134">
        <f t="shared" si="244"/>
        <v>4897.3287639992113</v>
      </c>
      <c r="FW134">
        <f t="shared" si="245"/>
        <v>192.3271437042992</v>
      </c>
      <c r="FY134">
        <v>12</v>
      </c>
      <c r="FZ134">
        <f t="shared" si="341"/>
        <v>3700.0999999999995</v>
      </c>
      <c r="GA134">
        <f t="shared" si="290"/>
        <v>2448.6643819996057</v>
      </c>
      <c r="GB134">
        <f t="shared" si="246"/>
        <v>96.163571852149602</v>
      </c>
      <c r="GD134">
        <v>12</v>
      </c>
      <c r="GE134">
        <f t="shared" si="342"/>
        <v>14800.399999999998</v>
      </c>
      <c r="GF134">
        <f t="shared" si="291"/>
        <v>9794.6575279984227</v>
      </c>
      <c r="GG134" s="18">
        <f t="shared" si="247"/>
        <v>384.65428740859841</v>
      </c>
      <c r="GH134">
        <v>12</v>
      </c>
      <c r="GI134">
        <f t="shared" si="343"/>
        <v>9848.1999999999989</v>
      </c>
      <c r="GJ134">
        <f t="shared" si="248"/>
        <v>6517.3742782109994</v>
      </c>
      <c r="GK134">
        <f t="shared" si="249"/>
        <v>192.3271437042992</v>
      </c>
      <c r="GM134">
        <v>12</v>
      </c>
      <c r="GN134">
        <f t="shared" si="344"/>
        <v>4924.0999999999995</v>
      </c>
      <c r="GO134">
        <f t="shared" si="292"/>
        <v>3258.6871391054997</v>
      </c>
      <c r="GP134">
        <f t="shared" si="250"/>
        <v>96.163571852149602</v>
      </c>
      <c r="GR134">
        <v>12</v>
      </c>
      <c r="GS134">
        <f t="shared" si="345"/>
        <v>19696.399999999998</v>
      </c>
      <c r="GT134">
        <f t="shared" si="293"/>
        <v>13034.748556421999</v>
      </c>
      <c r="GU134" s="18">
        <f t="shared" si="251"/>
        <v>384.65428740859841</v>
      </c>
      <c r="GV134">
        <v>12</v>
      </c>
      <c r="GW134">
        <f t="shared" si="346"/>
        <v>12296.199999999999</v>
      </c>
      <c r="GX134">
        <f t="shared" si="252"/>
        <v>8137.4197924227874</v>
      </c>
      <c r="GY134">
        <f t="shared" si="294"/>
        <v>6110.8346884155126</v>
      </c>
      <c r="HA134">
        <v>12</v>
      </c>
      <c r="HB134">
        <f t="shared" si="347"/>
        <v>6148.0999999999995</v>
      </c>
      <c r="HC134">
        <f t="shared" si="295"/>
        <v>4068.7098962113937</v>
      </c>
      <c r="HD134">
        <f t="shared" si="253"/>
        <v>96.163571852149602</v>
      </c>
      <c r="HF134">
        <v>12</v>
      </c>
      <c r="HG134">
        <f t="shared" si="348"/>
        <v>24592.399999999998</v>
      </c>
      <c r="HH134">
        <f t="shared" si="296"/>
        <v>16274.839584845575</v>
      </c>
      <c r="HI134" s="18">
        <f t="shared" si="254"/>
        <v>384.65428740859841</v>
      </c>
    </row>
    <row r="135" spans="8:217" x14ac:dyDescent="0.25">
      <c r="H135">
        <v>13</v>
      </c>
      <c r="I135">
        <f t="shared" si="297"/>
        <v>387</v>
      </c>
      <c r="J135">
        <f t="shared" si="255"/>
        <v>247.44940718637002</v>
      </c>
      <c r="K135">
        <f t="shared" si="256"/>
        <v>181.4407016078294</v>
      </c>
      <c r="M135">
        <v>13</v>
      </c>
      <c r="N135">
        <v>193.5</v>
      </c>
      <c r="O135">
        <f t="shared" si="298"/>
        <v>123.72470359318501</v>
      </c>
      <c r="P135">
        <f t="shared" si="257"/>
        <v>90.720350803914698</v>
      </c>
      <c r="R135">
        <v>13</v>
      </c>
      <c r="S135">
        <v>774</v>
      </c>
      <c r="T135">
        <f t="shared" si="299"/>
        <v>494.89881437274005</v>
      </c>
      <c r="U135" s="18">
        <f t="shared" si="300"/>
        <v>362.88140321565879</v>
      </c>
      <c r="V135">
        <v>13</v>
      </c>
      <c r="W135">
        <f t="shared" si="301"/>
        <v>423.4</v>
      </c>
      <c r="X135">
        <f t="shared" si="258"/>
        <v>270.72371835325339</v>
      </c>
      <c r="Y135">
        <f t="shared" si="259"/>
        <v>198.5064420174547</v>
      </c>
      <c r="AA135">
        <v>13</v>
      </c>
      <c r="AB135">
        <f t="shared" si="302"/>
        <v>211.7</v>
      </c>
      <c r="AC135">
        <f t="shared" si="303"/>
        <v>135.36185917662669</v>
      </c>
      <c r="AD135">
        <f t="shared" si="260"/>
        <v>90.720350803914698</v>
      </c>
      <c r="AF135">
        <v>13</v>
      </c>
      <c r="AG135">
        <f t="shared" si="304"/>
        <v>846.8</v>
      </c>
      <c r="AH135">
        <f t="shared" si="305"/>
        <v>541.44743670650678</v>
      </c>
      <c r="AI135" s="18">
        <f t="shared" si="306"/>
        <v>362.88140321565879</v>
      </c>
      <c r="AJ135">
        <v>13</v>
      </c>
      <c r="AK135">
        <f t="shared" si="307"/>
        <v>423.4</v>
      </c>
      <c r="AL135">
        <f t="shared" si="261"/>
        <v>270.72371835325339</v>
      </c>
      <c r="AM135">
        <f t="shared" si="262"/>
        <v>198.5064420174547</v>
      </c>
      <c r="AO135">
        <v>13</v>
      </c>
      <c r="AP135">
        <f t="shared" si="308"/>
        <v>211.7</v>
      </c>
      <c r="AQ135">
        <f t="shared" si="309"/>
        <v>135.36185917662669</v>
      </c>
      <c r="AR135">
        <f t="shared" si="263"/>
        <v>90.720350803914698</v>
      </c>
      <c r="AT135">
        <v>13</v>
      </c>
      <c r="AU135">
        <f t="shared" si="310"/>
        <v>846.8</v>
      </c>
      <c r="AV135">
        <f t="shared" si="311"/>
        <v>541.44743670650678</v>
      </c>
      <c r="AW135" s="18">
        <f t="shared" si="312"/>
        <v>362.88140321565879</v>
      </c>
      <c r="AX135">
        <v>13</v>
      </c>
      <c r="AY135">
        <f t="shared" si="313"/>
        <v>423.4</v>
      </c>
      <c r="AZ135">
        <f t="shared" si="216"/>
        <v>270.72371835325339</v>
      </c>
      <c r="BA135">
        <f t="shared" si="264"/>
        <v>198.5064420174547</v>
      </c>
      <c r="BC135">
        <v>13</v>
      </c>
      <c r="BD135">
        <f t="shared" si="314"/>
        <v>211.7</v>
      </c>
      <c r="BE135">
        <f t="shared" si="265"/>
        <v>135.36185917662669</v>
      </c>
      <c r="BF135">
        <f t="shared" si="217"/>
        <v>90.720350803914698</v>
      </c>
      <c r="BH135">
        <v>13</v>
      </c>
      <c r="BI135">
        <f t="shared" si="315"/>
        <v>846.8</v>
      </c>
      <c r="BJ135">
        <f t="shared" si="266"/>
        <v>541.44743670650678</v>
      </c>
      <c r="BK135" s="18">
        <f t="shared" si="218"/>
        <v>362.88140321565879</v>
      </c>
      <c r="BL135">
        <v>13</v>
      </c>
      <c r="BM135">
        <f t="shared" si="316"/>
        <v>668.19999999999993</v>
      </c>
      <c r="BN135">
        <f t="shared" si="219"/>
        <v>427.24985499207349</v>
      </c>
      <c r="BO135">
        <f t="shared" si="267"/>
        <v>313.27823466240721</v>
      </c>
      <c r="BQ135">
        <v>13</v>
      </c>
      <c r="BR135">
        <f t="shared" si="317"/>
        <v>334.09999999999997</v>
      </c>
      <c r="BS135">
        <f t="shared" si="268"/>
        <v>213.62492749603675</v>
      </c>
      <c r="BT135">
        <f t="shared" si="220"/>
        <v>90.720350803914698</v>
      </c>
      <c r="BV135">
        <v>13</v>
      </c>
      <c r="BW135">
        <f t="shared" si="318"/>
        <v>1336.3999999999999</v>
      </c>
      <c r="BX135">
        <f t="shared" si="269"/>
        <v>854.49970998414699</v>
      </c>
      <c r="BY135" s="18">
        <f t="shared" si="221"/>
        <v>362.88140321565879</v>
      </c>
      <c r="BZ135">
        <v>13</v>
      </c>
      <c r="CA135">
        <f t="shared" si="319"/>
        <v>974.19999999999993</v>
      </c>
      <c r="CB135">
        <f t="shared" si="222"/>
        <v>622.90752579059858</v>
      </c>
      <c r="CC135">
        <f t="shared" si="270"/>
        <v>456.74297546859793</v>
      </c>
      <c r="CE135">
        <v>13</v>
      </c>
      <c r="CF135">
        <f t="shared" si="320"/>
        <v>487.09999999999997</v>
      </c>
      <c r="CG135">
        <f t="shared" si="271"/>
        <v>311.45376289529929</v>
      </c>
      <c r="CH135">
        <f t="shared" si="223"/>
        <v>90.720350803914698</v>
      </c>
      <c r="CJ135">
        <v>13</v>
      </c>
      <c r="CK135">
        <f t="shared" si="321"/>
        <v>1948.3999999999999</v>
      </c>
      <c r="CL135">
        <f t="shared" si="272"/>
        <v>1245.8150515811972</v>
      </c>
      <c r="CM135" s="18">
        <f t="shared" si="224"/>
        <v>362.88140321565879</v>
      </c>
      <c r="CN135">
        <v>13</v>
      </c>
      <c r="CO135">
        <f t="shared" si="322"/>
        <v>1280.1999999999998</v>
      </c>
      <c r="CP135">
        <f t="shared" si="225"/>
        <v>818.56519658912373</v>
      </c>
      <c r="CQ135">
        <f t="shared" si="273"/>
        <v>600.2077162747886</v>
      </c>
      <c r="CS135">
        <v>13</v>
      </c>
      <c r="CT135">
        <f t="shared" si="323"/>
        <v>640.09999999999991</v>
      </c>
      <c r="CU135">
        <f t="shared" si="274"/>
        <v>409.28259829456186</v>
      </c>
      <c r="CV135">
        <f t="shared" si="226"/>
        <v>90.720350803914698</v>
      </c>
      <c r="CX135">
        <v>13</v>
      </c>
      <c r="CY135">
        <f t="shared" si="324"/>
        <v>2560.3999999999996</v>
      </c>
      <c r="CZ135">
        <f t="shared" si="275"/>
        <v>1637.1303931782475</v>
      </c>
      <c r="DA135" s="18">
        <f t="shared" si="227"/>
        <v>362.88140321565879</v>
      </c>
      <c r="DB135">
        <v>13</v>
      </c>
      <c r="DC135">
        <f t="shared" si="325"/>
        <v>1892.1999999999998</v>
      </c>
      <c r="DD135">
        <f t="shared" si="228"/>
        <v>1209.8805381861739</v>
      </c>
      <c r="DE135">
        <f t="shared" si="276"/>
        <v>181.4407016078294</v>
      </c>
      <c r="DG135">
        <v>13</v>
      </c>
      <c r="DH135">
        <f t="shared" si="326"/>
        <v>946.09999999999991</v>
      </c>
      <c r="DI135">
        <f t="shared" si="277"/>
        <v>604.94026909308695</v>
      </c>
      <c r="DJ135">
        <f t="shared" si="229"/>
        <v>90.720350803914698</v>
      </c>
      <c r="DL135">
        <v>13</v>
      </c>
      <c r="DM135">
        <f t="shared" si="327"/>
        <v>3784.3999999999996</v>
      </c>
      <c r="DN135">
        <f t="shared" si="278"/>
        <v>2419.7610763723478</v>
      </c>
      <c r="DO135" s="18">
        <f t="shared" si="230"/>
        <v>362.88140321565879</v>
      </c>
      <c r="DP135">
        <v>13</v>
      </c>
      <c r="DQ135">
        <f t="shared" si="328"/>
        <v>2504.1999999999998</v>
      </c>
      <c r="DR135">
        <f t="shared" si="231"/>
        <v>1601.1958797832242</v>
      </c>
      <c r="DS135">
        <f t="shared" si="279"/>
        <v>1174.0666794995514</v>
      </c>
      <c r="DU135">
        <v>13</v>
      </c>
      <c r="DV135">
        <f t="shared" si="329"/>
        <v>1252.0999999999999</v>
      </c>
      <c r="DW135">
        <f t="shared" si="280"/>
        <v>800.5979398916121</v>
      </c>
      <c r="DX135">
        <f t="shared" si="232"/>
        <v>90.720350803914698</v>
      </c>
      <c r="DZ135">
        <v>13</v>
      </c>
      <c r="EA135">
        <f t="shared" si="330"/>
        <v>5008.3999999999996</v>
      </c>
      <c r="EB135">
        <f t="shared" si="281"/>
        <v>3202.3917595664484</v>
      </c>
      <c r="EC135" s="18">
        <f t="shared" si="233"/>
        <v>362.88140321565879</v>
      </c>
      <c r="ED135">
        <v>13</v>
      </c>
      <c r="EE135">
        <f t="shared" si="331"/>
        <v>3728.2</v>
      </c>
      <c r="EF135">
        <f t="shared" si="234"/>
        <v>2383.8265629773246</v>
      </c>
      <c r="EG135">
        <f t="shared" si="282"/>
        <v>1747.9256427243142</v>
      </c>
      <c r="EI135">
        <v>13</v>
      </c>
      <c r="EJ135">
        <f t="shared" si="332"/>
        <v>1864.1</v>
      </c>
      <c r="EK135">
        <f t="shared" si="283"/>
        <v>1191.9132814886623</v>
      </c>
      <c r="EL135">
        <f t="shared" si="235"/>
        <v>90.720350803914698</v>
      </c>
      <c r="EN135">
        <v>13</v>
      </c>
      <c r="EO135">
        <f t="shared" si="333"/>
        <v>7456.4</v>
      </c>
      <c r="EP135">
        <f t="shared" si="284"/>
        <v>4767.6531259546491</v>
      </c>
      <c r="EQ135" s="18">
        <f t="shared" si="236"/>
        <v>362.88140321565879</v>
      </c>
      <c r="ER135">
        <v>13</v>
      </c>
      <c r="ES135">
        <f t="shared" si="334"/>
        <v>4952.1999999999989</v>
      </c>
      <c r="ET135">
        <f t="shared" si="237"/>
        <v>3166.4572461714247</v>
      </c>
      <c r="EU135">
        <f t="shared" si="285"/>
        <v>2321.7846059490766</v>
      </c>
      <c r="EW135">
        <v>13</v>
      </c>
      <c r="EX135">
        <f t="shared" si="335"/>
        <v>2476.0999999999995</v>
      </c>
      <c r="EY135">
        <f t="shared" si="286"/>
        <v>1583.2286230857123</v>
      </c>
      <c r="EZ135">
        <f t="shared" si="238"/>
        <v>90.720350803914698</v>
      </c>
      <c r="FB135">
        <v>13</v>
      </c>
      <c r="FC135">
        <f t="shared" si="336"/>
        <v>9904.3999999999978</v>
      </c>
      <c r="FD135">
        <f t="shared" si="287"/>
        <v>6332.9144923428494</v>
      </c>
      <c r="FE135" s="18">
        <f t="shared" si="239"/>
        <v>362.88140321565879</v>
      </c>
      <c r="FF135">
        <v>13</v>
      </c>
      <c r="FG135">
        <f t="shared" si="337"/>
        <v>6176.1999999999989</v>
      </c>
      <c r="FH135">
        <f t="shared" si="240"/>
        <v>3949.0879293655253</v>
      </c>
      <c r="FI135">
        <f t="shared" si="241"/>
        <v>181.4407016078294</v>
      </c>
      <c r="FK135">
        <v>13</v>
      </c>
      <c r="FL135">
        <f t="shared" si="338"/>
        <v>3088.0999999999995</v>
      </c>
      <c r="FM135">
        <f t="shared" si="288"/>
        <v>1974.5439646827626</v>
      </c>
      <c r="FN135">
        <f t="shared" si="242"/>
        <v>90.720350803914698</v>
      </c>
      <c r="FP135">
        <v>13</v>
      </c>
      <c r="FQ135">
        <f t="shared" si="339"/>
        <v>12352.399999999998</v>
      </c>
      <c r="FR135">
        <f t="shared" si="289"/>
        <v>7898.1758587310505</v>
      </c>
      <c r="FS135" s="18">
        <f t="shared" si="243"/>
        <v>362.88140321565879</v>
      </c>
      <c r="FT135">
        <v>13</v>
      </c>
      <c r="FU135">
        <f t="shared" si="340"/>
        <v>7400.1999999999989</v>
      </c>
      <c r="FV135">
        <f t="shared" si="244"/>
        <v>4731.7186125596254</v>
      </c>
      <c r="FW135">
        <f t="shared" si="245"/>
        <v>181.4407016078294</v>
      </c>
      <c r="FY135">
        <v>13</v>
      </c>
      <c r="FZ135">
        <f t="shared" si="341"/>
        <v>3700.0999999999995</v>
      </c>
      <c r="GA135">
        <f t="shared" si="290"/>
        <v>2365.8593062798127</v>
      </c>
      <c r="GB135">
        <f t="shared" si="246"/>
        <v>90.720350803914698</v>
      </c>
      <c r="GD135">
        <v>13</v>
      </c>
      <c r="GE135">
        <f t="shared" si="342"/>
        <v>14800.399999999998</v>
      </c>
      <c r="GF135">
        <f t="shared" si="291"/>
        <v>9463.4372251192508</v>
      </c>
      <c r="GG135" s="18">
        <f t="shared" si="247"/>
        <v>362.88140321565879</v>
      </c>
      <c r="GH135">
        <v>13</v>
      </c>
      <c r="GI135">
        <f t="shared" si="343"/>
        <v>9848.1999999999989</v>
      </c>
      <c r="GJ135">
        <f t="shared" si="248"/>
        <v>6296.9799789478266</v>
      </c>
      <c r="GK135">
        <f t="shared" si="249"/>
        <v>181.4407016078294</v>
      </c>
      <c r="GM135">
        <v>13</v>
      </c>
      <c r="GN135">
        <f t="shared" si="344"/>
        <v>4924.0999999999995</v>
      </c>
      <c r="GO135">
        <f t="shared" si="292"/>
        <v>3148.4899894739133</v>
      </c>
      <c r="GP135">
        <f t="shared" si="250"/>
        <v>90.720350803914698</v>
      </c>
      <c r="GR135">
        <v>13</v>
      </c>
      <c r="GS135">
        <f t="shared" si="345"/>
        <v>19696.399999999998</v>
      </c>
      <c r="GT135">
        <f t="shared" si="293"/>
        <v>12593.959957895653</v>
      </c>
      <c r="GU135" s="18">
        <f t="shared" si="251"/>
        <v>362.88140321565879</v>
      </c>
      <c r="GV135">
        <v>13</v>
      </c>
      <c r="GW135">
        <f t="shared" si="346"/>
        <v>12296.199999999999</v>
      </c>
      <c r="GX135">
        <f t="shared" si="252"/>
        <v>7862.2413453360277</v>
      </c>
      <c r="GY135">
        <f t="shared" si="294"/>
        <v>5764.9383852976534</v>
      </c>
      <c r="HA135">
        <v>13</v>
      </c>
      <c r="HB135">
        <f t="shared" si="347"/>
        <v>6148.0999999999995</v>
      </c>
      <c r="HC135">
        <f t="shared" si="295"/>
        <v>3931.1206726680139</v>
      </c>
      <c r="HD135">
        <f t="shared" si="253"/>
        <v>90.720350803914698</v>
      </c>
      <c r="HF135">
        <v>13</v>
      </c>
      <c r="HG135">
        <f t="shared" si="348"/>
        <v>24592.399999999998</v>
      </c>
      <c r="HH135">
        <f t="shared" si="296"/>
        <v>15724.482690672055</v>
      </c>
      <c r="HI135" s="18">
        <f t="shared" si="254"/>
        <v>362.88140321565879</v>
      </c>
    </row>
    <row r="136" spans="8:217" x14ac:dyDescent="0.25">
      <c r="H136">
        <v>14</v>
      </c>
      <c r="I136">
        <f t="shared" si="297"/>
        <v>387</v>
      </c>
      <c r="J136">
        <f t="shared" si="255"/>
        <v>239.08155283707245</v>
      </c>
      <c r="K136">
        <f t="shared" si="256"/>
        <v>171.17047321493342</v>
      </c>
      <c r="M136">
        <v>14</v>
      </c>
      <c r="N136">
        <v>193.5</v>
      </c>
      <c r="O136">
        <f t="shared" si="298"/>
        <v>119.54077641853623</v>
      </c>
      <c r="P136">
        <f t="shared" si="257"/>
        <v>85.585236607466712</v>
      </c>
      <c r="R136">
        <v>14</v>
      </c>
      <c r="S136">
        <v>774</v>
      </c>
      <c r="T136">
        <f t="shared" si="299"/>
        <v>478.1631056741449</v>
      </c>
      <c r="U136" s="18">
        <f t="shared" si="300"/>
        <v>342.34094642986685</v>
      </c>
      <c r="V136">
        <v>14</v>
      </c>
      <c r="W136">
        <f t="shared" si="301"/>
        <v>423.4</v>
      </c>
      <c r="X136">
        <f t="shared" si="258"/>
        <v>261.56881000314337</v>
      </c>
      <c r="Y136">
        <f t="shared" si="259"/>
        <v>187.2702283183535</v>
      </c>
      <c r="AA136">
        <v>14</v>
      </c>
      <c r="AB136">
        <f t="shared" si="302"/>
        <v>211.7</v>
      </c>
      <c r="AC136">
        <f t="shared" si="303"/>
        <v>130.78440500157168</v>
      </c>
      <c r="AD136">
        <f t="shared" si="260"/>
        <v>85.585236607466712</v>
      </c>
      <c r="AF136">
        <v>14</v>
      </c>
      <c r="AG136">
        <f t="shared" si="304"/>
        <v>846.8</v>
      </c>
      <c r="AH136">
        <f t="shared" si="305"/>
        <v>523.13762000628674</v>
      </c>
      <c r="AI136" s="18">
        <f t="shared" si="306"/>
        <v>342.34094642986685</v>
      </c>
      <c r="AJ136">
        <v>14</v>
      </c>
      <c r="AK136">
        <f t="shared" si="307"/>
        <v>423.4</v>
      </c>
      <c r="AL136">
        <f t="shared" si="261"/>
        <v>261.56881000314337</v>
      </c>
      <c r="AM136">
        <f t="shared" si="262"/>
        <v>187.2702283183535</v>
      </c>
      <c r="AO136">
        <v>14</v>
      </c>
      <c r="AP136">
        <f t="shared" si="308"/>
        <v>211.7</v>
      </c>
      <c r="AQ136">
        <f t="shared" si="309"/>
        <v>130.78440500157168</v>
      </c>
      <c r="AR136">
        <f t="shared" si="263"/>
        <v>85.585236607466712</v>
      </c>
      <c r="AT136">
        <v>14</v>
      </c>
      <c r="AU136">
        <f t="shared" si="310"/>
        <v>846.8</v>
      </c>
      <c r="AV136">
        <f t="shared" si="311"/>
        <v>523.13762000628674</v>
      </c>
      <c r="AW136" s="18">
        <f t="shared" si="312"/>
        <v>342.34094642986685</v>
      </c>
      <c r="AX136">
        <v>14</v>
      </c>
      <c r="AY136">
        <f t="shared" si="313"/>
        <v>423.4</v>
      </c>
      <c r="AZ136">
        <f t="shared" si="216"/>
        <v>261.56881000314337</v>
      </c>
      <c r="BA136">
        <f t="shared" si="264"/>
        <v>187.2702283183535</v>
      </c>
      <c r="BC136">
        <v>14</v>
      </c>
      <c r="BD136">
        <f t="shared" si="314"/>
        <v>211.7</v>
      </c>
      <c r="BE136">
        <f t="shared" si="265"/>
        <v>130.78440500157168</v>
      </c>
      <c r="BF136">
        <f t="shared" si="217"/>
        <v>85.585236607466712</v>
      </c>
      <c r="BH136">
        <v>14</v>
      </c>
      <c r="BI136">
        <f t="shared" si="315"/>
        <v>846.8</v>
      </c>
      <c r="BJ136">
        <f t="shared" si="266"/>
        <v>523.13762000628674</v>
      </c>
      <c r="BK136" s="18">
        <f t="shared" si="218"/>
        <v>342.34094642986685</v>
      </c>
      <c r="BL136">
        <v>14</v>
      </c>
      <c r="BM136">
        <f t="shared" si="316"/>
        <v>668.19999999999993</v>
      </c>
      <c r="BN136">
        <f t="shared" si="219"/>
        <v>412.80179226287288</v>
      </c>
      <c r="BO136">
        <f t="shared" si="267"/>
        <v>295.54550439849743</v>
      </c>
      <c r="BQ136">
        <v>14</v>
      </c>
      <c r="BR136">
        <f t="shared" si="317"/>
        <v>334.09999999999997</v>
      </c>
      <c r="BS136">
        <f t="shared" si="268"/>
        <v>206.40089613143644</v>
      </c>
      <c r="BT136">
        <f t="shared" si="220"/>
        <v>85.585236607466712</v>
      </c>
      <c r="BV136">
        <v>14</v>
      </c>
      <c r="BW136">
        <f t="shared" si="318"/>
        <v>1336.3999999999999</v>
      </c>
      <c r="BX136">
        <f t="shared" si="269"/>
        <v>825.60358452574576</v>
      </c>
      <c r="BY136" s="18">
        <f t="shared" si="221"/>
        <v>342.34094642986685</v>
      </c>
      <c r="BZ136">
        <v>14</v>
      </c>
      <c r="CA136">
        <f t="shared" si="319"/>
        <v>974.19999999999993</v>
      </c>
      <c r="CB136">
        <f t="shared" si="222"/>
        <v>601.8430200875348</v>
      </c>
      <c r="CC136">
        <f t="shared" si="270"/>
        <v>430.88959949867728</v>
      </c>
      <c r="CE136">
        <v>14</v>
      </c>
      <c r="CF136">
        <f t="shared" si="320"/>
        <v>487.09999999999997</v>
      </c>
      <c r="CG136">
        <f t="shared" si="271"/>
        <v>300.9215100437674</v>
      </c>
      <c r="CH136">
        <f t="shared" si="223"/>
        <v>85.585236607466712</v>
      </c>
      <c r="CJ136">
        <v>14</v>
      </c>
      <c r="CK136">
        <f t="shared" si="321"/>
        <v>1948.3999999999999</v>
      </c>
      <c r="CL136">
        <f t="shared" si="272"/>
        <v>1203.6860401750696</v>
      </c>
      <c r="CM136" s="18">
        <f t="shared" si="224"/>
        <v>342.34094642986685</v>
      </c>
      <c r="CN136">
        <v>14</v>
      </c>
      <c r="CO136">
        <f t="shared" si="322"/>
        <v>1280.1999999999998</v>
      </c>
      <c r="CP136">
        <f t="shared" si="225"/>
        <v>790.88424791219666</v>
      </c>
      <c r="CQ136">
        <f t="shared" si="273"/>
        <v>566.23369459885714</v>
      </c>
      <c r="CS136">
        <v>14</v>
      </c>
      <c r="CT136">
        <f t="shared" si="323"/>
        <v>640.09999999999991</v>
      </c>
      <c r="CU136">
        <f t="shared" si="274"/>
        <v>395.44212395609833</v>
      </c>
      <c r="CV136">
        <f t="shared" si="226"/>
        <v>85.585236607466712</v>
      </c>
      <c r="CX136">
        <v>14</v>
      </c>
      <c r="CY136">
        <f t="shared" si="324"/>
        <v>2560.3999999999996</v>
      </c>
      <c r="CZ136">
        <f t="shared" si="275"/>
        <v>1581.7684958243933</v>
      </c>
      <c r="DA136" s="18">
        <f t="shared" si="227"/>
        <v>342.34094642986685</v>
      </c>
      <c r="DB136">
        <v>14</v>
      </c>
      <c r="DC136">
        <f t="shared" si="325"/>
        <v>1892.1999999999998</v>
      </c>
      <c r="DD136">
        <f t="shared" si="228"/>
        <v>1168.9667035615205</v>
      </c>
      <c r="DE136">
        <f t="shared" si="276"/>
        <v>171.17047321493342</v>
      </c>
      <c r="DG136">
        <v>14</v>
      </c>
      <c r="DH136">
        <f t="shared" si="326"/>
        <v>946.09999999999991</v>
      </c>
      <c r="DI136">
        <f t="shared" si="277"/>
        <v>584.48335178076024</v>
      </c>
      <c r="DJ136">
        <f t="shared" si="229"/>
        <v>85.585236607466712</v>
      </c>
      <c r="DL136">
        <v>14</v>
      </c>
      <c r="DM136">
        <f t="shared" si="327"/>
        <v>3784.3999999999996</v>
      </c>
      <c r="DN136">
        <f t="shared" si="278"/>
        <v>2337.933407123041</v>
      </c>
      <c r="DO136" s="18">
        <f t="shared" si="230"/>
        <v>342.34094642986685</v>
      </c>
      <c r="DP136">
        <v>14</v>
      </c>
      <c r="DQ136">
        <f t="shared" si="328"/>
        <v>2504.1999999999998</v>
      </c>
      <c r="DR136">
        <f t="shared" si="231"/>
        <v>1547.0491592108444</v>
      </c>
      <c r="DS136">
        <f t="shared" si="279"/>
        <v>1107.6100749995769</v>
      </c>
      <c r="DU136">
        <v>14</v>
      </c>
      <c r="DV136">
        <f t="shared" si="329"/>
        <v>1252.0999999999999</v>
      </c>
      <c r="DW136">
        <f t="shared" si="280"/>
        <v>773.52457960542222</v>
      </c>
      <c r="DX136">
        <f t="shared" si="232"/>
        <v>85.585236607466712</v>
      </c>
      <c r="DZ136">
        <v>14</v>
      </c>
      <c r="EA136">
        <f t="shared" si="330"/>
        <v>5008.3999999999996</v>
      </c>
      <c r="EB136">
        <f t="shared" si="281"/>
        <v>3094.0983184216889</v>
      </c>
      <c r="EC136" s="18">
        <f t="shared" si="233"/>
        <v>342.34094642986685</v>
      </c>
      <c r="ED136">
        <v>14</v>
      </c>
      <c r="EE136">
        <f t="shared" si="331"/>
        <v>3728.2</v>
      </c>
      <c r="EF136">
        <f t="shared" si="234"/>
        <v>2303.2140705094921</v>
      </c>
      <c r="EG136">
        <f t="shared" si="282"/>
        <v>1648.9864554002963</v>
      </c>
      <c r="EI136">
        <v>14</v>
      </c>
      <c r="EJ136">
        <f t="shared" si="332"/>
        <v>1864.1</v>
      </c>
      <c r="EK136">
        <f t="shared" si="283"/>
        <v>1151.6070352547461</v>
      </c>
      <c r="EL136">
        <f t="shared" si="235"/>
        <v>85.585236607466712</v>
      </c>
      <c r="EN136">
        <v>14</v>
      </c>
      <c r="EO136">
        <f t="shared" si="333"/>
        <v>7456.4</v>
      </c>
      <c r="EP136">
        <f t="shared" si="284"/>
        <v>4606.4281410189842</v>
      </c>
      <c r="EQ136" s="18">
        <f t="shared" si="236"/>
        <v>342.34094642986685</v>
      </c>
      <c r="ER136">
        <v>14</v>
      </c>
      <c r="ES136">
        <f t="shared" si="334"/>
        <v>4952.1999999999989</v>
      </c>
      <c r="ET136">
        <f t="shared" si="237"/>
        <v>3059.3789818081395</v>
      </c>
      <c r="EU136">
        <f t="shared" si="285"/>
        <v>2190.3628358010155</v>
      </c>
      <c r="EW136">
        <v>14</v>
      </c>
      <c r="EX136">
        <f t="shared" si="335"/>
        <v>2476.0999999999995</v>
      </c>
      <c r="EY136">
        <f t="shared" si="286"/>
        <v>1529.6894909040698</v>
      </c>
      <c r="EZ136">
        <f t="shared" si="238"/>
        <v>85.585236607466712</v>
      </c>
      <c r="FB136">
        <v>14</v>
      </c>
      <c r="FC136">
        <f t="shared" si="336"/>
        <v>9904.3999999999978</v>
      </c>
      <c r="FD136">
        <f t="shared" si="287"/>
        <v>6118.7579636162791</v>
      </c>
      <c r="FE136" s="18">
        <f t="shared" si="239"/>
        <v>342.34094642986685</v>
      </c>
      <c r="FF136">
        <v>14</v>
      </c>
      <c r="FG136">
        <f t="shared" si="337"/>
        <v>6176.1999999999989</v>
      </c>
      <c r="FH136">
        <f t="shared" si="240"/>
        <v>3815.5438931067874</v>
      </c>
      <c r="FI136">
        <f t="shared" si="241"/>
        <v>171.17047321493342</v>
      </c>
      <c r="FK136">
        <v>14</v>
      </c>
      <c r="FL136">
        <f t="shared" si="338"/>
        <v>3088.0999999999995</v>
      </c>
      <c r="FM136">
        <f t="shared" si="288"/>
        <v>1907.7719465533937</v>
      </c>
      <c r="FN136">
        <f t="shared" si="242"/>
        <v>85.585236607466712</v>
      </c>
      <c r="FP136">
        <v>14</v>
      </c>
      <c r="FQ136">
        <f t="shared" si="339"/>
        <v>12352.399999999998</v>
      </c>
      <c r="FR136">
        <f t="shared" si="289"/>
        <v>7631.0877862135749</v>
      </c>
      <c r="FS136" s="18">
        <f t="shared" si="243"/>
        <v>342.34094642986685</v>
      </c>
      <c r="FT136">
        <v>14</v>
      </c>
      <c r="FU136">
        <f t="shared" si="340"/>
        <v>7400.1999999999989</v>
      </c>
      <c r="FV136">
        <f t="shared" si="244"/>
        <v>4571.7088044054353</v>
      </c>
      <c r="FW136">
        <f t="shared" si="245"/>
        <v>171.17047321493342</v>
      </c>
      <c r="FY136">
        <v>14</v>
      </c>
      <c r="FZ136">
        <f t="shared" si="341"/>
        <v>3700.0999999999995</v>
      </c>
      <c r="GA136">
        <f t="shared" si="290"/>
        <v>2285.8544022027177</v>
      </c>
      <c r="GB136">
        <f t="shared" si="246"/>
        <v>85.585236607466712</v>
      </c>
      <c r="GD136">
        <v>14</v>
      </c>
      <c r="GE136">
        <f t="shared" si="342"/>
        <v>14800.399999999998</v>
      </c>
      <c r="GF136">
        <f t="shared" si="291"/>
        <v>9143.4176088108707</v>
      </c>
      <c r="GG136" s="18">
        <f t="shared" si="247"/>
        <v>342.34094642986685</v>
      </c>
      <c r="GH136">
        <v>14</v>
      </c>
      <c r="GI136">
        <f t="shared" si="343"/>
        <v>9848.1999999999989</v>
      </c>
      <c r="GJ136">
        <f t="shared" si="248"/>
        <v>6084.0386270027302</v>
      </c>
      <c r="GK136">
        <f t="shared" si="249"/>
        <v>171.17047321493342</v>
      </c>
      <c r="GM136">
        <v>14</v>
      </c>
      <c r="GN136">
        <f t="shared" si="344"/>
        <v>4924.0999999999995</v>
      </c>
      <c r="GO136">
        <f t="shared" si="292"/>
        <v>3042.0193135013651</v>
      </c>
      <c r="GP136">
        <f t="shared" si="250"/>
        <v>85.585236607466712</v>
      </c>
      <c r="GR136">
        <v>14</v>
      </c>
      <c r="GS136">
        <f t="shared" si="345"/>
        <v>19696.399999999998</v>
      </c>
      <c r="GT136">
        <f t="shared" si="293"/>
        <v>12168.07725400546</v>
      </c>
      <c r="GU136" s="18">
        <f t="shared" si="251"/>
        <v>342.34094642986685</v>
      </c>
      <c r="GV136">
        <v>14</v>
      </c>
      <c r="GW136">
        <f t="shared" si="346"/>
        <v>12296.199999999999</v>
      </c>
      <c r="GX136">
        <f t="shared" si="252"/>
        <v>7596.368449600026</v>
      </c>
      <c r="GY136">
        <f t="shared" si="294"/>
        <v>5438.621118205333</v>
      </c>
      <c r="HA136">
        <v>14</v>
      </c>
      <c r="HB136">
        <f t="shared" si="347"/>
        <v>6148.0999999999995</v>
      </c>
      <c r="HC136">
        <f t="shared" si="295"/>
        <v>3798.184224800013</v>
      </c>
      <c r="HD136">
        <f t="shared" si="253"/>
        <v>85.585236607466712</v>
      </c>
      <c r="HF136">
        <v>14</v>
      </c>
      <c r="HG136">
        <f t="shared" si="348"/>
        <v>24592.399999999998</v>
      </c>
      <c r="HH136">
        <f t="shared" si="296"/>
        <v>15192.736899200052</v>
      </c>
      <c r="HI136" s="18">
        <f t="shared" si="254"/>
        <v>342.34094642986685</v>
      </c>
    </row>
    <row r="137" spans="8:217" x14ac:dyDescent="0.25">
      <c r="H137">
        <v>15</v>
      </c>
      <c r="I137">
        <f t="shared" si="297"/>
        <v>387</v>
      </c>
      <c r="J137">
        <f t="shared" si="255"/>
        <v>230.99666940779952</v>
      </c>
      <c r="K137">
        <f t="shared" si="256"/>
        <v>161.48157850465412</v>
      </c>
      <c r="M137">
        <v>15</v>
      </c>
      <c r="N137">
        <v>193.5</v>
      </c>
      <c r="O137">
        <f t="shared" si="298"/>
        <v>115.49833470389976</v>
      </c>
      <c r="P137">
        <f t="shared" si="257"/>
        <v>80.740789252327062</v>
      </c>
      <c r="R137">
        <v>15</v>
      </c>
      <c r="S137">
        <v>774</v>
      </c>
      <c r="T137">
        <f t="shared" si="299"/>
        <v>461.99333881559903</v>
      </c>
      <c r="U137" s="18">
        <f t="shared" si="300"/>
        <v>322.96315700930825</v>
      </c>
      <c r="V137">
        <v>15</v>
      </c>
      <c r="W137">
        <f t="shared" si="301"/>
        <v>423.4</v>
      </c>
      <c r="X137">
        <f t="shared" si="258"/>
        <v>252.7234879257424</v>
      </c>
      <c r="Y137">
        <f t="shared" si="259"/>
        <v>176.67002671542778</v>
      </c>
      <c r="AA137">
        <v>15</v>
      </c>
      <c r="AB137">
        <f t="shared" si="302"/>
        <v>211.7</v>
      </c>
      <c r="AC137">
        <f t="shared" si="303"/>
        <v>126.3617439628712</v>
      </c>
      <c r="AD137">
        <f t="shared" si="260"/>
        <v>80.740789252327062</v>
      </c>
      <c r="AF137">
        <v>15</v>
      </c>
      <c r="AG137">
        <f t="shared" si="304"/>
        <v>846.8</v>
      </c>
      <c r="AH137">
        <f t="shared" si="305"/>
        <v>505.44697585148481</v>
      </c>
      <c r="AI137" s="18">
        <f t="shared" si="306"/>
        <v>322.96315700930825</v>
      </c>
      <c r="AJ137">
        <v>15</v>
      </c>
      <c r="AK137">
        <f t="shared" si="307"/>
        <v>423.4</v>
      </c>
      <c r="AL137">
        <f t="shared" si="261"/>
        <v>252.7234879257424</v>
      </c>
      <c r="AM137">
        <f t="shared" si="262"/>
        <v>176.67002671542778</v>
      </c>
      <c r="AO137">
        <v>15</v>
      </c>
      <c r="AP137">
        <f t="shared" si="308"/>
        <v>211.7</v>
      </c>
      <c r="AQ137">
        <f t="shared" si="309"/>
        <v>126.3617439628712</v>
      </c>
      <c r="AR137">
        <f t="shared" si="263"/>
        <v>80.740789252327062</v>
      </c>
      <c r="AT137">
        <v>15</v>
      </c>
      <c r="AU137">
        <f t="shared" si="310"/>
        <v>846.8</v>
      </c>
      <c r="AV137">
        <f t="shared" si="311"/>
        <v>505.44697585148481</v>
      </c>
      <c r="AW137" s="18">
        <f t="shared" si="312"/>
        <v>322.96315700930825</v>
      </c>
      <c r="AX137">
        <v>15</v>
      </c>
      <c r="AY137">
        <f t="shared" si="313"/>
        <v>423.4</v>
      </c>
      <c r="AZ137">
        <f t="shared" si="216"/>
        <v>252.7234879257424</v>
      </c>
      <c r="BA137">
        <f t="shared" si="264"/>
        <v>176.67002671542778</v>
      </c>
      <c r="BC137">
        <v>15</v>
      </c>
      <c r="BD137">
        <f t="shared" si="314"/>
        <v>211.7</v>
      </c>
      <c r="BE137">
        <f t="shared" si="265"/>
        <v>126.3617439628712</v>
      </c>
      <c r="BF137">
        <f t="shared" si="217"/>
        <v>80.740789252327062</v>
      </c>
      <c r="BH137">
        <v>15</v>
      </c>
      <c r="BI137">
        <f t="shared" si="315"/>
        <v>846.8</v>
      </c>
      <c r="BJ137">
        <f t="shared" si="266"/>
        <v>505.44697585148481</v>
      </c>
      <c r="BK137" s="18">
        <f t="shared" si="218"/>
        <v>322.96315700930825</v>
      </c>
      <c r="BL137">
        <v>15</v>
      </c>
      <c r="BM137">
        <f t="shared" si="316"/>
        <v>668.19999999999993</v>
      </c>
      <c r="BN137">
        <f t="shared" si="219"/>
        <v>398.84231136509459</v>
      </c>
      <c r="BO137">
        <f t="shared" si="267"/>
        <v>278.81651358348802</v>
      </c>
      <c r="BQ137">
        <v>15</v>
      </c>
      <c r="BR137">
        <f t="shared" si="317"/>
        <v>334.09999999999997</v>
      </c>
      <c r="BS137">
        <f t="shared" si="268"/>
        <v>199.42115568254729</v>
      </c>
      <c r="BT137">
        <f t="shared" si="220"/>
        <v>80.740789252327062</v>
      </c>
      <c r="BV137">
        <v>15</v>
      </c>
      <c r="BW137">
        <f t="shared" si="318"/>
        <v>1336.3999999999999</v>
      </c>
      <c r="BX137">
        <f t="shared" si="269"/>
        <v>797.68462273018918</v>
      </c>
      <c r="BY137" s="18">
        <f t="shared" si="221"/>
        <v>322.96315700930825</v>
      </c>
      <c r="BZ137">
        <v>15</v>
      </c>
      <c r="CA137">
        <f t="shared" si="319"/>
        <v>974.19999999999993</v>
      </c>
      <c r="CB137">
        <f t="shared" si="222"/>
        <v>581.49084066428497</v>
      </c>
      <c r="CC137">
        <f t="shared" si="270"/>
        <v>406.49962216856341</v>
      </c>
      <c r="CE137">
        <v>15</v>
      </c>
      <c r="CF137">
        <f t="shared" si="320"/>
        <v>487.09999999999997</v>
      </c>
      <c r="CG137">
        <f t="shared" si="271"/>
        <v>290.74542033214249</v>
      </c>
      <c r="CH137">
        <f t="shared" si="223"/>
        <v>80.740789252327062</v>
      </c>
      <c r="CJ137">
        <v>15</v>
      </c>
      <c r="CK137">
        <f t="shared" si="321"/>
        <v>1948.3999999999999</v>
      </c>
      <c r="CL137">
        <f t="shared" si="272"/>
        <v>1162.9816813285699</v>
      </c>
      <c r="CM137" s="18">
        <f t="shared" si="224"/>
        <v>322.96315700930825</v>
      </c>
      <c r="CN137">
        <v>15</v>
      </c>
      <c r="CO137">
        <f t="shared" si="322"/>
        <v>1280.1999999999998</v>
      </c>
      <c r="CP137">
        <f t="shared" si="225"/>
        <v>764.13936996347513</v>
      </c>
      <c r="CQ137">
        <f t="shared" si="273"/>
        <v>534.18273075363868</v>
      </c>
      <c r="CS137">
        <v>15</v>
      </c>
      <c r="CT137">
        <f t="shared" si="323"/>
        <v>640.09999999999991</v>
      </c>
      <c r="CU137">
        <f t="shared" si="274"/>
        <v>382.06968498173757</v>
      </c>
      <c r="CV137">
        <f t="shared" si="226"/>
        <v>80.740789252327062</v>
      </c>
      <c r="CX137">
        <v>15</v>
      </c>
      <c r="CY137">
        <f t="shared" si="324"/>
        <v>2560.3999999999996</v>
      </c>
      <c r="CZ137">
        <f t="shared" si="275"/>
        <v>1528.2787399269503</v>
      </c>
      <c r="DA137" s="18">
        <f t="shared" si="227"/>
        <v>322.96315700930825</v>
      </c>
      <c r="DB137">
        <v>15</v>
      </c>
      <c r="DC137">
        <f t="shared" si="325"/>
        <v>1892.1999999999998</v>
      </c>
      <c r="DD137">
        <f t="shared" si="228"/>
        <v>1129.4364285618558</v>
      </c>
      <c r="DE137">
        <f t="shared" si="276"/>
        <v>161.48157850465412</v>
      </c>
      <c r="DG137">
        <v>15</v>
      </c>
      <c r="DH137">
        <f t="shared" si="326"/>
        <v>946.09999999999991</v>
      </c>
      <c r="DI137">
        <f t="shared" si="277"/>
        <v>564.7182142809279</v>
      </c>
      <c r="DJ137">
        <f t="shared" si="229"/>
        <v>80.740789252327062</v>
      </c>
      <c r="DL137">
        <v>15</v>
      </c>
      <c r="DM137">
        <f t="shared" si="327"/>
        <v>3784.3999999999996</v>
      </c>
      <c r="DN137">
        <f t="shared" si="278"/>
        <v>2258.8728571237116</v>
      </c>
      <c r="DO137" s="18">
        <f t="shared" si="230"/>
        <v>322.96315700930825</v>
      </c>
      <c r="DP137">
        <v>15</v>
      </c>
      <c r="DQ137">
        <f t="shared" si="328"/>
        <v>2504.1999999999998</v>
      </c>
      <c r="DR137">
        <f t="shared" si="231"/>
        <v>1494.7334871602363</v>
      </c>
      <c r="DS137">
        <f t="shared" si="279"/>
        <v>1044.91516509394</v>
      </c>
      <c r="DU137">
        <v>15</v>
      </c>
      <c r="DV137">
        <f t="shared" si="329"/>
        <v>1252.0999999999999</v>
      </c>
      <c r="DW137">
        <f t="shared" si="280"/>
        <v>747.36674358011817</v>
      </c>
      <c r="DX137">
        <f t="shared" si="232"/>
        <v>80.740789252327062</v>
      </c>
      <c r="DZ137">
        <v>15</v>
      </c>
      <c r="EA137">
        <f t="shared" si="330"/>
        <v>5008.3999999999996</v>
      </c>
      <c r="EB137">
        <f t="shared" si="281"/>
        <v>2989.4669743204727</v>
      </c>
      <c r="EC137" s="18">
        <f t="shared" si="233"/>
        <v>322.96315700930825</v>
      </c>
      <c r="ED137">
        <v>15</v>
      </c>
      <c r="EE137">
        <f t="shared" si="331"/>
        <v>3728.2</v>
      </c>
      <c r="EF137">
        <f t="shared" si="234"/>
        <v>2225.3276043569977</v>
      </c>
      <c r="EG137">
        <f t="shared" si="282"/>
        <v>1555.6475994342416</v>
      </c>
      <c r="EI137">
        <v>15</v>
      </c>
      <c r="EJ137">
        <f t="shared" si="332"/>
        <v>1864.1</v>
      </c>
      <c r="EK137">
        <f t="shared" si="283"/>
        <v>1112.6638021784988</v>
      </c>
      <c r="EL137">
        <f t="shared" si="235"/>
        <v>80.740789252327062</v>
      </c>
      <c r="EN137">
        <v>15</v>
      </c>
      <c r="EO137">
        <f t="shared" si="333"/>
        <v>7456.4</v>
      </c>
      <c r="EP137">
        <f t="shared" si="284"/>
        <v>4450.6552087139953</v>
      </c>
      <c r="EQ137" s="18">
        <f t="shared" si="236"/>
        <v>322.96315700930825</v>
      </c>
      <c r="ER137">
        <v>15</v>
      </c>
      <c r="ES137">
        <f t="shared" si="334"/>
        <v>4952.1999999999989</v>
      </c>
      <c r="ET137">
        <f t="shared" si="237"/>
        <v>2955.9217215537583</v>
      </c>
      <c r="EU137">
        <f t="shared" si="285"/>
        <v>2066.3800337745424</v>
      </c>
      <c r="EW137">
        <v>15</v>
      </c>
      <c r="EX137">
        <f t="shared" si="335"/>
        <v>2476.0999999999995</v>
      </c>
      <c r="EY137">
        <f t="shared" si="286"/>
        <v>1477.9608607768791</v>
      </c>
      <c r="EZ137">
        <f t="shared" si="238"/>
        <v>80.740789252327062</v>
      </c>
      <c r="FB137">
        <v>15</v>
      </c>
      <c r="FC137">
        <f t="shared" si="336"/>
        <v>9904.3999999999978</v>
      </c>
      <c r="FD137">
        <f t="shared" si="287"/>
        <v>5911.8434431075166</v>
      </c>
      <c r="FE137" s="18">
        <f t="shared" si="239"/>
        <v>322.96315700930825</v>
      </c>
      <c r="FF137">
        <v>15</v>
      </c>
      <c r="FG137">
        <f t="shared" si="337"/>
        <v>6176.1999999999989</v>
      </c>
      <c r="FH137">
        <f t="shared" si="240"/>
        <v>3686.5158387505194</v>
      </c>
      <c r="FI137">
        <f t="shared" si="241"/>
        <v>161.48157850465412</v>
      </c>
      <c r="FK137">
        <v>15</v>
      </c>
      <c r="FL137">
        <f t="shared" si="338"/>
        <v>3088.0999999999995</v>
      </c>
      <c r="FM137">
        <f t="shared" si="288"/>
        <v>1843.2579193752597</v>
      </c>
      <c r="FN137">
        <f t="shared" si="242"/>
        <v>80.740789252327062</v>
      </c>
      <c r="FP137">
        <v>15</v>
      </c>
      <c r="FQ137">
        <f t="shared" si="339"/>
        <v>12352.399999999998</v>
      </c>
      <c r="FR137">
        <f t="shared" si="289"/>
        <v>7373.0316775010388</v>
      </c>
      <c r="FS137" s="18">
        <f t="shared" si="243"/>
        <v>322.96315700930825</v>
      </c>
      <c r="FT137">
        <v>15</v>
      </c>
      <c r="FU137">
        <f t="shared" si="340"/>
        <v>7400.1999999999989</v>
      </c>
      <c r="FV137">
        <f t="shared" si="244"/>
        <v>4417.1099559472805</v>
      </c>
      <c r="FW137">
        <f t="shared" si="245"/>
        <v>161.48157850465412</v>
      </c>
      <c r="FY137">
        <v>15</v>
      </c>
      <c r="FZ137">
        <f t="shared" si="341"/>
        <v>3700.0999999999995</v>
      </c>
      <c r="GA137">
        <f t="shared" si="290"/>
        <v>2208.5549779736402</v>
      </c>
      <c r="GB137">
        <f t="shared" si="246"/>
        <v>80.740789252327062</v>
      </c>
      <c r="GD137">
        <v>15</v>
      </c>
      <c r="GE137">
        <f t="shared" si="342"/>
        <v>14800.399999999998</v>
      </c>
      <c r="GF137">
        <f t="shared" si="291"/>
        <v>8834.2199118945609</v>
      </c>
      <c r="GG137" s="18">
        <f t="shared" si="247"/>
        <v>322.96315700930825</v>
      </c>
      <c r="GH137">
        <v>15</v>
      </c>
      <c r="GI137">
        <f t="shared" si="343"/>
        <v>9848.1999999999989</v>
      </c>
      <c r="GJ137">
        <f t="shared" si="248"/>
        <v>5878.2981903408036</v>
      </c>
      <c r="GK137">
        <f t="shared" si="249"/>
        <v>161.48157850465412</v>
      </c>
      <c r="GM137">
        <v>15</v>
      </c>
      <c r="GN137">
        <f t="shared" si="344"/>
        <v>4924.0999999999995</v>
      </c>
      <c r="GO137">
        <f t="shared" si="292"/>
        <v>2939.1490951704018</v>
      </c>
      <c r="GP137">
        <f t="shared" si="250"/>
        <v>80.740789252327062</v>
      </c>
      <c r="GR137">
        <v>15</v>
      </c>
      <c r="GS137">
        <f t="shared" si="345"/>
        <v>19696.399999999998</v>
      </c>
      <c r="GT137">
        <f t="shared" si="293"/>
        <v>11756.596380681607</v>
      </c>
      <c r="GU137" s="18">
        <f t="shared" si="251"/>
        <v>322.96315700930825</v>
      </c>
      <c r="GV137">
        <v>15</v>
      </c>
      <c r="GW137">
        <f t="shared" si="346"/>
        <v>12296.199999999999</v>
      </c>
      <c r="GX137">
        <f t="shared" si="252"/>
        <v>7339.4864247343257</v>
      </c>
      <c r="GY137">
        <f t="shared" si="294"/>
        <v>5130.7746398163508</v>
      </c>
      <c r="HA137">
        <v>15</v>
      </c>
      <c r="HB137">
        <f t="shared" si="347"/>
        <v>6148.0999999999995</v>
      </c>
      <c r="HC137">
        <f t="shared" si="295"/>
        <v>3669.7432123671629</v>
      </c>
      <c r="HD137">
        <f t="shared" si="253"/>
        <v>80.740789252327062</v>
      </c>
      <c r="HF137">
        <v>15</v>
      </c>
      <c r="HG137">
        <f t="shared" si="348"/>
        <v>24592.399999999998</v>
      </c>
      <c r="HH137">
        <f t="shared" si="296"/>
        <v>14678.972849468651</v>
      </c>
      <c r="HI137" s="18">
        <f t="shared" si="254"/>
        <v>322.96315700930825</v>
      </c>
    </row>
    <row r="138" spans="8:217" x14ac:dyDescent="0.25">
      <c r="H138">
        <v>16</v>
      </c>
      <c r="I138">
        <f t="shared" si="297"/>
        <v>387</v>
      </c>
      <c r="J138">
        <f t="shared" si="255"/>
        <v>223.18518783362276</v>
      </c>
      <c r="K138">
        <f t="shared" si="256"/>
        <v>152.34111179684353</v>
      </c>
      <c r="M138">
        <v>16</v>
      </c>
      <c r="N138">
        <v>193.5</v>
      </c>
      <c r="O138">
        <f t="shared" si="298"/>
        <v>111.59259391681138</v>
      </c>
      <c r="P138">
        <f t="shared" si="257"/>
        <v>76.170555898421767</v>
      </c>
      <c r="R138">
        <v>16</v>
      </c>
      <c r="S138">
        <v>774</v>
      </c>
      <c r="T138">
        <f t="shared" si="299"/>
        <v>446.37037566724553</v>
      </c>
      <c r="U138" s="18">
        <f t="shared" si="300"/>
        <v>304.68222359368707</v>
      </c>
      <c r="V138">
        <v>16</v>
      </c>
      <c r="W138">
        <f t="shared" si="301"/>
        <v>423.4</v>
      </c>
      <c r="X138">
        <f t="shared" si="258"/>
        <v>244.17728302004102</v>
      </c>
      <c r="Y138">
        <f t="shared" si="259"/>
        <v>166.66983652398852</v>
      </c>
      <c r="AA138">
        <v>16</v>
      </c>
      <c r="AB138">
        <f t="shared" si="302"/>
        <v>211.7</v>
      </c>
      <c r="AC138">
        <f t="shared" si="303"/>
        <v>122.08864151002051</v>
      </c>
      <c r="AD138">
        <f t="shared" si="260"/>
        <v>76.170555898421767</v>
      </c>
      <c r="AF138">
        <v>16</v>
      </c>
      <c r="AG138">
        <f t="shared" si="304"/>
        <v>846.8</v>
      </c>
      <c r="AH138">
        <f t="shared" si="305"/>
        <v>488.35456604008203</v>
      </c>
      <c r="AI138" s="18">
        <f t="shared" si="306"/>
        <v>304.68222359368707</v>
      </c>
      <c r="AJ138">
        <v>16</v>
      </c>
      <c r="AK138">
        <f t="shared" si="307"/>
        <v>423.4</v>
      </c>
      <c r="AL138">
        <f t="shared" si="261"/>
        <v>244.17728302004102</v>
      </c>
      <c r="AM138">
        <f t="shared" si="262"/>
        <v>166.66983652398852</v>
      </c>
      <c r="AO138">
        <v>16</v>
      </c>
      <c r="AP138">
        <f t="shared" si="308"/>
        <v>211.7</v>
      </c>
      <c r="AQ138">
        <f t="shared" si="309"/>
        <v>122.08864151002051</v>
      </c>
      <c r="AR138">
        <f t="shared" si="263"/>
        <v>76.170555898421767</v>
      </c>
      <c r="AT138">
        <v>16</v>
      </c>
      <c r="AU138">
        <f t="shared" si="310"/>
        <v>846.8</v>
      </c>
      <c r="AV138">
        <f t="shared" si="311"/>
        <v>488.35456604008203</v>
      </c>
      <c r="AW138" s="18">
        <f t="shared" si="312"/>
        <v>304.68222359368707</v>
      </c>
      <c r="AX138">
        <v>16</v>
      </c>
      <c r="AY138">
        <f t="shared" si="313"/>
        <v>423.4</v>
      </c>
      <c r="AZ138">
        <f t="shared" si="216"/>
        <v>244.17728302004102</v>
      </c>
      <c r="BA138">
        <f t="shared" si="264"/>
        <v>166.66983652398852</v>
      </c>
      <c r="BC138">
        <v>16</v>
      </c>
      <c r="BD138">
        <f t="shared" si="314"/>
        <v>211.7</v>
      </c>
      <c r="BE138">
        <f t="shared" si="265"/>
        <v>122.08864151002051</v>
      </c>
      <c r="BF138">
        <f t="shared" si="217"/>
        <v>76.170555898421767</v>
      </c>
      <c r="BH138">
        <v>16</v>
      </c>
      <c r="BI138">
        <f t="shared" si="315"/>
        <v>846.8</v>
      </c>
      <c r="BJ138">
        <f t="shared" si="266"/>
        <v>488.35456604008203</v>
      </c>
      <c r="BK138" s="18">
        <f t="shared" si="218"/>
        <v>304.68222359368707</v>
      </c>
      <c r="BL138">
        <v>16</v>
      </c>
      <c r="BM138">
        <f t="shared" si="316"/>
        <v>668.19999999999993</v>
      </c>
      <c r="BN138">
        <f t="shared" si="219"/>
        <v>385.35489020782097</v>
      </c>
      <c r="BO138">
        <f t="shared" si="267"/>
        <v>263.0344467768756</v>
      </c>
      <c r="BQ138">
        <v>16</v>
      </c>
      <c r="BR138">
        <f t="shared" si="317"/>
        <v>334.09999999999997</v>
      </c>
      <c r="BS138">
        <f t="shared" si="268"/>
        <v>192.67744510391049</v>
      </c>
      <c r="BT138">
        <f t="shared" si="220"/>
        <v>76.170555898421767</v>
      </c>
      <c r="BV138">
        <v>16</v>
      </c>
      <c r="BW138">
        <f t="shared" si="318"/>
        <v>1336.3999999999999</v>
      </c>
      <c r="BX138">
        <f t="shared" si="269"/>
        <v>770.70978041564194</v>
      </c>
      <c r="BY138" s="18">
        <f t="shared" si="221"/>
        <v>304.68222359368707</v>
      </c>
      <c r="BZ138">
        <v>16</v>
      </c>
      <c r="CA138">
        <f t="shared" si="319"/>
        <v>974.19999999999993</v>
      </c>
      <c r="CB138">
        <f t="shared" si="222"/>
        <v>561.82689919254597</v>
      </c>
      <c r="CC138">
        <f t="shared" si="270"/>
        <v>383.4902095929844</v>
      </c>
      <c r="CE138">
        <v>16</v>
      </c>
      <c r="CF138">
        <f t="shared" si="320"/>
        <v>487.09999999999997</v>
      </c>
      <c r="CG138">
        <f t="shared" si="271"/>
        <v>280.91344959627298</v>
      </c>
      <c r="CH138">
        <f t="shared" si="223"/>
        <v>76.170555898421767</v>
      </c>
      <c r="CJ138">
        <v>16</v>
      </c>
      <c r="CK138">
        <f t="shared" si="321"/>
        <v>1948.3999999999999</v>
      </c>
      <c r="CL138">
        <f t="shared" si="272"/>
        <v>1123.6537983850919</v>
      </c>
      <c r="CM138" s="18">
        <f t="shared" si="224"/>
        <v>304.68222359368707</v>
      </c>
      <c r="CN138">
        <v>16</v>
      </c>
      <c r="CO138">
        <f t="shared" si="322"/>
        <v>1280.1999999999998</v>
      </c>
      <c r="CP138">
        <f t="shared" si="225"/>
        <v>738.29890817727085</v>
      </c>
      <c r="CQ138">
        <f t="shared" si="273"/>
        <v>503.9459724090932</v>
      </c>
      <c r="CS138">
        <v>16</v>
      </c>
      <c r="CT138">
        <f t="shared" si="323"/>
        <v>640.09999999999991</v>
      </c>
      <c r="CU138">
        <f t="shared" si="274"/>
        <v>369.14945408863542</v>
      </c>
      <c r="CV138">
        <f t="shared" si="226"/>
        <v>76.170555898421767</v>
      </c>
      <c r="CX138">
        <v>16</v>
      </c>
      <c r="CY138">
        <f t="shared" si="324"/>
        <v>2560.3999999999996</v>
      </c>
      <c r="CZ138">
        <f t="shared" si="275"/>
        <v>1476.5978163545417</v>
      </c>
      <c r="DA138" s="18">
        <f t="shared" si="227"/>
        <v>304.68222359368707</v>
      </c>
      <c r="DB138">
        <v>16</v>
      </c>
      <c r="DC138">
        <f t="shared" si="325"/>
        <v>1892.1999999999998</v>
      </c>
      <c r="DD138">
        <f t="shared" si="228"/>
        <v>1091.2429261467207</v>
      </c>
      <c r="DE138">
        <f t="shared" si="276"/>
        <v>152.34111179684353</v>
      </c>
      <c r="DG138">
        <v>16</v>
      </c>
      <c r="DH138">
        <f t="shared" si="326"/>
        <v>946.09999999999991</v>
      </c>
      <c r="DI138">
        <f t="shared" si="277"/>
        <v>545.62146307336036</v>
      </c>
      <c r="DJ138">
        <f t="shared" si="229"/>
        <v>76.170555898421767</v>
      </c>
      <c r="DL138">
        <v>16</v>
      </c>
      <c r="DM138">
        <f t="shared" si="327"/>
        <v>3784.3999999999996</v>
      </c>
      <c r="DN138">
        <f t="shared" si="278"/>
        <v>2182.4858522934414</v>
      </c>
      <c r="DO138" s="18">
        <f t="shared" si="230"/>
        <v>304.68222359368707</v>
      </c>
      <c r="DP138">
        <v>16</v>
      </c>
      <c r="DQ138">
        <f t="shared" si="328"/>
        <v>2504.1999999999998</v>
      </c>
      <c r="DR138">
        <f t="shared" si="231"/>
        <v>1444.1869441161707</v>
      </c>
      <c r="DS138">
        <f t="shared" si="279"/>
        <v>985.76902367352864</v>
      </c>
      <c r="DU138">
        <v>16</v>
      </c>
      <c r="DV138">
        <f t="shared" si="329"/>
        <v>1252.0999999999999</v>
      </c>
      <c r="DW138">
        <f t="shared" si="280"/>
        <v>722.09347205808535</v>
      </c>
      <c r="DX138">
        <f t="shared" si="232"/>
        <v>76.170555898421767</v>
      </c>
      <c r="DZ138">
        <v>16</v>
      </c>
      <c r="EA138">
        <f t="shared" si="330"/>
        <v>5008.3999999999996</v>
      </c>
      <c r="EB138">
        <f t="shared" si="281"/>
        <v>2888.3738882323414</v>
      </c>
      <c r="EC138" s="18">
        <f t="shared" si="233"/>
        <v>304.68222359368707</v>
      </c>
      <c r="ED138">
        <v>16</v>
      </c>
      <c r="EE138">
        <f t="shared" si="331"/>
        <v>3728.2</v>
      </c>
      <c r="EF138">
        <f t="shared" si="234"/>
        <v>2150.0749800550707</v>
      </c>
      <c r="EG138">
        <f t="shared" si="282"/>
        <v>1467.5920749379641</v>
      </c>
      <c r="EI138">
        <v>16</v>
      </c>
      <c r="EJ138">
        <f t="shared" si="332"/>
        <v>1864.1</v>
      </c>
      <c r="EK138">
        <f t="shared" si="283"/>
        <v>1075.0374900275353</v>
      </c>
      <c r="EL138">
        <f t="shared" si="235"/>
        <v>76.170555898421767</v>
      </c>
      <c r="EN138">
        <v>16</v>
      </c>
      <c r="EO138">
        <f t="shared" si="333"/>
        <v>7456.4</v>
      </c>
      <c r="EP138">
        <f t="shared" si="284"/>
        <v>4300.1499601101414</v>
      </c>
      <c r="EQ138" s="18">
        <f t="shared" si="236"/>
        <v>304.68222359368707</v>
      </c>
      <c r="ER138">
        <v>16</v>
      </c>
      <c r="ES138">
        <f t="shared" si="334"/>
        <v>4952.1999999999989</v>
      </c>
      <c r="ET138">
        <f t="shared" si="237"/>
        <v>2855.9630159939702</v>
      </c>
      <c r="EU138">
        <f t="shared" si="285"/>
        <v>1949.4151262023991</v>
      </c>
      <c r="EW138">
        <v>16</v>
      </c>
      <c r="EX138">
        <f t="shared" si="335"/>
        <v>2476.0999999999995</v>
      </c>
      <c r="EY138">
        <f t="shared" si="286"/>
        <v>1427.9815079969851</v>
      </c>
      <c r="EZ138">
        <f t="shared" si="238"/>
        <v>76.170555898421767</v>
      </c>
      <c r="FB138">
        <v>16</v>
      </c>
      <c r="FC138">
        <f t="shared" si="336"/>
        <v>9904.3999999999978</v>
      </c>
      <c r="FD138">
        <f t="shared" si="287"/>
        <v>5711.9260319879404</v>
      </c>
      <c r="FE138" s="18">
        <f t="shared" si="239"/>
        <v>304.68222359368707</v>
      </c>
      <c r="FF138">
        <v>16</v>
      </c>
      <c r="FG138">
        <f t="shared" si="337"/>
        <v>6176.1999999999989</v>
      </c>
      <c r="FH138">
        <f t="shared" si="240"/>
        <v>3561.8510519328697</v>
      </c>
      <c r="FI138">
        <f t="shared" si="241"/>
        <v>152.34111179684353</v>
      </c>
      <c r="FK138">
        <v>16</v>
      </c>
      <c r="FL138">
        <f t="shared" si="338"/>
        <v>3088.0999999999995</v>
      </c>
      <c r="FM138">
        <f t="shared" si="288"/>
        <v>1780.9255259664349</v>
      </c>
      <c r="FN138">
        <f t="shared" si="242"/>
        <v>76.170555898421767</v>
      </c>
      <c r="FP138">
        <v>16</v>
      </c>
      <c r="FQ138">
        <f t="shared" si="339"/>
        <v>12352.399999999998</v>
      </c>
      <c r="FR138">
        <f t="shared" si="289"/>
        <v>7123.7021038657394</v>
      </c>
      <c r="FS138" s="18">
        <f t="shared" si="243"/>
        <v>304.68222359368707</v>
      </c>
      <c r="FT138">
        <v>16</v>
      </c>
      <c r="FU138">
        <f t="shared" si="340"/>
        <v>7400.1999999999989</v>
      </c>
      <c r="FV138">
        <f t="shared" si="244"/>
        <v>4267.7390878717697</v>
      </c>
      <c r="FW138">
        <f t="shared" si="245"/>
        <v>152.34111179684353</v>
      </c>
      <c r="FY138">
        <v>16</v>
      </c>
      <c r="FZ138">
        <f t="shared" si="341"/>
        <v>3700.0999999999995</v>
      </c>
      <c r="GA138">
        <f t="shared" si="290"/>
        <v>2133.8695439358848</v>
      </c>
      <c r="GB138">
        <f t="shared" si="246"/>
        <v>76.170555898421767</v>
      </c>
      <c r="GD138">
        <v>16</v>
      </c>
      <c r="GE138">
        <f t="shared" si="342"/>
        <v>14800.399999999998</v>
      </c>
      <c r="GF138">
        <f t="shared" si="291"/>
        <v>8535.4781757435394</v>
      </c>
      <c r="GG138" s="18">
        <f t="shared" si="247"/>
        <v>304.68222359368707</v>
      </c>
      <c r="GH138">
        <v>16</v>
      </c>
      <c r="GI138">
        <f t="shared" si="343"/>
        <v>9848.1999999999989</v>
      </c>
      <c r="GJ138">
        <f t="shared" si="248"/>
        <v>5679.5151597495696</v>
      </c>
      <c r="GK138">
        <f t="shared" si="249"/>
        <v>152.34111179684353</v>
      </c>
      <c r="GM138">
        <v>16</v>
      </c>
      <c r="GN138">
        <f t="shared" si="344"/>
        <v>4924.0999999999995</v>
      </c>
      <c r="GO138">
        <f t="shared" si="292"/>
        <v>2839.7575798747848</v>
      </c>
      <c r="GP138">
        <f t="shared" si="250"/>
        <v>76.170555898421767</v>
      </c>
      <c r="GR138">
        <v>16</v>
      </c>
      <c r="GS138">
        <f t="shared" si="345"/>
        <v>19696.399999999998</v>
      </c>
      <c r="GT138">
        <f t="shared" si="293"/>
        <v>11359.030319499139</v>
      </c>
      <c r="GU138" s="18">
        <f t="shared" si="251"/>
        <v>304.68222359368707</v>
      </c>
      <c r="GV138">
        <v>16</v>
      </c>
      <c r="GW138">
        <f t="shared" si="346"/>
        <v>12296.199999999999</v>
      </c>
      <c r="GX138">
        <f t="shared" si="252"/>
        <v>7091.2912316273696</v>
      </c>
      <c r="GY138">
        <f t="shared" si="294"/>
        <v>4840.3534337890114</v>
      </c>
      <c r="HA138">
        <v>16</v>
      </c>
      <c r="HB138">
        <f t="shared" si="347"/>
        <v>6148.0999999999995</v>
      </c>
      <c r="HC138">
        <f t="shared" si="295"/>
        <v>3545.6456158136848</v>
      </c>
      <c r="HD138">
        <f t="shared" si="253"/>
        <v>76.170555898421767</v>
      </c>
      <c r="HF138">
        <v>16</v>
      </c>
      <c r="HG138">
        <f t="shared" si="348"/>
        <v>24592.399999999998</v>
      </c>
      <c r="HH138">
        <f t="shared" si="296"/>
        <v>14182.582463254739</v>
      </c>
      <c r="HI138" s="18">
        <f t="shared" si="254"/>
        <v>304.68222359368707</v>
      </c>
    </row>
    <row r="139" spans="8:217" x14ac:dyDescent="0.25">
      <c r="H139">
        <v>17</v>
      </c>
      <c r="I139">
        <f t="shared" si="297"/>
        <v>387</v>
      </c>
      <c r="J139">
        <f t="shared" si="255"/>
        <v>215.63786264118141</v>
      </c>
      <c r="K139">
        <f t="shared" si="256"/>
        <v>143.7180299970222</v>
      </c>
      <c r="M139">
        <v>17</v>
      </c>
      <c r="N139">
        <v>193.5</v>
      </c>
      <c r="O139">
        <f t="shared" si="298"/>
        <v>107.81893132059071</v>
      </c>
      <c r="P139">
        <f t="shared" si="257"/>
        <v>71.8590149985111</v>
      </c>
      <c r="R139">
        <v>17</v>
      </c>
      <c r="S139">
        <v>774</v>
      </c>
      <c r="T139">
        <f t="shared" si="299"/>
        <v>431.27572528236283</v>
      </c>
      <c r="U139" s="18">
        <f t="shared" si="300"/>
        <v>287.4360599940444</v>
      </c>
      <c r="V139">
        <v>17</v>
      </c>
      <c r="W139">
        <f t="shared" si="301"/>
        <v>423.4</v>
      </c>
      <c r="X139">
        <f t="shared" si="258"/>
        <v>235.92008021260003</v>
      </c>
      <c r="Y139">
        <f t="shared" si="259"/>
        <v>157.23569483395141</v>
      </c>
      <c r="AA139">
        <v>17</v>
      </c>
      <c r="AB139">
        <f t="shared" si="302"/>
        <v>211.7</v>
      </c>
      <c r="AC139">
        <f t="shared" si="303"/>
        <v>117.96004010630001</v>
      </c>
      <c r="AD139">
        <f t="shared" si="260"/>
        <v>71.8590149985111</v>
      </c>
      <c r="AF139">
        <v>17</v>
      </c>
      <c r="AG139">
        <f t="shared" si="304"/>
        <v>846.8</v>
      </c>
      <c r="AH139">
        <f t="shared" si="305"/>
        <v>471.84016042520005</v>
      </c>
      <c r="AI139" s="18">
        <f t="shared" si="306"/>
        <v>287.4360599940444</v>
      </c>
      <c r="AJ139">
        <v>17</v>
      </c>
      <c r="AK139">
        <f t="shared" si="307"/>
        <v>423.4</v>
      </c>
      <c r="AL139">
        <f t="shared" si="261"/>
        <v>235.92008021260003</v>
      </c>
      <c r="AM139">
        <f t="shared" si="262"/>
        <v>157.23569483395141</v>
      </c>
      <c r="AO139">
        <v>17</v>
      </c>
      <c r="AP139">
        <f t="shared" si="308"/>
        <v>211.7</v>
      </c>
      <c r="AQ139">
        <f t="shared" si="309"/>
        <v>117.96004010630001</v>
      </c>
      <c r="AR139">
        <f t="shared" si="263"/>
        <v>71.8590149985111</v>
      </c>
      <c r="AT139">
        <v>17</v>
      </c>
      <c r="AU139">
        <f t="shared" si="310"/>
        <v>846.8</v>
      </c>
      <c r="AV139">
        <f t="shared" si="311"/>
        <v>471.84016042520005</v>
      </c>
      <c r="AW139" s="18">
        <f t="shared" si="312"/>
        <v>287.4360599940444</v>
      </c>
      <c r="AX139">
        <v>17</v>
      </c>
      <c r="AY139">
        <f t="shared" si="313"/>
        <v>423.4</v>
      </c>
      <c r="AZ139">
        <f t="shared" si="216"/>
        <v>235.92008021260003</v>
      </c>
      <c r="BA139">
        <f t="shared" si="264"/>
        <v>157.23569483395141</v>
      </c>
      <c r="BC139">
        <v>17</v>
      </c>
      <c r="BD139">
        <f t="shared" si="314"/>
        <v>211.7</v>
      </c>
      <c r="BE139">
        <f t="shared" si="265"/>
        <v>117.96004010630001</v>
      </c>
      <c r="BF139">
        <f t="shared" si="217"/>
        <v>71.8590149985111</v>
      </c>
      <c r="BH139">
        <v>17</v>
      </c>
      <c r="BI139">
        <f t="shared" si="315"/>
        <v>846.8</v>
      </c>
      <c r="BJ139">
        <f t="shared" si="266"/>
        <v>471.84016042520005</v>
      </c>
      <c r="BK139" s="18">
        <f t="shared" si="218"/>
        <v>287.4360599940444</v>
      </c>
      <c r="BL139">
        <v>17</v>
      </c>
      <c r="BM139">
        <f t="shared" si="316"/>
        <v>668.19999999999993</v>
      </c>
      <c r="BN139">
        <f t="shared" si="219"/>
        <v>372.3235654181845</v>
      </c>
      <c r="BO139">
        <f t="shared" si="267"/>
        <v>248.14570450648637</v>
      </c>
      <c r="BQ139">
        <v>17</v>
      </c>
      <c r="BR139">
        <f t="shared" si="317"/>
        <v>334.09999999999997</v>
      </c>
      <c r="BS139">
        <f t="shared" si="268"/>
        <v>186.16178270909225</v>
      </c>
      <c r="BT139">
        <f t="shared" si="220"/>
        <v>71.8590149985111</v>
      </c>
      <c r="BV139">
        <v>17</v>
      </c>
      <c r="BW139">
        <f t="shared" si="318"/>
        <v>1336.3999999999999</v>
      </c>
      <c r="BX139">
        <f t="shared" si="269"/>
        <v>744.647130836369</v>
      </c>
      <c r="BY139" s="18">
        <f t="shared" si="221"/>
        <v>287.4360599940444</v>
      </c>
      <c r="BZ139">
        <v>17</v>
      </c>
      <c r="CA139">
        <f t="shared" si="319"/>
        <v>974.19999999999993</v>
      </c>
      <c r="CB139">
        <f t="shared" si="222"/>
        <v>542.82792192516513</v>
      </c>
      <c r="CC139">
        <f t="shared" si="270"/>
        <v>361.7832165971551</v>
      </c>
      <c r="CE139">
        <v>17</v>
      </c>
      <c r="CF139">
        <f t="shared" si="320"/>
        <v>487.09999999999997</v>
      </c>
      <c r="CG139">
        <f t="shared" si="271"/>
        <v>271.41396096258256</v>
      </c>
      <c r="CH139">
        <f t="shared" si="223"/>
        <v>71.8590149985111</v>
      </c>
      <c r="CJ139">
        <v>17</v>
      </c>
      <c r="CK139">
        <f t="shared" si="321"/>
        <v>1948.3999999999999</v>
      </c>
      <c r="CL139">
        <f t="shared" si="272"/>
        <v>1085.6558438503303</v>
      </c>
      <c r="CM139" s="18">
        <f t="shared" si="224"/>
        <v>287.4360599940444</v>
      </c>
      <c r="CN139">
        <v>17</v>
      </c>
      <c r="CO139">
        <f t="shared" si="322"/>
        <v>1280.1999999999998</v>
      </c>
      <c r="CP139">
        <f t="shared" si="225"/>
        <v>713.33227843214581</v>
      </c>
      <c r="CQ139">
        <f t="shared" si="273"/>
        <v>475.42072868782373</v>
      </c>
      <c r="CS139">
        <v>17</v>
      </c>
      <c r="CT139">
        <f t="shared" si="323"/>
        <v>640.09999999999991</v>
      </c>
      <c r="CU139">
        <f t="shared" si="274"/>
        <v>356.66613921607291</v>
      </c>
      <c r="CV139">
        <f t="shared" si="226"/>
        <v>71.8590149985111</v>
      </c>
      <c r="CX139">
        <v>17</v>
      </c>
      <c r="CY139">
        <f t="shared" si="324"/>
        <v>2560.3999999999996</v>
      </c>
      <c r="CZ139">
        <f t="shared" si="275"/>
        <v>1426.6645568642916</v>
      </c>
      <c r="DA139" s="18">
        <f t="shared" si="227"/>
        <v>287.4360599940444</v>
      </c>
      <c r="DB139">
        <v>17</v>
      </c>
      <c r="DC139">
        <f t="shared" si="325"/>
        <v>1892.1999999999998</v>
      </c>
      <c r="DD139">
        <f t="shared" si="228"/>
        <v>1054.3409914461072</v>
      </c>
      <c r="DE139">
        <f t="shared" si="276"/>
        <v>143.7180299970222</v>
      </c>
      <c r="DG139">
        <v>17</v>
      </c>
      <c r="DH139">
        <f t="shared" si="326"/>
        <v>946.09999999999991</v>
      </c>
      <c r="DI139">
        <f t="shared" si="277"/>
        <v>527.17049572305359</v>
      </c>
      <c r="DJ139">
        <f t="shared" si="229"/>
        <v>71.8590149985111</v>
      </c>
      <c r="DL139">
        <v>17</v>
      </c>
      <c r="DM139">
        <f t="shared" si="327"/>
        <v>3784.3999999999996</v>
      </c>
      <c r="DN139">
        <f t="shared" si="278"/>
        <v>2108.6819828922144</v>
      </c>
      <c r="DO139" s="18">
        <f t="shared" si="230"/>
        <v>287.4360599940444</v>
      </c>
      <c r="DP139">
        <v>17</v>
      </c>
      <c r="DQ139">
        <f t="shared" si="328"/>
        <v>2504.1999999999998</v>
      </c>
      <c r="DR139">
        <f t="shared" si="231"/>
        <v>1395.3497044600683</v>
      </c>
      <c r="DS139">
        <f t="shared" si="279"/>
        <v>929.97077705049855</v>
      </c>
      <c r="DU139">
        <v>17</v>
      </c>
      <c r="DV139">
        <f t="shared" si="329"/>
        <v>1252.0999999999999</v>
      </c>
      <c r="DW139">
        <f t="shared" si="280"/>
        <v>697.67485223003416</v>
      </c>
      <c r="DX139">
        <f t="shared" si="232"/>
        <v>71.8590149985111</v>
      </c>
      <c r="DZ139">
        <v>17</v>
      </c>
      <c r="EA139">
        <f t="shared" si="330"/>
        <v>5008.3999999999996</v>
      </c>
      <c r="EB139">
        <f t="shared" si="281"/>
        <v>2790.6994089201366</v>
      </c>
      <c r="EC139" s="18">
        <f t="shared" si="233"/>
        <v>287.4360599940444</v>
      </c>
      <c r="ED139">
        <v>17</v>
      </c>
      <c r="EE139">
        <f t="shared" si="331"/>
        <v>3728.2</v>
      </c>
      <c r="EF139">
        <f t="shared" si="234"/>
        <v>2077.3671304879908</v>
      </c>
      <c r="EG139">
        <f t="shared" si="282"/>
        <v>1384.5208254131735</v>
      </c>
      <c r="EI139">
        <v>17</v>
      </c>
      <c r="EJ139">
        <f t="shared" si="332"/>
        <v>1864.1</v>
      </c>
      <c r="EK139">
        <f t="shared" si="283"/>
        <v>1038.6835652439954</v>
      </c>
      <c r="EL139">
        <f t="shared" si="235"/>
        <v>71.8590149985111</v>
      </c>
      <c r="EN139">
        <v>17</v>
      </c>
      <c r="EO139">
        <f t="shared" si="333"/>
        <v>7456.4</v>
      </c>
      <c r="EP139">
        <f t="shared" si="284"/>
        <v>4154.7342609759817</v>
      </c>
      <c r="EQ139" s="18">
        <f t="shared" si="236"/>
        <v>287.4360599940444</v>
      </c>
      <c r="ER139">
        <v>17</v>
      </c>
      <c r="ES139">
        <f t="shared" si="334"/>
        <v>4952.1999999999989</v>
      </c>
      <c r="ET139">
        <f t="shared" si="237"/>
        <v>2759.3845565159131</v>
      </c>
      <c r="EU139">
        <f t="shared" si="285"/>
        <v>1839.070873775848</v>
      </c>
      <c r="EW139">
        <v>17</v>
      </c>
      <c r="EX139">
        <f t="shared" si="335"/>
        <v>2476.0999999999995</v>
      </c>
      <c r="EY139">
        <f t="shared" si="286"/>
        <v>1379.6922782579566</v>
      </c>
      <c r="EZ139">
        <f t="shared" si="238"/>
        <v>71.8590149985111</v>
      </c>
      <c r="FB139">
        <v>17</v>
      </c>
      <c r="FC139">
        <f t="shared" si="336"/>
        <v>9904.3999999999978</v>
      </c>
      <c r="FD139">
        <f t="shared" si="287"/>
        <v>5518.7691130318262</v>
      </c>
      <c r="FE139" s="18">
        <f t="shared" si="239"/>
        <v>287.4360599940444</v>
      </c>
      <c r="FF139">
        <v>17</v>
      </c>
      <c r="FG139">
        <f t="shared" si="337"/>
        <v>6176.1999999999989</v>
      </c>
      <c r="FH139">
        <f t="shared" si="240"/>
        <v>3441.4019825438359</v>
      </c>
      <c r="FI139">
        <f t="shared" si="241"/>
        <v>143.7180299970222</v>
      </c>
      <c r="FK139">
        <v>17</v>
      </c>
      <c r="FL139">
        <f t="shared" si="338"/>
        <v>3088.0999999999995</v>
      </c>
      <c r="FM139">
        <f t="shared" si="288"/>
        <v>1720.7009912719179</v>
      </c>
      <c r="FN139">
        <f t="shared" si="242"/>
        <v>71.8590149985111</v>
      </c>
      <c r="FP139">
        <v>17</v>
      </c>
      <c r="FQ139">
        <f t="shared" si="339"/>
        <v>12352.399999999998</v>
      </c>
      <c r="FR139">
        <f t="shared" si="289"/>
        <v>6882.8039650876717</v>
      </c>
      <c r="FS139" s="18">
        <f t="shared" si="243"/>
        <v>287.4360599940444</v>
      </c>
      <c r="FT139">
        <v>17</v>
      </c>
      <c r="FU139">
        <f t="shared" si="340"/>
        <v>7400.1999999999989</v>
      </c>
      <c r="FV139">
        <f t="shared" si="244"/>
        <v>4123.4194085717581</v>
      </c>
      <c r="FW139">
        <f t="shared" si="245"/>
        <v>143.7180299970222</v>
      </c>
      <c r="FY139">
        <v>17</v>
      </c>
      <c r="FZ139">
        <f t="shared" si="341"/>
        <v>3700.0999999999995</v>
      </c>
      <c r="GA139">
        <f t="shared" si="290"/>
        <v>2061.7097042858791</v>
      </c>
      <c r="GB139">
        <f t="shared" si="246"/>
        <v>71.8590149985111</v>
      </c>
      <c r="GD139">
        <v>17</v>
      </c>
      <c r="GE139">
        <f t="shared" si="342"/>
        <v>14800.399999999998</v>
      </c>
      <c r="GF139">
        <f t="shared" si="291"/>
        <v>8246.8388171435163</v>
      </c>
      <c r="GG139" s="18">
        <f t="shared" si="247"/>
        <v>287.4360599940444</v>
      </c>
      <c r="GH139">
        <v>17</v>
      </c>
      <c r="GI139">
        <f t="shared" si="343"/>
        <v>9848.1999999999989</v>
      </c>
      <c r="GJ139">
        <f t="shared" si="248"/>
        <v>5487.4542606276036</v>
      </c>
      <c r="GK139">
        <f t="shared" si="249"/>
        <v>143.7180299970222</v>
      </c>
      <c r="GM139">
        <v>17</v>
      </c>
      <c r="GN139">
        <f t="shared" si="344"/>
        <v>4924.0999999999995</v>
      </c>
      <c r="GO139">
        <f t="shared" si="292"/>
        <v>2743.7271303138018</v>
      </c>
      <c r="GP139">
        <f t="shared" si="250"/>
        <v>71.8590149985111</v>
      </c>
      <c r="GR139">
        <v>17</v>
      </c>
      <c r="GS139">
        <f t="shared" si="345"/>
        <v>19696.399999999998</v>
      </c>
      <c r="GT139">
        <f t="shared" si="293"/>
        <v>10974.908521255207</v>
      </c>
      <c r="GU139" s="18">
        <f t="shared" si="251"/>
        <v>287.4360599940444</v>
      </c>
      <c r="GV139">
        <v>17</v>
      </c>
      <c r="GW139">
        <f t="shared" si="346"/>
        <v>12296.199999999999</v>
      </c>
      <c r="GX139">
        <f t="shared" si="252"/>
        <v>6851.4891126834491</v>
      </c>
      <c r="GY139">
        <f t="shared" si="294"/>
        <v>4566.371163951897</v>
      </c>
      <c r="HA139">
        <v>17</v>
      </c>
      <c r="HB139">
        <f t="shared" si="347"/>
        <v>6148.0999999999995</v>
      </c>
      <c r="HC139">
        <f t="shared" si="295"/>
        <v>3425.7445563417245</v>
      </c>
      <c r="HD139">
        <f t="shared" si="253"/>
        <v>71.8590149985111</v>
      </c>
      <c r="HF139">
        <v>17</v>
      </c>
      <c r="HG139">
        <f t="shared" si="348"/>
        <v>24592.399999999998</v>
      </c>
      <c r="HH139">
        <f t="shared" si="296"/>
        <v>13702.978225366898</v>
      </c>
      <c r="HI139" s="18">
        <f t="shared" si="254"/>
        <v>287.4360599940444</v>
      </c>
    </row>
    <row r="140" spans="8:217" x14ac:dyDescent="0.25">
      <c r="H140">
        <v>18</v>
      </c>
      <c r="I140">
        <f t="shared" si="297"/>
        <v>387</v>
      </c>
      <c r="J140">
        <f t="shared" si="255"/>
        <v>208.34576100597241</v>
      </c>
      <c r="K140">
        <f t="shared" si="256"/>
        <v>135.58304716700206</v>
      </c>
      <c r="M140">
        <v>18</v>
      </c>
      <c r="N140">
        <v>193.5</v>
      </c>
      <c r="O140">
        <f t="shared" si="298"/>
        <v>104.1728805029862</v>
      </c>
      <c r="P140">
        <f t="shared" si="257"/>
        <v>67.791523583501032</v>
      </c>
      <c r="R140">
        <v>18</v>
      </c>
      <c r="S140">
        <v>774</v>
      </c>
      <c r="T140">
        <f t="shared" si="299"/>
        <v>416.69152201194481</v>
      </c>
      <c r="U140" s="18">
        <f t="shared" si="300"/>
        <v>271.16609433400413</v>
      </c>
      <c r="V140">
        <v>18</v>
      </c>
      <c r="W140">
        <f t="shared" si="301"/>
        <v>423.4</v>
      </c>
      <c r="X140">
        <f t="shared" si="258"/>
        <v>227.94210648560392</v>
      </c>
      <c r="Y140">
        <f t="shared" si="259"/>
        <v>148.33556116410512</v>
      </c>
      <c r="AA140">
        <v>18</v>
      </c>
      <c r="AB140">
        <f t="shared" si="302"/>
        <v>211.7</v>
      </c>
      <c r="AC140">
        <f t="shared" si="303"/>
        <v>113.97105324280196</v>
      </c>
      <c r="AD140">
        <f t="shared" si="260"/>
        <v>67.791523583501032</v>
      </c>
      <c r="AF140">
        <v>18</v>
      </c>
      <c r="AG140">
        <f t="shared" si="304"/>
        <v>846.8</v>
      </c>
      <c r="AH140">
        <f t="shared" si="305"/>
        <v>455.88421297120783</v>
      </c>
      <c r="AI140" s="18">
        <f t="shared" si="306"/>
        <v>271.16609433400413</v>
      </c>
      <c r="AJ140">
        <v>18</v>
      </c>
      <c r="AK140">
        <f t="shared" si="307"/>
        <v>423.4</v>
      </c>
      <c r="AL140">
        <f t="shared" si="261"/>
        <v>227.94210648560392</v>
      </c>
      <c r="AM140">
        <f t="shared" si="262"/>
        <v>148.33556116410512</v>
      </c>
      <c r="AO140">
        <v>18</v>
      </c>
      <c r="AP140">
        <f t="shared" si="308"/>
        <v>211.7</v>
      </c>
      <c r="AQ140">
        <f t="shared" si="309"/>
        <v>113.97105324280196</v>
      </c>
      <c r="AR140">
        <f t="shared" si="263"/>
        <v>67.791523583501032</v>
      </c>
      <c r="AT140">
        <v>18</v>
      </c>
      <c r="AU140">
        <f t="shared" si="310"/>
        <v>846.8</v>
      </c>
      <c r="AV140">
        <f t="shared" si="311"/>
        <v>455.88421297120783</v>
      </c>
      <c r="AW140" s="18">
        <f t="shared" si="312"/>
        <v>271.16609433400413</v>
      </c>
      <c r="AX140">
        <v>18</v>
      </c>
      <c r="AY140">
        <f t="shared" si="313"/>
        <v>423.4</v>
      </c>
      <c r="AZ140">
        <f t="shared" si="216"/>
        <v>227.94210648560392</v>
      </c>
      <c r="BA140">
        <f t="shared" si="264"/>
        <v>148.33556116410512</v>
      </c>
      <c r="BC140">
        <v>18</v>
      </c>
      <c r="BD140">
        <f t="shared" si="314"/>
        <v>211.7</v>
      </c>
      <c r="BE140">
        <f t="shared" si="265"/>
        <v>113.97105324280196</v>
      </c>
      <c r="BF140">
        <f t="shared" si="217"/>
        <v>67.791523583501032</v>
      </c>
      <c r="BH140">
        <v>18</v>
      </c>
      <c r="BI140">
        <f t="shared" si="315"/>
        <v>846.8</v>
      </c>
      <c r="BJ140">
        <f t="shared" si="266"/>
        <v>455.88421297120783</v>
      </c>
      <c r="BK140" s="18">
        <f t="shared" si="218"/>
        <v>271.16609433400413</v>
      </c>
      <c r="BL140">
        <v>18</v>
      </c>
      <c r="BM140">
        <f t="shared" si="316"/>
        <v>668.19999999999993</v>
      </c>
      <c r="BN140">
        <f t="shared" si="219"/>
        <v>359.7329134475213</v>
      </c>
      <c r="BO140">
        <f t="shared" si="267"/>
        <v>234.09972123253431</v>
      </c>
      <c r="BQ140">
        <v>18</v>
      </c>
      <c r="BR140">
        <f t="shared" si="317"/>
        <v>334.09999999999997</v>
      </c>
      <c r="BS140">
        <f t="shared" si="268"/>
        <v>179.86645672376065</v>
      </c>
      <c r="BT140">
        <f t="shared" si="220"/>
        <v>67.791523583501032</v>
      </c>
      <c r="BV140">
        <v>18</v>
      </c>
      <c r="BW140">
        <f t="shared" si="318"/>
        <v>1336.3999999999999</v>
      </c>
      <c r="BX140">
        <f t="shared" si="269"/>
        <v>719.4658268950426</v>
      </c>
      <c r="BY140" s="18">
        <f t="shared" si="221"/>
        <v>271.16609433400413</v>
      </c>
      <c r="BZ140">
        <v>18</v>
      </c>
      <c r="CA140">
        <f t="shared" si="319"/>
        <v>974.19999999999993</v>
      </c>
      <c r="CB140">
        <f t="shared" si="222"/>
        <v>524.47142214991811</v>
      </c>
      <c r="CC140">
        <f t="shared" si="270"/>
        <v>341.30492131807085</v>
      </c>
      <c r="CE140">
        <v>18</v>
      </c>
      <c r="CF140">
        <f t="shared" si="320"/>
        <v>487.09999999999997</v>
      </c>
      <c r="CG140">
        <f t="shared" si="271"/>
        <v>262.23571107495906</v>
      </c>
      <c r="CH140">
        <f t="shared" si="223"/>
        <v>67.791523583501032</v>
      </c>
      <c r="CJ140">
        <v>18</v>
      </c>
      <c r="CK140">
        <f t="shared" si="321"/>
        <v>1948.3999999999999</v>
      </c>
      <c r="CL140">
        <f t="shared" si="272"/>
        <v>1048.9428442998362</v>
      </c>
      <c r="CM140" s="18">
        <f t="shared" si="224"/>
        <v>271.16609433400413</v>
      </c>
      <c r="CN140">
        <v>18</v>
      </c>
      <c r="CO140">
        <f t="shared" si="322"/>
        <v>1280.1999999999998</v>
      </c>
      <c r="CP140">
        <f t="shared" si="225"/>
        <v>689.20993085231476</v>
      </c>
      <c r="CQ140">
        <f t="shared" si="273"/>
        <v>448.51012140360729</v>
      </c>
      <c r="CS140">
        <v>18</v>
      </c>
      <c r="CT140">
        <f t="shared" si="323"/>
        <v>640.09999999999991</v>
      </c>
      <c r="CU140">
        <f t="shared" si="274"/>
        <v>344.60496542615738</v>
      </c>
      <c r="CV140">
        <f t="shared" si="226"/>
        <v>67.791523583501032</v>
      </c>
      <c r="CX140">
        <v>18</v>
      </c>
      <c r="CY140">
        <f t="shared" si="324"/>
        <v>2560.3999999999996</v>
      </c>
      <c r="CZ140">
        <f t="shared" si="275"/>
        <v>1378.4198617046295</v>
      </c>
      <c r="DA140" s="18">
        <f t="shared" si="227"/>
        <v>271.16609433400413</v>
      </c>
      <c r="DB140">
        <v>18</v>
      </c>
      <c r="DC140">
        <f t="shared" si="325"/>
        <v>1892.1999999999998</v>
      </c>
      <c r="DD140">
        <f t="shared" si="228"/>
        <v>1018.6869482571084</v>
      </c>
      <c r="DE140">
        <f t="shared" si="276"/>
        <v>135.58304716700206</v>
      </c>
      <c r="DG140">
        <v>18</v>
      </c>
      <c r="DH140">
        <f t="shared" si="326"/>
        <v>946.09999999999991</v>
      </c>
      <c r="DI140">
        <f t="shared" si="277"/>
        <v>509.34347412855419</v>
      </c>
      <c r="DJ140">
        <f t="shared" si="229"/>
        <v>67.791523583501032</v>
      </c>
      <c r="DL140">
        <v>18</v>
      </c>
      <c r="DM140">
        <f t="shared" si="327"/>
        <v>3784.3999999999996</v>
      </c>
      <c r="DN140">
        <f t="shared" si="278"/>
        <v>2037.3738965142168</v>
      </c>
      <c r="DO140" s="18">
        <f t="shared" si="230"/>
        <v>271.16609433400413</v>
      </c>
      <c r="DP140">
        <v>18</v>
      </c>
      <c r="DQ140">
        <f t="shared" si="328"/>
        <v>2504.1999999999998</v>
      </c>
      <c r="DR140">
        <f t="shared" si="231"/>
        <v>1348.163965661902</v>
      </c>
      <c r="DS140">
        <f t="shared" si="279"/>
        <v>877.33092174575336</v>
      </c>
      <c r="DU140">
        <v>18</v>
      </c>
      <c r="DV140">
        <f t="shared" si="329"/>
        <v>1252.0999999999999</v>
      </c>
      <c r="DW140">
        <f t="shared" si="280"/>
        <v>674.08198283095101</v>
      </c>
      <c r="DX140">
        <f t="shared" si="232"/>
        <v>67.791523583501032</v>
      </c>
      <c r="DZ140">
        <v>18</v>
      </c>
      <c r="EA140">
        <f t="shared" si="330"/>
        <v>5008.3999999999996</v>
      </c>
      <c r="EB140">
        <f t="shared" si="281"/>
        <v>2696.327931323804</v>
      </c>
      <c r="EC140" s="18">
        <f t="shared" si="233"/>
        <v>271.16609433400413</v>
      </c>
      <c r="ED140">
        <v>18</v>
      </c>
      <c r="EE140">
        <f t="shared" si="331"/>
        <v>3728.2</v>
      </c>
      <c r="EF140">
        <f t="shared" si="234"/>
        <v>2007.118000471489</v>
      </c>
      <c r="EG140">
        <f t="shared" si="282"/>
        <v>1306.1517220878995</v>
      </c>
      <c r="EI140">
        <v>18</v>
      </c>
      <c r="EJ140">
        <f t="shared" si="332"/>
        <v>1864.1</v>
      </c>
      <c r="EK140">
        <f t="shared" si="283"/>
        <v>1003.5590002357445</v>
      </c>
      <c r="EL140">
        <f t="shared" si="235"/>
        <v>67.791523583501032</v>
      </c>
      <c r="EN140">
        <v>18</v>
      </c>
      <c r="EO140">
        <f t="shared" si="333"/>
        <v>7456.4</v>
      </c>
      <c r="EP140">
        <f t="shared" si="284"/>
        <v>4014.2360009429781</v>
      </c>
      <c r="EQ140" s="18">
        <f t="shared" si="236"/>
        <v>271.16609433400413</v>
      </c>
      <c r="ER140">
        <v>18</v>
      </c>
      <c r="ES140">
        <f t="shared" si="334"/>
        <v>4952.1999999999989</v>
      </c>
      <c r="ET140">
        <f t="shared" si="237"/>
        <v>2666.0720352810758</v>
      </c>
      <c r="EU140">
        <f t="shared" si="285"/>
        <v>1734.9725224300453</v>
      </c>
      <c r="EW140">
        <v>18</v>
      </c>
      <c r="EX140">
        <f t="shared" si="335"/>
        <v>2476.0999999999995</v>
      </c>
      <c r="EY140">
        <f t="shared" si="286"/>
        <v>1333.0360176405379</v>
      </c>
      <c r="EZ140">
        <f t="shared" si="238"/>
        <v>67.791523583501032</v>
      </c>
      <c r="FB140">
        <v>18</v>
      </c>
      <c r="FC140">
        <f t="shared" si="336"/>
        <v>9904.3999999999978</v>
      </c>
      <c r="FD140">
        <f t="shared" si="287"/>
        <v>5332.1440705621517</v>
      </c>
      <c r="FE140" s="18">
        <f t="shared" si="239"/>
        <v>271.16609433400413</v>
      </c>
      <c r="FF140">
        <v>18</v>
      </c>
      <c r="FG140">
        <f t="shared" si="337"/>
        <v>6176.1999999999989</v>
      </c>
      <c r="FH140">
        <f t="shared" si="240"/>
        <v>3325.0260700906629</v>
      </c>
      <c r="FI140">
        <f t="shared" si="241"/>
        <v>135.58304716700206</v>
      </c>
      <c r="FK140">
        <v>18</v>
      </c>
      <c r="FL140">
        <f t="shared" si="338"/>
        <v>3088.0999999999995</v>
      </c>
      <c r="FM140">
        <f t="shared" si="288"/>
        <v>1662.5130350453314</v>
      </c>
      <c r="FN140">
        <f t="shared" si="242"/>
        <v>67.791523583501032</v>
      </c>
      <c r="FP140">
        <v>18</v>
      </c>
      <c r="FQ140">
        <f t="shared" si="339"/>
        <v>12352.399999999998</v>
      </c>
      <c r="FR140">
        <f t="shared" si="289"/>
        <v>6650.0521401813257</v>
      </c>
      <c r="FS140" s="18">
        <f t="shared" si="243"/>
        <v>271.16609433400413</v>
      </c>
      <c r="FT140">
        <v>18</v>
      </c>
      <c r="FU140">
        <f t="shared" si="340"/>
        <v>7400.1999999999989</v>
      </c>
      <c r="FV140">
        <f t="shared" si="244"/>
        <v>3983.9801049002499</v>
      </c>
      <c r="FW140">
        <f t="shared" si="245"/>
        <v>135.58304716700206</v>
      </c>
      <c r="FY140">
        <v>18</v>
      </c>
      <c r="FZ140">
        <f t="shared" si="341"/>
        <v>3700.0999999999995</v>
      </c>
      <c r="GA140">
        <f t="shared" si="290"/>
        <v>1991.9900524501249</v>
      </c>
      <c r="GB140">
        <f t="shared" si="246"/>
        <v>67.791523583501032</v>
      </c>
      <c r="GD140">
        <v>18</v>
      </c>
      <c r="GE140">
        <f t="shared" si="342"/>
        <v>14800.399999999998</v>
      </c>
      <c r="GF140">
        <f t="shared" si="291"/>
        <v>7967.9602098004998</v>
      </c>
      <c r="GG140" s="18">
        <f t="shared" si="247"/>
        <v>271.16609433400413</v>
      </c>
      <c r="GH140">
        <v>18</v>
      </c>
      <c r="GI140">
        <f t="shared" si="343"/>
        <v>9848.1999999999989</v>
      </c>
      <c r="GJ140">
        <f t="shared" si="248"/>
        <v>5301.888174519424</v>
      </c>
      <c r="GK140">
        <f t="shared" si="249"/>
        <v>135.58304716700206</v>
      </c>
      <c r="GM140">
        <v>18</v>
      </c>
      <c r="GN140">
        <f t="shared" si="344"/>
        <v>4924.0999999999995</v>
      </c>
      <c r="GO140">
        <f t="shared" si="292"/>
        <v>2650.944087259712</v>
      </c>
      <c r="GP140">
        <f t="shared" si="250"/>
        <v>67.791523583501032</v>
      </c>
      <c r="GR140">
        <v>18</v>
      </c>
      <c r="GS140">
        <f t="shared" si="345"/>
        <v>19696.399999999998</v>
      </c>
      <c r="GT140">
        <f t="shared" si="293"/>
        <v>10603.776349038848</v>
      </c>
      <c r="GU140" s="18">
        <f t="shared" si="251"/>
        <v>271.16609433400413</v>
      </c>
      <c r="GV140">
        <v>18</v>
      </c>
      <c r="GW140">
        <f t="shared" si="346"/>
        <v>12296.199999999999</v>
      </c>
      <c r="GX140">
        <f t="shared" si="252"/>
        <v>6619.7962441385989</v>
      </c>
      <c r="GY140">
        <f t="shared" si="294"/>
        <v>4307.8973244829222</v>
      </c>
      <c r="HA140">
        <v>18</v>
      </c>
      <c r="HB140">
        <f t="shared" si="347"/>
        <v>6148.0999999999995</v>
      </c>
      <c r="HC140">
        <f t="shared" si="295"/>
        <v>3309.8981220692995</v>
      </c>
      <c r="HD140">
        <f t="shared" si="253"/>
        <v>67.791523583501032</v>
      </c>
      <c r="HF140">
        <v>18</v>
      </c>
      <c r="HG140">
        <f t="shared" si="348"/>
        <v>24592.399999999998</v>
      </c>
      <c r="HH140">
        <f t="shared" si="296"/>
        <v>13239.592488277198</v>
      </c>
      <c r="HI140" s="18">
        <f t="shared" si="254"/>
        <v>271.16609433400413</v>
      </c>
    </row>
    <row r="141" spans="8:217" x14ac:dyDescent="0.25">
      <c r="H141">
        <v>19</v>
      </c>
      <c r="I141">
        <f t="shared" si="297"/>
        <v>387</v>
      </c>
      <c r="J141">
        <f t="shared" si="255"/>
        <v>201.3002521796835</v>
      </c>
      <c r="K141">
        <f t="shared" si="256"/>
        <v>127.90853506320948</v>
      </c>
      <c r="M141">
        <v>19</v>
      </c>
      <c r="N141">
        <v>193.5</v>
      </c>
      <c r="O141">
        <f t="shared" si="298"/>
        <v>100.65012608984175</v>
      </c>
      <c r="P141">
        <f t="shared" si="257"/>
        <v>63.954267531604742</v>
      </c>
      <c r="R141">
        <v>19</v>
      </c>
      <c r="S141">
        <v>774</v>
      </c>
      <c r="T141">
        <f t="shared" si="299"/>
        <v>402.60050435936699</v>
      </c>
      <c r="U141" s="18">
        <f t="shared" si="300"/>
        <v>255.81707012641897</v>
      </c>
      <c r="V141">
        <v>19</v>
      </c>
      <c r="W141">
        <f t="shared" si="301"/>
        <v>423.4</v>
      </c>
      <c r="X141">
        <f t="shared" si="258"/>
        <v>220.23391930976226</v>
      </c>
      <c r="Y141">
        <f t="shared" si="259"/>
        <v>139.93920864538217</v>
      </c>
      <c r="AA141">
        <v>19</v>
      </c>
      <c r="AB141">
        <f t="shared" si="302"/>
        <v>211.7</v>
      </c>
      <c r="AC141">
        <f t="shared" si="303"/>
        <v>110.11695965488113</v>
      </c>
      <c r="AD141">
        <f t="shared" si="260"/>
        <v>63.954267531604742</v>
      </c>
      <c r="AF141">
        <v>19</v>
      </c>
      <c r="AG141">
        <f t="shared" si="304"/>
        <v>846.8</v>
      </c>
      <c r="AH141">
        <f t="shared" si="305"/>
        <v>440.46783861952451</v>
      </c>
      <c r="AI141" s="18">
        <f t="shared" si="306"/>
        <v>255.81707012641897</v>
      </c>
      <c r="AJ141">
        <v>19</v>
      </c>
      <c r="AK141">
        <f t="shared" si="307"/>
        <v>423.4</v>
      </c>
      <c r="AL141">
        <f t="shared" si="261"/>
        <v>220.23391930976226</v>
      </c>
      <c r="AM141">
        <f t="shared" si="262"/>
        <v>139.93920864538217</v>
      </c>
      <c r="AO141">
        <v>19</v>
      </c>
      <c r="AP141">
        <f t="shared" si="308"/>
        <v>211.7</v>
      </c>
      <c r="AQ141">
        <f t="shared" si="309"/>
        <v>110.11695965488113</v>
      </c>
      <c r="AR141">
        <f t="shared" si="263"/>
        <v>63.954267531604742</v>
      </c>
      <c r="AT141">
        <v>19</v>
      </c>
      <c r="AU141">
        <f t="shared" si="310"/>
        <v>846.8</v>
      </c>
      <c r="AV141">
        <f t="shared" si="311"/>
        <v>440.46783861952451</v>
      </c>
      <c r="AW141" s="18">
        <f t="shared" si="312"/>
        <v>255.81707012641897</v>
      </c>
      <c r="AX141">
        <v>19</v>
      </c>
      <c r="AY141">
        <f t="shared" si="313"/>
        <v>423.4</v>
      </c>
      <c r="AZ141">
        <f t="shared" si="216"/>
        <v>220.23391930976226</v>
      </c>
      <c r="BA141">
        <f t="shared" si="264"/>
        <v>139.93920864538217</v>
      </c>
      <c r="BC141">
        <v>19</v>
      </c>
      <c r="BD141">
        <f t="shared" si="314"/>
        <v>211.7</v>
      </c>
      <c r="BE141">
        <f t="shared" si="265"/>
        <v>110.11695965488113</v>
      </c>
      <c r="BF141">
        <f t="shared" si="217"/>
        <v>63.954267531604742</v>
      </c>
      <c r="BH141">
        <v>19</v>
      </c>
      <c r="BI141">
        <f t="shared" si="315"/>
        <v>846.8</v>
      </c>
      <c r="BJ141">
        <f t="shared" si="266"/>
        <v>440.46783861952451</v>
      </c>
      <c r="BK141" s="18">
        <f t="shared" si="218"/>
        <v>255.81707012641897</v>
      </c>
      <c r="BL141">
        <v>19</v>
      </c>
      <c r="BM141">
        <f t="shared" si="316"/>
        <v>668.19999999999993</v>
      </c>
      <c r="BN141">
        <f t="shared" si="219"/>
        <v>347.56803231644574</v>
      </c>
      <c r="BO141">
        <f t="shared" si="267"/>
        <v>220.84879361559837</v>
      </c>
      <c r="BQ141">
        <v>19</v>
      </c>
      <c r="BR141">
        <f t="shared" si="317"/>
        <v>334.09999999999997</v>
      </c>
      <c r="BS141">
        <f t="shared" si="268"/>
        <v>173.78401615822287</v>
      </c>
      <c r="BT141">
        <f t="shared" si="220"/>
        <v>63.954267531604742</v>
      </c>
      <c r="BV141">
        <v>19</v>
      </c>
      <c r="BW141">
        <f t="shared" si="318"/>
        <v>1336.3999999999999</v>
      </c>
      <c r="BX141">
        <f t="shared" si="269"/>
        <v>695.13606463289148</v>
      </c>
      <c r="BY141" s="18">
        <f t="shared" si="221"/>
        <v>255.81707012641897</v>
      </c>
      <c r="BZ141">
        <v>19</v>
      </c>
      <c r="CA141">
        <f t="shared" si="319"/>
        <v>974.19999999999993</v>
      </c>
      <c r="CB141">
        <f t="shared" si="222"/>
        <v>506.73567357480016</v>
      </c>
      <c r="CC141">
        <f t="shared" si="270"/>
        <v>321.98577482836868</v>
      </c>
      <c r="CE141">
        <v>19</v>
      </c>
      <c r="CF141">
        <f t="shared" si="320"/>
        <v>487.09999999999997</v>
      </c>
      <c r="CG141">
        <f t="shared" si="271"/>
        <v>253.36783678740008</v>
      </c>
      <c r="CH141">
        <f t="shared" si="223"/>
        <v>63.954267531604742</v>
      </c>
      <c r="CJ141">
        <v>19</v>
      </c>
      <c r="CK141">
        <f t="shared" si="321"/>
        <v>1948.3999999999999</v>
      </c>
      <c r="CL141">
        <f t="shared" si="272"/>
        <v>1013.4713471496003</v>
      </c>
      <c r="CM141" s="18">
        <f t="shared" si="224"/>
        <v>255.81707012641897</v>
      </c>
      <c r="CN141">
        <v>19</v>
      </c>
      <c r="CO141">
        <f t="shared" si="322"/>
        <v>1280.1999999999998</v>
      </c>
      <c r="CP141">
        <f t="shared" si="225"/>
        <v>665.90331483315447</v>
      </c>
      <c r="CQ141">
        <f t="shared" si="273"/>
        <v>423.12275604113893</v>
      </c>
      <c r="CS141">
        <v>19</v>
      </c>
      <c r="CT141">
        <f t="shared" si="323"/>
        <v>640.09999999999991</v>
      </c>
      <c r="CU141">
        <f t="shared" si="274"/>
        <v>332.95165741657723</v>
      </c>
      <c r="CV141">
        <f t="shared" si="226"/>
        <v>63.954267531604742</v>
      </c>
      <c r="CX141">
        <v>19</v>
      </c>
      <c r="CY141">
        <f t="shared" si="324"/>
        <v>2560.3999999999996</v>
      </c>
      <c r="CZ141">
        <f t="shared" si="275"/>
        <v>1331.8066296663089</v>
      </c>
      <c r="DA141" s="18">
        <f t="shared" si="227"/>
        <v>255.81707012641897</v>
      </c>
      <c r="DB141">
        <v>19</v>
      </c>
      <c r="DC141">
        <f t="shared" si="325"/>
        <v>1892.1999999999998</v>
      </c>
      <c r="DD141">
        <f t="shared" si="228"/>
        <v>984.23859734986331</v>
      </c>
      <c r="DE141">
        <f t="shared" si="276"/>
        <v>127.90853506320948</v>
      </c>
      <c r="DG141">
        <v>19</v>
      </c>
      <c r="DH141">
        <f t="shared" si="326"/>
        <v>946.09999999999991</v>
      </c>
      <c r="DI141">
        <f t="shared" si="277"/>
        <v>492.11929867493166</v>
      </c>
      <c r="DJ141">
        <f t="shared" si="229"/>
        <v>63.954267531604742</v>
      </c>
      <c r="DL141">
        <v>19</v>
      </c>
      <c r="DM141">
        <f t="shared" si="327"/>
        <v>3784.3999999999996</v>
      </c>
      <c r="DN141">
        <f t="shared" si="278"/>
        <v>1968.4771946997266</v>
      </c>
      <c r="DO141" s="18">
        <f t="shared" si="230"/>
        <v>255.81707012641897</v>
      </c>
      <c r="DP141">
        <v>19</v>
      </c>
      <c r="DQ141">
        <f t="shared" si="328"/>
        <v>2504.1999999999998</v>
      </c>
      <c r="DR141">
        <f t="shared" si="231"/>
        <v>1302.573879866572</v>
      </c>
      <c r="DS141">
        <f t="shared" si="279"/>
        <v>827.67068089222005</v>
      </c>
      <c r="DU141">
        <v>19</v>
      </c>
      <c r="DV141">
        <f t="shared" si="329"/>
        <v>1252.0999999999999</v>
      </c>
      <c r="DW141">
        <f t="shared" si="280"/>
        <v>651.28693993328602</v>
      </c>
      <c r="DX141">
        <f t="shared" si="232"/>
        <v>63.954267531604742</v>
      </c>
      <c r="DZ141">
        <v>19</v>
      </c>
      <c r="EA141">
        <f t="shared" si="330"/>
        <v>5008.3999999999996</v>
      </c>
      <c r="EB141">
        <f t="shared" si="281"/>
        <v>2605.1477597331441</v>
      </c>
      <c r="EC141" s="18">
        <f t="shared" si="233"/>
        <v>255.81707012641897</v>
      </c>
      <c r="ED141">
        <v>19</v>
      </c>
      <c r="EE141">
        <f t="shared" si="331"/>
        <v>3728.2</v>
      </c>
      <c r="EF141">
        <f t="shared" si="234"/>
        <v>1939.2444448999897</v>
      </c>
      <c r="EG141">
        <f t="shared" si="282"/>
        <v>1232.2186057433012</v>
      </c>
      <c r="EI141">
        <v>19</v>
      </c>
      <c r="EJ141">
        <f t="shared" si="332"/>
        <v>1864.1</v>
      </c>
      <c r="EK141">
        <f t="shared" si="283"/>
        <v>969.62222244999487</v>
      </c>
      <c r="EL141">
        <f t="shared" si="235"/>
        <v>63.954267531604742</v>
      </c>
      <c r="EN141">
        <v>19</v>
      </c>
      <c r="EO141">
        <f t="shared" si="333"/>
        <v>7456.4</v>
      </c>
      <c r="EP141">
        <f t="shared" si="284"/>
        <v>3878.4888897999795</v>
      </c>
      <c r="EQ141" s="18">
        <f t="shared" si="236"/>
        <v>255.81707012641897</v>
      </c>
      <c r="ER141">
        <v>19</v>
      </c>
      <c r="ES141">
        <f t="shared" si="334"/>
        <v>4952.1999999999989</v>
      </c>
      <c r="ET141">
        <f t="shared" si="237"/>
        <v>2575.915009933407</v>
      </c>
      <c r="EU141">
        <f t="shared" si="285"/>
        <v>1636.7665305943822</v>
      </c>
      <c r="EW141">
        <v>19</v>
      </c>
      <c r="EX141">
        <f t="shared" si="335"/>
        <v>2476.0999999999995</v>
      </c>
      <c r="EY141">
        <f t="shared" si="286"/>
        <v>1287.9575049667035</v>
      </c>
      <c r="EZ141">
        <f t="shared" si="238"/>
        <v>63.954267531604742</v>
      </c>
      <c r="FB141">
        <v>19</v>
      </c>
      <c r="FC141">
        <f t="shared" si="336"/>
        <v>9904.3999999999978</v>
      </c>
      <c r="FD141">
        <f t="shared" si="287"/>
        <v>5151.8300198668139</v>
      </c>
      <c r="FE141" s="18">
        <f t="shared" si="239"/>
        <v>255.81707012641897</v>
      </c>
      <c r="FF141">
        <v>19</v>
      </c>
      <c r="FG141">
        <f t="shared" si="337"/>
        <v>6176.1999999999989</v>
      </c>
      <c r="FH141">
        <f t="shared" si="240"/>
        <v>3212.5855749668244</v>
      </c>
      <c r="FI141">
        <f t="shared" si="241"/>
        <v>127.90853506320948</v>
      </c>
      <c r="FK141">
        <v>19</v>
      </c>
      <c r="FL141">
        <f t="shared" si="338"/>
        <v>3088.0999999999995</v>
      </c>
      <c r="FM141">
        <f t="shared" si="288"/>
        <v>1606.2927874834122</v>
      </c>
      <c r="FN141">
        <f t="shared" si="242"/>
        <v>63.954267531604742</v>
      </c>
      <c r="FP141">
        <v>19</v>
      </c>
      <c r="FQ141">
        <f t="shared" si="339"/>
        <v>12352.399999999998</v>
      </c>
      <c r="FR141">
        <f t="shared" si="289"/>
        <v>6425.1711499336488</v>
      </c>
      <c r="FS141" s="18">
        <f t="shared" si="243"/>
        <v>255.81707012641897</v>
      </c>
      <c r="FT141">
        <v>19</v>
      </c>
      <c r="FU141">
        <f t="shared" si="340"/>
        <v>7400.1999999999989</v>
      </c>
      <c r="FV141">
        <f t="shared" si="244"/>
        <v>3849.2561400002419</v>
      </c>
      <c r="FW141">
        <f t="shared" si="245"/>
        <v>127.90853506320948</v>
      </c>
      <c r="FY141">
        <v>19</v>
      </c>
      <c r="FZ141">
        <f t="shared" si="341"/>
        <v>3700.0999999999995</v>
      </c>
      <c r="GA141">
        <f t="shared" si="290"/>
        <v>1924.6280700001209</v>
      </c>
      <c r="GB141">
        <f t="shared" si="246"/>
        <v>63.954267531604742</v>
      </c>
      <c r="GD141">
        <v>19</v>
      </c>
      <c r="GE141">
        <f t="shared" si="342"/>
        <v>14800.399999999998</v>
      </c>
      <c r="GF141">
        <f t="shared" si="291"/>
        <v>7698.5122800004838</v>
      </c>
      <c r="GG141" s="18">
        <f t="shared" si="247"/>
        <v>255.81707012641897</v>
      </c>
      <c r="GH141">
        <v>19</v>
      </c>
      <c r="GI141">
        <f t="shared" si="343"/>
        <v>9848.1999999999989</v>
      </c>
      <c r="GJ141">
        <f t="shared" si="248"/>
        <v>5122.5972700670773</v>
      </c>
      <c r="GK141">
        <f t="shared" si="249"/>
        <v>127.90853506320948</v>
      </c>
      <c r="GM141">
        <v>19</v>
      </c>
      <c r="GN141">
        <f t="shared" si="344"/>
        <v>4924.0999999999995</v>
      </c>
      <c r="GO141">
        <f t="shared" si="292"/>
        <v>2561.2986350335386</v>
      </c>
      <c r="GP141">
        <f t="shared" si="250"/>
        <v>63.954267531604742</v>
      </c>
      <c r="GR141">
        <v>19</v>
      </c>
      <c r="GS141">
        <f t="shared" si="345"/>
        <v>19696.399999999998</v>
      </c>
      <c r="GT141">
        <f t="shared" si="293"/>
        <v>10245.194540134155</v>
      </c>
      <c r="GU141" s="18">
        <f t="shared" si="251"/>
        <v>255.81707012641897</v>
      </c>
      <c r="GV141">
        <v>19</v>
      </c>
      <c r="GW141">
        <f t="shared" si="346"/>
        <v>12296.199999999999</v>
      </c>
      <c r="GX141">
        <f t="shared" si="252"/>
        <v>6395.9384001339122</v>
      </c>
      <c r="GY141">
        <f t="shared" si="294"/>
        <v>4064.0540797008694</v>
      </c>
      <c r="HA141">
        <v>19</v>
      </c>
      <c r="HB141">
        <f t="shared" si="347"/>
        <v>6148.0999999999995</v>
      </c>
      <c r="HC141">
        <f t="shared" si="295"/>
        <v>3197.9692000669561</v>
      </c>
      <c r="HD141">
        <f t="shared" si="253"/>
        <v>63.954267531604742</v>
      </c>
      <c r="HF141">
        <v>19</v>
      </c>
      <c r="HG141">
        <f t="shared" si="348"/>
        <v>24592.399999999998</v>
      </c>
      <c r="HH141">
        <f t="shared" si="296"/>
        <v>12791.876800267824</v>
      </c>
      <c r="HI141" s="18">
        <f t="shared" si="254"/>
        <v>255.81707012641897</v>
      </c>
    </row>
    <row r="142" spans="8:217" x14ac:dyDescent="0.25">
      <c r="H142">
        <v>20</v>
      </c>
      <c r="I142">
        <f t="shared" si="297"/>
        <v>387</v>
      </c>
      <c r="J142">
        <f t="shared" si="255"/>
        <v>194.49299727505655</v>
      </c>
      <c r="K142">
        <f t="shared" si="256"/>
        <v>120.66842930491461</v>
      </c>
      <c r="M142">
        <v>20</v>
      </c>
      <c r="N142">
        <v>193.5</v>
      </c>
      <c r="O142">
        <f t="shared" si="298"/>
        <v>97.246498637528276</v>
      </c>
      <c r="P142">
        <f t="shared" si="257"/>
        <v>60.334214652457305</v>
      </c>
      <c r="R142">
        <v>20</v>
      </c>
      <c r="S142">
        <v>774</v>
      </c>
      <c r="T142">
        <f t="shared" si="299"/>
        <v>388.98599455011311</v>
      </c>
      <c r="U142" s="18">
        <f t="shared" si="300"/>
        <v>241.33685860982922</v>
      </c>
      <c r="V142">
        <v>20</v>
      </c>
      <c r="W142">
        <f t="shared" si="301"/>
        <v>423.4</v>
      </c>
      <c r="X142">
        <f t="shared" si="258"/>
        <v>212.78639546836934</v>
      </c>
      <c r="Y142">
        <f t="shared" si="259"/>
        <v>132.01812136356807</v>
      </c>
      <c r="AA142">
        <v>20</v>
      </c>
      <c r="AB142">
        <f t="shared" si="302"/>
        <v>211.7</v>
      </c>
      <c r="AC142">
        <f t="shared" si="303"/>
        <v>106.39319773418467</v>
      </c>
      <c r="AD142">
        <f t="shared" si="260"/>
        <v>60.334214652457305</v>
      </c>
      <c r="AF142">
        <v>20</v>
      </c>
      <c r="AG142">
        <f t="shared" si="304"/>
        <v>846.8</v>
      </c>
      <c r="AH142">
        <f t="shared" si="305"/>
        <v>425.57279093673867</v>
      </c>
      <c r="AI142" s="18">
        <f t="shared" si="306"/>
        <v>241.33685860982922</v>
      </c>
      <c r="AJ142">
        <v>20</v>
      </c>
      <c r="AK142">
        <f t="shared" si="307"/>
        <v>423.4</v>
      </c>
      <c r="AL142">
        <f t="shared" si="261"/>
        <v>212.78639546836934</v>
      </c>
      <c r="AM142">
        <f t="shared" si="262"/>
        <v>132.01812136356807</v>
      </c>
      <c r="AO142">
        <v>20</v>
      </c>
      <c r="AP142">
        <f t="shared" si="308"/>
        <v>211.7</v>
      </c>
      <c r="AQ142">
        <f t="shared" si="309"/>
        <v>106.39319773418467</v>
      </c>
      <c r="AR142">
        <f t="shared" si="263"/>
        <v>60.334214652457305</v>
      </c>
      <c r="AT142">
        <v>20</v>
      </c>
      <c r="AU142">
        <f t="shared" si="310"/>
        <v>846.8</v>
      </c>
      <c r="AV142">
        <f t="shared" si="311"/>
        <v>425.57279093673867</v>
      </c>
      <c r="AW142" s="18">
        <f t="shared" si="312"/>
        <v>241.33685860982922</v>
      </c>
      <c r="AX142">
        <v>20</v>
      </c>
      <c r="AY142">
        <f t="shared" si="313"/>
        <v>423.4</v>
      </c>
      <c r="AZ142">
        <f t="shared" si="216"/>
        <v>212.78639546836934</v>
      </c>
      <c r="BA142">
        <f t="shared" si="264"/>
        <v>132.01812136356807</v>
      </c>
      <c r="BC142">
        <v>20</v>
      </c>
      <c r="BD142">
        <f t="shared" si="314"/>
        <v>211.7</v>
      </c>
      <c r="BE142">
        <f t="shared" si="265"/>
        <v>106.39319773418467</v>
      </c>
      <c r="BF142">
        <f t="shared" si="217"/>
        <v>60.334214652457305</v>
      </c>
      <c r="BH142">
        <v>20</v>
      </c>
      <c r="BI142">
        <f t="shared" si="315"/>
        <v>846.8</v>
      </c>
      <c r="BJ142">
        <f t="shared" si="266"/>
        <v>425.57279093673867</v>
      </c>
      <c r="BK142" s="18">
        <f t="shared" si="218"/>
        <v>241.33685860982922</v>
      </c>
      <c r="BL142">
        <v>20</v>
      </c>
      <c r="BM142">
        <f t="shared" si="316"/>
        <v>668.19999999999993</v>
      </c>
      <c r="BN142">
        <f t="shared" si="219"/>
        <v>335.81452397724229</v>
      </c>
      <c r="BO142">
        <f t="shared" si="267"/>
        <v>208.34791850528148</v>
      </c>
      <c r="BQ142">
        <v>20</v>
      </c>
      <c r="BR142">
        <f t="shared" si="317"/>
        <v>334.09999999999997</v>
      </c>
      <c r="BS142">
        <f t="shared" si="268"/>
        <v>167.90726198862114</v>
      </c>
      <c r="BT142">
        <f t="shared" si="220"/>
        <v>60.334214652457305</v>
      </c>
      <c r="BV142">
        <v>20</v>
      </c>
      <c r="BW142">
        <f t="shared" si="318"/>
        <v>1336.3999999999999</v>
      </c>
      <c r="BX142">
        <f t="shared" si="269"/>
        <v>671.62904795448458</v>
      </c>
      <c r="BY142" s="18">
        <f t="shared" si="221"/>
        <v>241.33685860982922</v>
      </c>
      <c r="BZ142">
        <v>20</v>
      </c>
      <c r="CA142">
        <f t="shared" si="319"/>
        <v>974.19999999999993</v>
      </c>
      <c r="CB142">
        <f t="shared" si="222"/>
        <v>489.59968461333352</v>
      </c>
      <c r="CC142">
        <f t="shared" si="270"/>
        <v>303.76016493242327</v>
      </c>
      <c r="CE142">
        <v>20</v>
      </c>
      <c r="CF142">
        <f t="shared" si="320"/>
        <v>487.09999999999997</v>
      </c>
      <c r="CG142">
        <f t="shared" si="271"/>
        <v>244.79984230666676</v>
      </c>
      <c r="CH142">
        <f t="shared" si="223"/>
        <v>60.334214652457305</v>
      </c>
      <c r="CJ142">
        <v>20</v>
      </c>
      <c r="CK142">
        <f t="shared" si="321"/>
        <v>1948.3999999999999</v>
      </c>
      <c r="CL142">
        <f t="shared" si="272"/>
        <v>979.19936922666705</v>
      </c>
      <c r="CM142" s="18">
        <f t="shared" si="224"/>
        <v>241.33685860982922</v>
      </c>
      <c r="CN142">
        <v>20</v>
      </c>
      <c r="CO142">
        <f t="shared" si="322"/>
        <v>1280.1999999999998</v>
      </c>
      <c r="CP142">
        <f t="shared" si="225"/>
        <v>643.38484524942464</v>
      </c>
      <c r="CQ142">
        <f t="shared" si="273"/>
        <v>399.17241135956505</v>
      </c>
      <c r="CS142">
        <v>20</v>
      </c>
      <c r="CT142">
        <f t="shared" si="323"/>
        <v>640.09999999999991</v>
      </c>
      <c r="CU142">
        <f t="shared" si="274"/>
        <v>321.69242262471232</v>
      </c>
      <c r="CV142">
        <f t="shared" si="226"/>
        <v>60.334214652457305</v>
      </c>
      <c r="CX142">
        <v>20</v>
      </c>
      <c r="CY142">
        <f t="shared" si="324"/>
        <v>2560.3999999999996</v>
      </c>
      <c r="CZ142">
        <f t="shared" si="275"/>
        <v>1286.7696904988493</v>
      </c>
      <c r="DA142" s="18">
        <f t="shared" si="227"/>
        <v>241.33685860982922</v>
      </c>
      <c r="DB142">
        <v>20</v>
      </c>
      <c r="DC142">
        <f t="shared" si="325"/>
        <v>1892.1999999999998</v>
      </c>
      <c r="DD142">
        <f t="shared" si="228"/>
        <v>950.95516652160711</v>
      </c>
      <c r="DE142">
        <f t="shared" si="276"/>
        <v>120.66842930491461</v>
      </c>
      <c r="DG142">
        <v>20</v>
      </c>
      <c r="DH142">
        <f t="shared" si="326"/>
        <v>946.09999999999991</v>
      </c>
      <c r="DI142">
        <f t="shared" si="277"/>
        <v>475.47758326080356</v>
      </c>
      <c r="DJ142">
        <f t="shared" si="229"/>
        <v>60.334214652457305</v>
      </c>
      <c r="DL142">
        <v>20</v>
      </c>
      <c r="DM142">
        <f t="shared" si="327"/>
        <v>3784.3999999999996</v>
      </c>
      <c r="DN142">
        <f t="shared" si="278"/>
        <v>1901.9103330432142</v>
      </c>
      <c r="DO142" s="18">
        <f t="shared" si="230"/>
        <v>241.33685860982922</v>
      </c>
      <c r="DP142">
        <v>20</v>
      </c>
      <c r="DQ142">
        <f t="shared" si="328"/>
        <v>2504.1999999999998</v>
      </c>
      <c r="DR142">
        <f t="shared" si="231"/>
        <v>1258.5254877937896</v>
      </c>
      <c r="DS142">
        <f t="shared" si="279"/>
        <v>780.82139706813223</v>
      </c>
      <c r="DU142">
        <v>20</v>
      </c>
      <c r="DV142">
        <f t="shared" si="329"/>
        <v>1252.0999999999999</v>
      </c>
      <c r="DW142">
        <f t="shared" si="280"/>
        <v>629.26274389689479</v>
      </c>
      <c r="DX142">
        <f t="shared" si="232"/>
        <v>60.334214652457305</v>
      </c>
      <c r="DZ142">
        <v>20</v>
      </c>
      <c r="EA142">
        <f t="shared" si="330"/>
        <v>5008.3999999999996</v>
      </c>
      <c r="EB142">
        <f t="shared" si="281"/>
        <v>2517.0509755875792</v>
      </c>
      <c r="EC142" s="18">
        <f t="shared" si="233"/>
        <v>241.33685860982922</v>
      </c>
      <c r="ED142">
        <v>20</v>
      </c>
      <c r="EE142">
        <f t="shared" si="331"/>
        <v>3728.2</v>
      </c>
      <c r="EF142">
        <f t="shared" si="234"/>
        <v>1873.6661303381545</v>
      </c>
      <c r="EG142">
        <f t="shared" si="282"/>
        <v>1162.4703827766994</v>
      </c>
      <c r="EI142">
        <v>20</v>
      </c>
      <c r="EJ142">
        <f t="shared" si="332"/>
        <v>1864.1</v>
      </c>
      <c r="EK142">
        <f t="shared" si="283"/>
        <v>936.83306516907726</v>
      </c>
      <c r="EL142">
        <f t="shared" si="235"/>
        <v>60.334214652457305</v>
      </c>
      <c r="EN142">
        <v>20</v>
      </c>
      <c r="EO142">
        <f t="shared" si="333"/>
        <v>7456.4</v>
      </c>
      <c r="EP142">
        <f t="shared" si="284"/>
        <v>3747.332260676309</v>
      </c>
      <c r="EQ142" s="18">
        <f t="shared" si="236"/>
        <v>241.33685860982922</v>
      </c>
      <c r="ER142">
        <v>20</v>
      </c>
      <c r="ES142">
        <f t="shared" si="334"/>
        <v>4952.1999999999989</v>
      </c>
      <c r="ET142">
        <f t="shared" si="237"/>
        <v>2488.806772882519</v>
      </c>
      <c r="EU142">
        <f t="shared" si="285"/>
        <v>1544.1193684852662</v>
      </c>
      <c r="EW142">
        <v>20</v>
      </c>
      <c r="EX142">
        <f t="shared" si="335"/>
        <v>2476.0999999999995</v>
      </c>
      <c r="EY142">
        <f t="shared" si="286"/>
        <v>1244.4033864412595</v>
      </c>
      <c r="EZ142">
        <f t="shared" si="238"/>
        <v>60.334214652457305</v>
      </c>
      <c r="FB142">
        <v>20</v>
      </c>
      <c r="FC142">
        <f t="shared" si="336"/>
        <v>9904.3999999999978</v>
      </c>
      <c r="FD142">
        <f t="shared" si="287"/>
        <v>4977.613545765038</v>
      </c>
      <c r="FE142" s="18">
        <f t="shared" si="239"/>
        <v>241.33685860982922</v>
      </c>
      <c r="FF142">
        <v>20</v>
      </c>
      <c r="FG142">
        <f t="shared" si="337"/>
        <v>6176.1999999999989</v>
      </c>
      <c r="FH142">
        <f t="shared" si="240"/>
        <v>3103.9474154268837</v>
      </c>
      <c r="FI142">
        <f t="shared" si="241"/>
        <v>120.66842930491461</v>
      </c>
      <c r="FK142">
        <v>20</v>
      </c>
      <c r="FL142">
        <f t="shared" si="338"/>
        <v>3088.0999999999995</v>
      </c>
      <c r="FM142">
        <f t="shared" si="288"/>
        <v>1551.9737077134419</v>
      </c>
      <c r="FN142">
        <f t="shared" si="242"/>
        <v>60.334214652457305</v>
      </c>
      <c r="FP142">
        <v>20</v>
      </c>
      <c r="FQ142">
        <f t="shared" si="339"/>
        <v>12352.399999999998</v>
      </c>
      <c r="FR142">
        <f t="shared" si="289"/>
        <v>6207.8948308537674</v>
      </c>
      <c r="FS142" s="18">
        <f t="shared" si="243"/>
        <v>241.33685860982922</v>
      </c>
      <c r="FT142">
        <v>20</v>
      </c>
      <c r="FU142">
        <f t="shared" si="340"/>
        <v>7400.1999999999989</v>
      </c>
      <c r="FV142">
        <f t="shared" si="244"/>
        <v>3719.0880579712484</v>
      </c>
      <c r="FW142">
        <f t="shared" si="245"/>
        <v>120.66842930491461</v>
      </c>
      <c r="FY142">
        <v>20</v>
      </c>
      <c r="FZ142">
        <f t="shared" si="341"/>
        <v>3700.0999999999995</v>
      </c>
      <c r="GA142">
        <f t="shared" si="290"/>
        <v>1859.5440289856242</v>
      </c>
      <c r="GB142">
        <f t="shared" si="246"/>
        <v>60.334214652457305</v>
      </c>
      <c r="GD142">
        <v>20</v>
      </c>
      <c r="GE142">
        <f t="shared" si="342"/>
        <v>14800.399999999998</v>
      </c>
      <c r="GF142">
        <f t="shared" si="291"/>
        <v>7438.1761159424968</v>
      </c>
      <c r="GG142" s="18">
        <f t="shared" si="247"/>
        <v>241.33685860982922</v>
      </c>
      <c r="GH142">
        <v>20</v>
      </c>
      <c r="GI142">
        <f t="shared" si="343"/>
        <v>9848.1999999999989</v>
      </c>
      <c r="GJ142">
        <f t="shared" si="248"/>
        <v>4949.3693430599787</v>
      </c>
      <c r="GK142">
        <f t="shared" si="249"/>
        <v>120.66842930491461</v>
      </c>
      <c r="GM142">
        <v>20</v>
      </c>
      <c r="GN142">
        <f t="shared" si="344"/>
        <v>4924.0999999999995</v>
      </c>
      <c r="GO142">
        <f t="shared" si="292"/>
        <v>2474.6846715299894</v>
      </c>
      <c r="GP142">
        <f t="shared" si="250"/>
        <v>60.334214652457305</v>
      </c>
      <c r="GR142">
        <v>20</v>
      </c>
      <c r="GS142">
        <f t="shared" si="345"/>
        <v>19696.399999999998</v>
      </c>
      <c r="GT142">
        <f t="shared" si="293"/>
        <v>9898.7386861199575</v>
      </c>
      <c r="GU142" s="18">
        <f t="shared" si="251"/>
        <v>241.33685860982922</v>
      </c>
      <c r="GV142">
        <v>20</v>
      </c>
      <c r="GW142">
        <f t="shared" si="346"/>
        <v>12296.199999999999</v>
      </c>
      <c r="GX142">
        <f t="shared" si="252"/>
        <v>6179.6506281487082</v>
      </c>
      <c r="GY142">
        <f t="shared" si="294"/>
        <v>3834.0132827366692</v>
      </c>
      <c r="HA142">
        <v>20</v>
      </c>
      <c r="HB142">
        <f t="shared" si="347"/>
        <v>6148.0999999999995</v>
      </c>
      <c r="HC142">
        <f t="shared" si="295"/>
        <v>3089.8253140743541</v>
      </c>
      <c r="HD142">
        <f t="shared" si="253"/>
        <v>60.334214652457305</v>
      </c>
      <c r="HF142">
        <v>20</v>
      </c>
      <c r="HG142">
        <f t="shared" si="348"/>
        <v>24592.399999999998</v>
      </c>
      <c r="HH142">
        <f t="shared" si="296"/>
        <v>12359.301256297416</v>
      </c>
      <c r="HI142" s="18">
        <f t="shared" si="254"/>
        <v>241.33685860982922</v>
      </c>
    </row>
    <row r="143" spans="8:217" x14ac:dyDescent="0.25">
      <c r="H143">
        <v>21</v>
      </c>
      <c r="I143">
        <f t="shared" si="297"/>
        <v>387</v>
      </c>
      <c r="J143">
        <f t="shared" si="255"/>
        <v>187.91593939618994</v>
      </c>
      <c r="K143">
        <f t="shared" si="256"/>
        <v>113.83814085369301</v>
      </c>
      <c r="M143">
        <v>21</v>
      </c>
      <c r="N143">
        <v>193.5</v>
      </c>
      <c r="O143">
        <f t="shared" si="298"/>
        <v>93.957969698094971</v>
      </c>
      <c r="P143">
        <f t="shared" si="257"/>
        <v>56.919070426846503</v>
      </c>
      <c r="R143">
        <v>21</v>
      </c>
      <c r="S143">
        <v>774</v>
      </c>
      <c r="T143">
        <f t="shared" si="299"/>
        <v>375.83187879237988</v>
      </c>
      <c r="U143" s="18">
        <f t="shared" si="300"/>
        <v>227.67628170738601</v>
      </c>
      <c r="V143">
        <v>21</v>
      </c>
      <c r="W143">
        <f t="shared" si="301"/>
        <v>423.4</v>
      </c>
      <c r="X143">
        <f t="shared" si="258"/>
        <v>205.59072025929407</v>
      </c>
      <c r="Y143">
        <f t="shared" si="259"/>
        <v>124.54539751280005</v>
      </c>
      <c r="AA143">
        <v>21</v>
      </c>
      <c r="AB143">
        <f t="shared" si="302"/>
        <v>211.7</v>
      </c>
      <c r="AC143">
        <f t="shared" si="303"/>
        <v>102.79536012964704</v>
      </c>
      <c r="AD143">
        <f t="shared" si="260"/>
        <v>56.919070426846503</v>
      </c>
      <c r="AF143">
        <v>21</v>
      </c>
      <c r="AG143">
        <f t="shared" si="304"/>
        <v>846.8</v>
      </c>
      <c r="AH143">
        <f t="shared" si="305"/>
        <v>411.18144051858815</v>
      </c>
      <c r="AI143" s="18">
        <f t="shared" si="306"/>
        <v>227.67628170738601</v>
      </c>
      <c r="AJ143">
        <v>21</v>
      </c>
      <c r="AK143">
        <f t="shared" si="307"/>
        <v>423.4</v>
      </c>
      <c r="AL143">
        <f t="shared" si="261"/>
        <v>205.59072025929407</v>
      </c>
      <c r="AM143">
        <f t="shared" si="262"/>
        <v>124.54539751280005</v>
      </c>
      <c r="AO143">
        <v>21</v>
      </c>
      <c r="AP143">
        <f t="shared" si="308"/>
        <v>211.7</v>
      </c>
      <c r="AQ143">
        <f t="shared" si="309"/>
        <v>102.79536012964704</v>
      </c>
      <c r="AR143">
        <f t="shared" si="263"/>
        <v>56.919070426846503</v>
      </c>
      <c r="AT143">
        <v>21</v>
      </c>
      <c r="AU143">
        <f t="shared" si="310"/>
        <v>846.8</v>
      </c>
      <c r="AV143">
        <f t="shared" si="311"/>
        <v>411.18144051858815</v>
      </c>
      <c r="AW143" s="18">
        <f t="shared" si="312"/>
        <v>227.67628170738601</v>
      </c>
      <c r="AX143">
        <v>21</v>
      </c>
      <c r="AY143">
        <f t="shared" si="313"/>
        <v>423.4</v>
      </c>
      <c r="AZ143">
        <f t="shared" si="216"/>
        <v>205.59072025929407</v>
      </c>
      <c r="BA143">
        <f t="shared" si="264"/>
        <v>124.54539751280005</v>
      </c>
      <c r="BC143">
        <v>21</v>
      </c>
      <c r="BD143">
        <f t="shared" si="314"/>
        <v>211.7</v>
      </c>
      <c r="BE143">
        <f t="shared" si="265"/>
        <v>102.79536012964704</v>
      </c>
      <c r="BF143">
        <f t="shared" si="217"/>
        <v>56.919070426846503</v>
      </c>
      <c r="BH143">
        <v>21</v>
      </c>
      <c r="BI143">
        <f t="shared" si="315"/>
        <v>846.8</v>
      </c>
      <c r="BJ143">
        <f t="shared" si="266"/>
        <v>411.18144051858815</v>
      </c>
      <c r="BK143" s="18">
        <f t="shared" si="218"/>
        <v>227.67628170738601</v>
      </c>
      <c r="BL143">
        <v>21</v>
      </c>
      <c r="BM143">
        <f t="shared" si="316"/>
        <v>668.19999999999993</v>
      </c>
      <c r="BN143">
        <f t="shared" si="219"/>
        <v>324.45847727269791</v>
      </c>
      <c r="BO143">
        <f t="shared" si="267"/>
        <v>196.55464009932211</v>
      </c>
      <c r="BQ143">
        <v>21</v>
      </c>
      <c r="BR143">
        <f t="shared" si="317"/>
        <v>334.09999999999997</v>
      </c>
      <c r="BS143">
        <f t="shared" si="268"/>
        <v>162.22923863634895</v>
      </c>
      <c r="BT143">
        <f t="shared" si="220"/>
        <v>56.919070426846503</v>
      </c>
      <c r="BV143">
        <v>21</v>
      </c>
      <c r="BW143">
        <f t="shared" si="318"/>
        <v>1336.3999999999999</v>
      </c>
      <c r="BX143">
        <f t="shared" si="269"/>
        <v>648.91695454539581</v>
      </c>
      <c r="BY143" s="18">
        <f t="shared" si="221"/>
        <v>227.67628170738601</v>
      </c>
      <c r="BZ143">
        <v>21</v>
      </c>
      <c r="CA143">
        <f t="shared" si="319"/>
        <v>974.19999999999993</v>
      </c>
      <c r="CB143">
        <f t="shared" si="222"/>
        <v>473.04317353945277</v>
      </c>
      <c r="CC143">
        <f t="shared" si="270"/>
        <v>286.56619333247471</v>
      </c>
      <c r="CE143">
        <v>21</v>
      </c>
      <c r="CF143">
        <f t="shared" si="320"/>
        <v>487.09999999999997</v>
      </c>
      <c r="CG143">
        <f t="shared" si="271"/>
        <v>236.52158676972638</v>
      </c>
      <c r="CH143">
        <f t="shared" si="223"/>
        <v>56.919070426846503</v>
      </c>
      <c r="CJ143">
        <v>21</v>
      </c>
      <c r="CK143">
        <f t="shared" si="321"/>
        <v>1948.3999999999999</v>
      </c>
      <c r="CL143">
        <f t="shared" si="272"/>
        <v>946.08634707890553</v>
      </c>
      <c r="CM143" s="18">
        <f t="shared" si="224"/>
        <v>227.67628170738601</v>
      </c>
      <c r="CN143">
        <v>21</v>
      </c>
      <c r="CO143">
        <f t="shared" si="322"/>
        <v>1280.1999999999998</v>
      </c>
      <c r="CP143">
        <f t="shared" si="225"/>
        <v>621.62786980620751</v>
      </c>
      <c r="CQ143">
        <f t="shared" si="273"/>
        <v>376.57774656562731</v>
      </c>
      <c r="CS143">
        <v>21</v>
      </c>
      <c r="CT143">
        <f t="shared" si="323"/>
        <v>640.09999999999991</v>
      </c>
      <c r="CU143">
        <f t="shared" si="274"/>
        <v>310.81393490310376</v>
      </c>
      <c r="CV143">
        <f t="shared" si="226"/>
        <v>56.919070426846503</v>
      </c>
      <c r="CX143">
        <v>21</v>
      </c>
      <c r="CY143">
        <f t="shared" si="324"/>
        <v>2560.3999999999996</v>
      </c>
      <c r="CZ143">
        <f t="shared" si="275"/>
        <v>1243.255739612415</v>
      </c>
      <c r="DA143" s="18">
        <f t="shared" si="227"/>
        <v>227.67628170738601</v>
      </c>
      <c r="DB143">
        <v>21</v>
      </c>
      <c r="DC143">
        <f t="shared" si="325"/>
        <v>1892.1999999999998</v>
      </c>
      <c r="DD143">
        <f t="shared" si="228"/>
        <v>918.79726233971712</v>
      </c>
      <c r="DE143">
        <f t="shared" si="276"/>
        <v>113.83814085369301</v>
      </c>
      <c r="DG143">
        <v>21</v>
      </c>
      <c r="DH143">
        <f t="shared" si="326"/>
        <v>946.09999999999991</v>
      </c>
      <c r="DI143">
        <f t="shared" si="277"/>
        <v>459.39863116985856</v>
      </c>
      <c r="DJ143">
        <f t="shared" si="229"/>
        <v>56.919070426846503</v>
      </c>
      <c r="DL143">
        <v>21</v>
      </c>
      <c r="DM143">
        <f t="shared" si="327"/>
        <v>3784.3999999999996</v>
      </c>
      <c r="DN143">
        <f t="shared" si="278"/>
        <v>1837.5945246794342</v>
      </c>
      <c r="DO143" s="18">
        <f t="shared" si="230"/>
        <v>227.67628170738601</v>
      </c>
      <c r="DP143">
        <v>21</v>
      </c>
      <c r="DQ143">
        <f t="shared" si="328"/>
        <v>2504.1999999999998</v>
      </c>
      <c r="DR143">
        <f t="shared" si="231"/>
        <v>1215.9666548732268</v>
      </c>
      <c r="DS143">
        <f t="shared" si="279"/>
        <v>736.62395949823781</v>
      </c>
      <c r="DU143">
        <v>21</v>
      </c>
      <c r="DV143">
        <f t="shared" si="329"/>
        <v>1252.0999999999999</v>
      </c>
      <c r="DW143">
        <f t="shared" si="280"/>
        <v>607.98332743661342</v>
      </c>
      <c r="DX143">
        <f t="shared" si="232"/>
        <v>56.919070426846503</v>
      </c>
      <c r="DZ143">
        <v>21</v>
      </c>
      <c r="EA143">
        <f t="shared" si="330"/>
        <v>5008.3999999999996</v>
      </c>
      <c r="EB143">
        <f t="shared" si="281"/>
        <v>2431.9333097464537</v>
      </c>
      <c r="EC143" s="18">
        <f t="shared" si="233"/>
        <v>227.67628170738601</v>
      </c>
      <c r="ED143">
        <v>21</v>
      </c>
      <c r="EE143">
        <f t="shared" si="331"/>
        <v>3728.2</v>
      </c>
      <c r="EF143">
        <f t="shared" si="234"/>
        <v>1810.3054399402461</v>
      </c>
      <c r="EG143">
        <f t="shared" si="282"/>
        <v>1096.6701724308482</v>
      </c>
      <c r="EI143">
        <v>21</v>
      </c>
      <c r="EJ143">
        <f t="shared" si="332"/>
        <v>1864.1</v>
      </c>
      <c r="EK143">
        <f t="shared" si="283"/>
        <v>905.15271997012303</v>
      </c>
      <c r="EL143">
        <f t="shared" si="235"/>
        <v>56.919070426846503</v>
      </c>
      <c r="EN143">
        <v>21</v>
      </c>
      <c r="EO143">
        <f t="shared" si="333"/>
        <v>7456.4</v>
      </c>
      <c r="EP143">
        <f t="shared" si="284"/>
        <v>3620.6108798804921</v>
      </c>
      <c r="EQ143" s="18">
        <f t="shared" si="236"/>
        <v>227.67628170738601</v>
      </c>
      <c r="ER143">
        <v>21</v>
      </c>
      <c r="ES143">
        <f t="shared" si="334"/>
        <v>4952.1999999999989</v>
      </c>
      <c r="ET143">
        <f t="shared" si="237"/>
        <v>2404.644225007265</v>
      </c>
      <c r="EU143">
        <f t="shared" si="285"/>
        <v>1456.7163853634584</v>
      </c>
      <c r="EW143">
        <v>21</v>
      </c>
      <c r="EX143">
        <f t="shared" si="335"/>
        <v>2476.0999999999995</v>
      </c>
      <c r="EY143">
        <f t="shared" si="286"/>
        <v>1202.3221125036325</v>
      </c>
      <c r="EZ143">
        <f t="shared" si="238"/>
        <v>56.919070426846503</v>
      </c>
      <c r="FB143">
        <v>21</v>
      </c>
      <c r="FC143">
        <f t="shared" si="336"/>
        <v>9904.3999999999978</v>
      </c>
      <c r="FD143">
        <f t="shared" si="287"/>
        <v>4809.2884500145301</v>
      </c>
      <c r="FE143" s="18">
        <f t="shared" si="239"/>
        <v>227.67628170738601</v>
      </c>
      <c r="FF143">
        <v>21</v>
      </c>
      <c r="FG143">
        <f t="shared" si="337"/>
        <v>6176.1999999999989</v>
      </c>
      <c r="FH143">
        <f t="shared" si="240"/>
        <v>2998.9830100742843</v>
      </c>
      <c r="FI143">
        <f t="shared" si="241"/>
        <v>113.83814085369301</v>
      </c>
      <c r="FK143">
        <v>21</v>
      </c>
      <c r="FL143">
        <f t="shared" si="338"/>
        <v>3088.0999999999995</v>
      </c>
      <c r="FM143">
        <f t="shared" si="288"/>
        <v>1499.4915050371421</v>
      </c>
      <c r="FN143">
        <f t="shared" si="242"/>
        <v>56.919070426846503</v>
      </c>
      <c r="FP143">
        <v>21</v>
      </c>
      <c r="FQ143">
        <f t="shared" si="339"/>
        <v>12352.399999999998</v>
      </c>
      <c r="FR143">
        <f t="shared" si="289"/>
        <v>5997.9660201485685</v>
      </c>
      <c r="FS143" s="18">
        <f t="shared" si="243"/>
        <v>227.67628170738601</v>
      </c>
      <c r="FT143">
        <v>21</v>
      </c>
      <c r="FU143">
        <f t="shared" si="340"/>
        <v>7400.1999999999989</v>
      </c>
      <c r="FV143">
        <f t="shared" si="244"/>
        <v>3593.3217951413035</v>
      </c>
      <c r="FW143">
        <f t="shared" si="245"/>
        <v>113.83814085369301</v>
      </c>
      <c r="FY143">
        <v>21</v>
      </c>
      <c r="FZ143">
        <f t="shared" si="341"/>
        <v>3700.0999999999995</v>
      </c>
      <c r="GA143">
        <f t="shared" si="290"/>
        <v>1796.6608975706517</v>
      </c>
      <c r="GB143">
        <f t="shared" si="246"/>
        <v>56.919070426846503</v>
      </c>
      <c r="GD143">
        <v>21</v>
      </c>
      <c r="GE143">
        <f t="shared" si="342"/>
        <v>14800.399999999998</v>
      </c>
      <c r="GF143">
        <f t="shared" si="291"/>
        <v>7186.643590282607</v>
      </c>
      <c r="GG143" s="18">
        <f t="shared" si="247"/>
        <v>227.67628170738601</v>
      </c>
      <c r="GH143">
        <v>21</v>
      </c>
      <c r="GI143">
        <f t="shared" si="343"/>
        <v>9848.1999999999989</v>
      </c>
      <c r="GJ143">
        <f t="shared" si="248"/>
        <v>4781.9993652753419</v>
      </c>
      <c r="GK143">
        <f t="shared" si="249"/>
        <v>113.83814085369301</v>
      </c>
      <c r="GM143">
        <v>21</v>
      </c>
      <c r="GN143">
        <f t="shared" si="344"/>
        <v>4924.0999999999995</v>
      </c>
      <c r="GO143">
        <f t="shared" si="292"/>
        <v>2390.999682637671</v>
      </c>
      <c r="GP143">
        <f t="shared" si="250"/>
        <v>56.919070426846503</v>
      </c>
      <c r="GR143">
        <v>21</v>
      </c>
      <c r="GS143">
        <f t="shared" si="345"/>
        <v>19696.399999999998</v>
      </c>
      <c r="GT143">
        <f t="shared" si="293"/>
        <v>9563.9987305506838</v>
      </c>
      <c r="GU143" s="18">
        <f t="shared" si="251"/>
        <v>227.67628170738601</v>
      </c>
      <c r="GV143">
        <v>21</v>
      </c>
      <c r="GW143">
        <f t="shared" si="346"/>
        <v>12296.199999999999</v>
      </c>
      <c r="GX143">
        <f t="shared" si="252"/>
        <v>5970.6769354093813</v>
      </c>
      <c r="GY143">
        <f t="shared" si="294"/>
        <v>3616.9936629591211</v>
      </c>
      <c r="HA143">
        <v>21</v>
      </c>
      <c r="HB143">
        <f t="shared" si="347"/>
        <v>6148.0999999999995</v>
      </c>
      <c r="HC143">
        <f t="shared" si="295"/>
        <v>2985.3384677046906</v>
      </c>
      <c r="HD143">
        <f t="shared" si="253"/>
        <v>56.919070426846503</v>
      </c>
      <c r="HF143">
        <v>21</v>
      </c>
      <c r="HG143">
        <f t="shared" si="348"/>
        <v>24592.399999999998</v>
      </c>
      <c r="HH143">
        <f t="shared" si="296"/>
        <v>11941.353870818763</v>
      </c>
      <c r="HI143" s="18">
        <f t="shared" si="254"/>
        <v>227.67628170738601</v>
      </c>
    </row>
    <row r="144" spans="8:217" x14ac:dyDescent="0.25">
      <c r="H144">
        <v>22</v>
      </c>
      <c r="I144">
        <f t="shared" si="297"/>
        <v>387</v>
      </c>
      <c r="J144">
        <f t="shared" si="255"/>
        <v>181.56129410259896</v>
      </c>
      <c r="K144">
        <f t="shared" si="256"/>
        <v>107.39447250348397</v>
      </c>
      <c r="M144">
        <v>22</v>
      </c>
      <c r="N144">
        <v>193.5</v>
      </c>
      <c r="O144">
        <f t="shared" si="298"/>
        <v>90.780647051299482</v>
      </c>
      <c r="P144">
        <f t="shared" si="257"/>
        <v>53.697236251741984</v>
      </c>
      <c r="R144">
        <v>22</v>
      </c>
      <c r="S144">
        <v>774</v>
      </c>
      <c r="T144">
        <f t="shared" si="299"/>
        <v>363.12258820519793</v>
      </c>
      <c r="U144" s="18">
        <f t="shared" si="300"/>
        <v>214.78894500696794</v>
      </c>
      <c r="V144">
        <v>22</v>
      </c>
      <c r="W144">
        <f t="shared" si="301"/>
        <v>423.4</v>
      </c>
      <c r="X144">
        <f t="shared" si="258"/>
        <v>198.63837706211987</v>
      </c>
      <c r="Y144">
        <f t="shared" si="259"/>
        <v>117.49565803094343</v>
      </c>
      <c r="AA144">
        <v>22</v>
      </c>
      <c r="AB144">
        <f t="shared" si="302"/>
        <v>211.7</v>
      </c>
      <c r="AC144">
        <f t="shared" si="303"/>
        <v>99.319188531059936</v>
      </c>
      <c r="AD144">
        <f t="shared" si="260"/>
        <v>53.697236251741984</v>
      </c>
      <c r="AF144">
        <v>22</v>
      </c>
      <c r="AG144">
        <f t="shared" si="304"/>
        <v>846.8</v>
      </c>
      <c r="AH144">
        <f t="shared" si="305"/>
        <v>397.27675412423974</v>
      </c>
      <c r="AI144" s="18">
        <f t="shared" si="306"/>
        <v>214.78894500696794</v>
      </c>
      <c r="AJ144">
        <v>22</v>
      </c>
      <c r="AK144">
        <f t="shared" si="307"/>
        <v>423.4</v>
      </c>
      <c r="AL144">
        <f t="shared" si="261"/>
        <v>198.63837706211987</v>
      </c>
      <c r="AM144">
        <f t="shared" si="262"/>
        <v>117.49565803094343</v>
      </c>
      <c r="AO144">
        <v>22</v>
      </c>
      <c r="AP144">
        <f t="shared" si="308"/>
        <v>211.7</v>
      </c>
      <c r="AQ144">
        <f t="shared" si="309"/>
        <v>99.319188531059936</v>
      </c>
      <c r="AR144">
        <f t="shared" si="263"/>
        <v>53.697236251741984</v>
      </c>
      <c r="AT144">
        <v>22</v>
      </c>
      <c r="AU144">
        <f t="shared" si="310"/>
        <v>846.8</v>
      </c>
      <c r="AV144">
        <f t="shared" si="311"/>
        <v>397.27675412423974</v>
      </c>
      <c r="AW144" s="18">
        <f t="shared" si="312"/>
        <v>214.78894500696794</v>
      </c>
      <c r="AX144">
        <v>22</v>
      </c>
      <c r="AY144">
        <f t="shared" si="313"/>
        <v>423.4</v>
      </c>
      <c r="AZ144">
        <f t="shared" si="216"/>
        <v>198.63837706211987</v>
      </c>
      <c r="BA144">
        <f t="shared" si="264"/>
        <v>117.49565803094343</v>
      </c>
      <c r="BC144">
        <v>22</v>
      </c>
      <c r="BD144">
        <f t="shared" si="314"/>
        <v>211.7</v>
      </c>
      <c r="BE144">
        <f t="shared" si="265"/>
        <v>99.319188531059936</v>
      </c>
      <c r="BF144">
        <f t="shared" si="217"/>
        <v>53.697236251741984</v>
      </c>
      <c r="BH144">
        <v>22</v>
      </c>
      <c r="BI144">
        <f t="shared" si="315"/>
        <v>846.8</v>
      </c>
      <c r="BJ144">
        <f t="shared" si="266"/>
        <v>397.27675412423974</v>
      </c>
      <c r="BK144" s="18">
        <f t="shared" si="218"/>
        <v>214.78894500696794</v>
      </c>
      <c r="BL144">
        <v>22</v>
      </c>
      <c r="BM144">
        <f t="shared" si="316"/>
        <v>668.19999999999993</v>
      </c>
      <c r="BN144">
        <f t="shared" si="219"/>
        <v>313.48645147120573</v>
      </c>
      <c r="BO144">
        <f t="shared" si="267"/>
        <v>185.42890575407748</v>
      </c>
      <c r="BQ144">
        <v>22</v>
      </c>
      <c r="BR144">
        <f t="shared" si="317"/>
        <v>334.09999999999997</v>
      </c>
      <c r="BS144">
        <f t="shared" si="268"/>
        <v>156.74322573560286</v>
      </c>
      <c r="BT144">
        <f t="shared" si="220"/>
        <v>53.697236251741984</v>
      </c>
      <c r="BV144">
        <v>22</v>
      </c>
      <c r="BW144">
        <f t="shared" si="318"/>
        <v>1336.3999999999999</v>
      </c>
      <c r="BX144">
        <f t="shared" si="269"/>
        <v>626.97290294241145</v>
      </c>
      <c r="BY144" s="18">
        <f t="shared" si="221"/>
        <v>214.78894500696794</v>
      </c>
      <c r="BZ144">
        <v>22</v>
      </c>
      <c r="CA144">
        <f t="shared" si="319"/>
        <v>974.19999999999993</v>
      </c>
      <c r="CB144">
        <f t="shared" si="222"/>
        <v>457.04654448256304</v>
      </c>
      <c r="CC144">
        <f t="shared" si="270"/>
        <v>270.34546540799499</v>
      </c>
      <c r="CE144">
        <v>22</v>
      </c>
      <c r="CF144">
        <f t="shared" si="320"/>
        <v>487.09999999999997</v>
      </c>
      <c r="CG144">
        <f t="shared" si="271"/>
        <v>228.52327224128152</v>
      </c>
      <c r="CH144">
        <f t="shared" si="223"/>
        <v>53.697236251741984</v>
      </c>
      <c r="CJ144">
        <v>22</v>
      </c>
      <c r="CK144">
        <f t="shared" si="321"/>
        <v>1948.3999999999999</v>
      </c>
      <c r="CL144">
        <f t="shared" si="272"/>
        <v>914.09308896512607</v>
      </c>
      <c r="CM144" s="18">
        <f t="shared" si="224"/>
        <v>214.78894500696794</v>
      </c>
      <c r="CN144">
        <v>22</v>
      </c>
      <c r="CO144">
        <f t="shared" si="322"/>
        <v>1280.1999999999998</v>
      </c>
      <c r="CP144">
        <f t="shared" si="225"/>
        <v>600.60663749392029</v>
      </c>
      <c r="CQ144">
        <f t="shared" si="273"/>
        <v>355.26202506191254</v>
      </c>
      <c r="CS144">
        <v>22</v>
      </c>
      <c r="CT144">
        <f t="shared" si="323"/>
        <v>640.09999999999991</v>
      </c>
      <c r="CU144">
        <f t="shared" si="274"/>
        <v>300.30331874696014</v>
      </c>
      <c r="CV144">
        <f t="shared" si="226"/>
        <v>53.697236251741984</v>
      </c>
      <c r="CX144">
        <v>22</v>
      </c>
      <c r="CY144">
        <f t="shared" si="324"/>
        <v>2560.3999999999996</v>
      </c>
      <c r="CZ144">
        <f t="shared" si="275"/>
        <v>1201.2132749878406</v>
      </c>
      <c r="DA144" s="18">
        <f t="shared" si="227"/>
        <v>214.78894500696794</v>
      </c>
      <c r="DB144">
        <v>22</v>
      </c>
      <c r="DC144">
        <f t="shared" si="325"/>
        <v>1892.1999999999998</v>
      </c>
      <c r="DD144">
        <f t="shared" si="228"/>
        <v>887.72682351663491</v>
      </c>
      <c r="DE144">
        <f t="shared" si="276"/>
        <v>107.39447250348397</v>
      </c>
      <c r="DG144">
        <v>22</v>
      </c>
      <c r="DH144">
        <f t="shared" si="326"/>
        <v>946.09999999999991</v>
      </c>
      <c r="DI144">
        <f t="shared" si="277"/>
        <v>443.86341175831745</v>
      </c>
      <c r="DJ144">
        <f t="shared" si="229"/>
        <v>53.697236251741984</v>
      </c>
      <c r="DL144">
        <v>22</v>
      </c>
      <c r="DM144">
        <f t="shared" si="327"/>
        <v>3784.3999999999996</v>
      </c>
      <c r="DN144">
        <f t="shared" si="278"/>
        <v>1775.4536470332698</v>
      </c>
      <c r="DO144" s="18">
        <f t="shared" si="230"/>
        <v>214.78894500696794</v>
      </c>
      <c r="DP144">
        <v>22</v>
      </c>
      <c r="DQ144">
        <f t="shared" si="328"/>
        <v>2504.1999999999998</v>
      </c>
      <c r="DR144">
        <f t="shared" si="231"/>
        <v>1174.8470095393495</v>
      </c>
      <c r="DS144">
        <f t="shared" si="279"/>
        <v>694.92826367758278</v>
      </c>
      <c r="DU144">
        <v>22</v>
      </c>
      <c r="DV144">
        <f t="shared" si="329"/>
        <v>1252.0999999999999</v>
      </c>
      <c r="DW144">
        <f t="shared" si="280"/>
        <v>587.42350476967476</v>
      </c>
      <c r="DX144">
        <f t="shared" si="232"/>
        <v>53.697236251741984</v>
      </c>
      <c r="DZ144">
        <v>22</v>
      </c>
      <c r="EA144">
        <f t="shared" si="330"/>
        <v>5008.3999999999996</v>
      </c>
      <c r="EB144">
        <f t="shared" si="281"/>
        <v>2349.6940190786991</v>
      </c>
      <c r="EC144" s="18">
        <f t="shared" si="233"/>
        <v>214.78894500696794</v>
      </c>
      <c r="ED144">
        <v>22</v>
      </c>
      <c r="EE144">
        <f t="shared" si="331"/>
        <v>3728.2</v>
      </c>
      <c r="EF144">
        <f t="shared" si="234"/>
        <v>1749.0873815847788</v>
      </c>
      <c r="EG144">
        <f t="shared" si="282"/>
        <v>1034.5945022932531</v>
      </c>
      <c r="EI144">
        <v>22</v>
      </c>
      <c r="EJ144">
        <f t="shared" si="332"/>
        <v>1864.1</v>
      </c>
      <c r="EK144">
        <f t="shared" si="283"/>
        <v>874.54369079238938</v>
      </c>
      <c r="EL144">
        <f t="shared" si="235"/>
        <v>53.697236251741984</v>
      </c>
      <c r="EN144">
        <v>22</v>
      </c>
      <c r="EO144">
        <f t="shared" si="333"/>
        <v>7456.4</v>
      </c>
      <c r="EP144">
        <f t="shared" si="284"/>
        <v>3498.1747631695575</v>
      </c>
      <c r="EQ144" s="18">
        <f t="shared" si="236"/>
        <v>214.78894500696794</v>
      </c>
      <c r="ER144">
        <v>22</v>
      </c>
      <c r="ES144">
        <f t="shared" si="334"/>
        <v>4952.1999999999989</v>
      </c>
      <c r="ET144">
        <f t="shared" si="237"/>
        <v>2323.3277536302076</v>
      </c>
      <c r="EU144">
        <f t="shared" si="285"/>
        <v>1374.260740908923</v>
      </c>
      <c r="EW144">
        <v>22</v>
      </c>
      <c r="EX144">
        <f t="shared" si="335"/>
        <v>2476.0999999999995</v>
      </c>
      <c r="EY144">
        <f t="shared" si="286"/>
        <v>1161.6638768151038</v>
      </c>
      <c r="EZ144">
        <f t="shared" si="238"/>
        <v>53.697236251741984</v>
      </c>
      <c r="FB144">
        <v>22</v>
      </c>
      <c r="FC144">
        <f t="shared" si="336"/>
        <v>9904.3999999999978</v>
      </c>
      <c r="FD144">
        <f t="shared" si="287"/>
        <v>4646.6555072604151</v>
      </c>
      <c r="FE144" s="18">
        <f t="shared" si="239"/>
        <v>214.78894500696794</v>
      </c>
      <c r="FF144">
        <v>22</v>
      </c>
      <c r="FG144">
        <f t="shared" si="337"/>
        <v>6176.1999999999989</v>
      </c>
      <c r="FH144">
        <f t="shared" si="240"/>
        <v>2897.568125675637</v>
      </c>
      <c r="FI144">
        <f t="shared" si="241"/>
        <v>107.39447250348397</v>
      </c>
      <c r="FK144">
        <v>22</v>
      </c>
      <c r="FL144">
        <f t="shared" si="338"/>
        <v>3088.0999999999995</v>
      </c>
      <c r="FM144">
        <f t="shared" si="288"/>
        <v>1448.7840628378185</v>
      </c>
      <c r="FN144">
        <f t="shared" si="242"/>
        <v>53.697236251741984</v>
      </c>
      <c r="FP144">
        <v>22</v>
      </c>
      <c r="FQ144">
        <f t="shared" si="339"/>
        <v>12352.399999999998</v>
      </c>
      <c r="FR144">
        <f t="shared" si="289"/>
        <v>5795.136251351274</v>
      </c>
      <c r="FS144" s="18">
        <f t="shared" si="243"/>
        <v>214.78894500696794</v>
      </c>
      <c r="FT144">
        <v>22</v>
      </c>
      <c r="FU144">
        <f t="shared" si="340"/>
        <v>7400.1999999999989</v>
      </c>
      <c r="FV144">
        <f t="shared" si="244"/>
        <v>3471.808497721066</v>
      </c>
      <c r="FW144">
        <f t="shared" si="245"/>
        <v>107.39447250348397</v>
      </c>
      <c r="FY144">
        <v>22</v>
      </c>
      <c r="FZ144">
        <f t="shared" si="341"/>
        <v>3700.0999999999995</v>
      </c>
      <c r="GA144">
        <f t="shared" si="290"/>
        <v>1735.904248860533</v>
      </c>
      <c r="GB144">
        <f t="shared" si="246"/>
        <v>53.697236251741984</v>
      </c>
      <c r="GD144">
        <v>22</v>
      </c>
      <c r="GE144">
        <f t="shared" si="342"/>
        <v>14800.399999999998</v>
      </c>
      <c r="GF144">
        <f t="shared" si="291"/>
        <v>6943.6169954421321</v>
      </c>
      <c r="GG144" s="18">
        <f t="shared" si="247"/>
        <v>214.78894500696794</v>
      </c>
      <c r="GH144">
        <v>22</v>
      </c>
      <c r="GI144">
        <f t="shared" si="343"/>
        <v>9848.1999999999989</v>
      </c>
      <c r="GJ144">
        <f t="shared" si="248"/>
        <v>4620.2892418119245</v>
      </c>
      <c r="GK144">
        <f t="shared" si="249"/>
        <v>107.39447250348397</v>
      </c>
      <c r="GM144">
        <v>22</v>
      </c>
      <c r="GN144">
        <f t="shared" si="344"/>
        <v>4924.0999999999995</v>
      </c>
      <c r="GO144">
        <f t="shared" si="292"/>
        <v>2310.1446209059623</v>
      </c>
      <c r="GP144">
        <f t="shared" si="250"/>
        <v>53.697236251741984</v>
      </c>
      <c r="GR144">
        <v>22</v>
      </c>
      <c r="GS144">
        <f t="shared" si="345"/>
        <v>19696.399999999998</v>
      </c>
      <c r="GT144">
        <f t="shared" si="293"/>
        <v>9240.578483623849</v>
      </c>
      <c r="GU144" s="18">
        <f t="shared" si="251"/>
        <v>214.78894500696794</v>
      </c>
      <c r="GV144">
        <v>22</v>
      </c>
      <c r="GW144">
        <f t="shared" si="346"/>
        <v>12296.199999999999</v>
      </c>
      <c r="GX144">
        <f t="shared" si="252"/>
        <v>5768.7699859027834</v>
      </c>
      <c r="GY144">
        <f t="shared" si="294"/>
        <v>3412.2581726029443</v>
      </c>
      <c r="HA144">
        <v>22</v>
      </c>
      <c r="HB144">
        <f t="shared" si="347"/>
        <v>6148.0999999999995</v>
      </c>
      <c r="HC144">
        <f t="shared" si="295"/>
        <v>2884.3849929513917</v>
      </c>
      <c r="HD144">
        <f t="shared" si="253"/>
        <v>53.697236251741984</v>
      </c>
      <c r="HF144">
        <v>22</v>
      </c>
      <c r="HG144">
        <f t="shared" si="348"/>
        <v>24592.399999999998</v>
      </c>
      <c r="HH144">
        <f t="shared" si="296"/>
        <v>11537.539971805567</v>
      </c>
      <c r="HI144" s="18">
        <f t="shared" si="254"/>
        <v>214.78894500696794</v>
      </c>
    </row>
    <row r="145" spans="1:217" x14ac:dyDescent="0.25">
      <c r="H145">
        <v>23</v>
      </c>
      <c r="I145">
        <f t="shared" si="297"/>
        <v>387</v>
      </c>
      <c r="J145">
        <f t="shared" si="255"/>
        <v>175.42154019574778</v>
      </c>
      <c r="K145">
        <f t="shared" si="256"/>
        <v>101.31554009762637</v>
      </c>
      <c r="M145">
        <v>23</v>
      </c>
      <c r="N145">
        <v>193.5</v>
      </c>
      <c r="O145">
        <f t="shared" si="298"/>
        <v>87.71077009787389</v>
      </c>
      <c r="P145">
        <f t="shared" si="257"/>
        <v>50.657770048813184</v>
      </c>
      <c r="R145">
        <v>23</v>
      </c>
      <c r="S145">
        <v>774</v>
      </c>
      <c r="T145">
        <f t="shared" si="299"/>
        <v>350.84308039149556</v>
      </c>
      <c r="U145" s="18">
        <f t="shared" si="300"/>
        <v>202.63108019525274</v>
      </c>
      <c r="V145">
        <v>23</v>
      </c>
      <c r="W145">
        <f t="shared" si="301"/>
        <v>423.4</v>
      </c>
      <c r="X145">
        <f t="shared" si="258"/>
        <v>191.92113725808684</v>
      </c>
      <c r="Y145">
        <f t="shared" si="259"/>
        <v>110.8449604065504</v>
      </c>
      <c r="AA145">
        <v>23</v>
      </c>
      <c r="AB145">
        <f t="shared" si="302"/>
        <v>211.7</v>
      </c>
      <c r="AC145">
        <f t="shared" si="303"/>
        <v>95.960568629043422</v>
      </c>
      <c r="AD145">
        <f t="shared" si="260"/>
        <v>50.657770048813184</v>
      </c>
      <c r="AF145">
        <v>23</v>
      </c>
      <c r="AG145">
        <f t="shared" si="304"/>
        <v>846.8</v>
      </c>
      <c r="AH145">
        <f t="shared" si="305"/>
        <v>383.84227451617369</v>
      </c>
      <c r="AI145" s="18">
        <f t="shared" si="306"/>
        <v>202.63108019525274</v>
      </c>
      <c r="AJ145">
        <v>23</v>
      </c>
      <c r="AK145">
        <f t="shared" si="307"/>
        <v>423.4</v>
      </c>
      <c r="AL145">
        <f t="shared" si="261"/>
        <v>191.92113725808684</v>
      </c>
      <c r="AM145">
        <f t="shared" si="262"/>
        <v>110.8449604065504</v>
      </c>
      <c r="AO145">
        <v>23</v>
      </c>
      <c r="AP145">
        <f t="shared" si="308"/>
        <v>211.7</v>
      </c>
      <c r="AQ145">
        <f t="shared" si="309"/>
        <v>95.960568629043422</v>
      </c>
      <c r="AR145">
        <f t="shared" si="263"/>
        <v>50.657770048813184</v>
      </c>
      <c r="AT145">
        <v>23</v>
      </c>
      <c r="AU145">
        <f t="shared" si="310"/>
        <v>846.8</v>
      </c>
      <c r="AV145">
        <f t="shared" si="311"/>
        <v>383.84227451617369</v>
      </c>
      <c r="AW145" s="18">
        <f t="shared" si="312"/>
        <v>202.63108019525274</v>
      </c>
      <c r="AX145">
        <v>23</v>
      </c>
      <c r="AY145">
        <f t="shared" si="313"/>
        <v>423.4</v>
      </c>
      <c r="AZ145">
        <f t="shared" si="216"/>
        <v>191.92113725808684</v>
      </c>
      <c r="BA145">
        <f t="shared" si="264"/>
        <v>110.8449604065504</v>
      </c>
      <c r="BC145">
        <v>23</v>
      </c>
      <c r="BD145">
        <f t="shared" si="314"/>
        <v>211.7</v>
      </c>
      <c r="BE145">
        <f t="shared" si="265"/>
        <v>95.960568629043422</v>
      </c>
      <c r="BF145">
        <f t="shared" si="217"/>
        <v>50.657770048813184</v>
      </c>
      <c r="BH145">
        <v>23</v>
      </c>
      <c r="BI145">
        <f t="shared" si="315"/>
        <v>846.8</v>
      </c>
      <c r="BJ145">
        <f t="shared" si="266"/>
        <v>383.84227451617369</v>
      </c>
      <c r="BK145" s="18">
        <f t="shared" si="218"/>
        <v>202.63108019525274</v>
      </c>
      <c r="BL145">
        <v>23</v>
      </c>
      <c r="BM145">
        <f t="shared" si="316"/>
        <v>668.19999999999993</v>
      </c>
      <c r="BN145">
        <f t="shared" si="219"/>
        <v>302.88546035865289</v>
      </c>
      <c r="BO145">
        <f t="shared" si="267"/>
        <v>174.93292995667684</v>
      </c>
      <c r="BQ145">
        <v>23</v>
      </c>
      <c r="BR145">
        <f t="shared" si="317"/>
        <v>334.09999999999997</v>
      </c>
      <c r="BS145">
        <f t="shared" si="268"/>
        <v>151.44273017932645</v>
      </c>
      <c r="BT145">
        <f t="shared" si="220"/>
        <v>50.657770048813184</v>
      </c>
      <c r="BV145">
        <v>23</v>
      </c>
      <c r="BW145">
        <f t="shared" si="318"/>
        <v>1336.3999999999999</v>
      </c>
      <c r="BX145">
        <f t="shared" si="269"/>
        <v>605.77092071730578</v>
      </c>
      <c r="BY145" s="18">
        <f t="shared" si="221"/>
        <v>202.63108019525274</v>
      </c>
      <c r="BZ145">
        <v>23</v>
      </c>
      <c r="CA145">
        <f t="shared" si="319"/>
        <v>974.19999999999993</v>
      </c>
      <c r="CB145">
        <f t="shared" si="222"/>
        <v>441.59086423436042</v>
      </c>
      <c r="CC145">
        <f t="shared" si="270"/>
        <v>255.0428918943349</v>
      </c>
      <c r="CE145">
        <v>23</v>
      </c>
      <c r="CF145">
        <f t="shared" si="320"/>
        <v>487.09999999999997</v>
      </c>
      <c r="CG145">
        <f t="shared" si="271"/>
        <v>220.79543211718021</v>
      </c>
      <c r="CH145">
        <f t="shared" si="223"/>
        <v>50.657770048813184</v>
      </c>
      <c r="CJ145">
        <v>23</v>
      </c>
      <c r="CK145">
        <f t="shared" si="321"/>
        <v>1948.3999999999999</v>
      </c>
      <c r="CL145">
        <f t="shared" si="272"/>
        <v>883.18172846872085</v>
      </c>
      <c r="CM145" s="18">
        <f t="shared" si="224"/>
        <v>202.63108019525274</v>
      </c>
      <c r="CN145">
        <v>23</v>
      </c>
      <c r="CO145">
        <f t="shared" si="322"/>
        <v>1280.1999999999998</v>
      </c>
      <c r="CP145">
        <f t="shared" si="225"/>
        <v>580.2962681100679</v>
      </c>
      <c r="CQ145">
        <f t="shared" si="273"/>
        <v>335.1528538319929</v>
      </c>
      <c r="CS145">
        <v>23</v>
      </c>
      <c r="CT145">
        <f t="shared" si="323"/>
        <v>640.09999999999991</v>
      </c>
      <c r="CU145">
        <f t="shared" si="274"/>
        <v>290.14813405503395</v>
      </c>
      <c r="CV145">
        <f t="shared" si="226"/>
        <v>50.657770048813184</v>
      </c>
      <c r="CX145">
        <v>23</v>
      </c>
      <c r="CY145">
        <f t="shared" si="324"/>
        <v>2560.3999999999996</v>
      </c>
      <c r="CZ145">
        <f t="shared" si="275"/>
        <v>1160.5925362201358</v>
      </c>
      <c r="DA145" s="18">
        <f t="shared" si="227"/>
        <v>202.63108019525274</v>
      </c>
      <c r="DB145">
        <v>23</v>
      </c>
      <c r="DC145">
        <f t="shared" si="325"/>
        <v>1892.1999999999998</v>
      </c>
      <c r="DD145">
        <f t="shared" si="228"/>
        <v>857.70707586148308</v>
      </c>
      <c r="DE145">
        <f t="shared" si="276"/>
        <v>101.31554009762637</v>
      </c>
      <c r="DG145">
        <v>23</v>
      </c>
      <c r="DH145">
        <f t="shared" si="326"/>
        <v>946.09999999999991</v>
      </c>
      <c r="DI145">
        <f t="shared" si="277"/>
        <v>428.85353793074154</v>
      </c>
      <c r="DJ145">
        <f t="shared" si="229"/>
        <v>50.657770048813184</v>
      </c>
      <c r="DL145">
        <v>23</v>
      </c>
      <c r="DM145">
        <f t="shared" si="327"/>
        <v>3784.3999999999996</v>
      </c>
      <c r="DN145">
        <f t="shared" si="278"/>
        <v>1715.4141517229662</v>
      </c>
      <c r="DO145" s="18">
        <f t="shared" si="230"/>
        <v>202.63108019525274</v>
      </c>
      <c r="DP145">
        <v>23</v>
      </c>
      <c r="DQ145">
        <f t="shared" si="328"/>
        <v>2504.1999999999998</v>
      </c>
      <c r="DR145">
        <f t="shared" si="231"/>
        <v>1135.1178836128981</v>
      </c>
      <c r="DS145">
        <f t="shared" si="279"/>
        <v>655.59270158262518</v>
      </c>
      <c r="DU145">
        <v>23</v>
      </c>
      <c r="DV145">
        <f t="shared" si="329"/>
        <v>1252.0999999999999</v>
      </c>
      <c r="DW145">
        <f t="shared" si="280"/>
        <v>567.55894180644907</v>
      </c>
      <c r="DX145">
        <f t="shared" si="232"/>
        <v>50.657770048813184</v>
      </c>
      <c r="DZ145">
        <v>23</v>
      </c>
      <c r="EA145">
        <f t="shared" si="330"/>
        <v>5008.3999999999996</v>
      </c>
      <c r="EB145">
        <f t="shared" si="281"/>
        <v>2270.2357672257963</v>
      </c>
      <c r="EC145" s="18">
        <f t="shared" si="233"/>
        <v>202.63108019525274</v>
      </c>
      <c r="ED145">
        <v>23</v>
      </c>
      <c r="EE145">
        <f t="shared" si="331"/>
        <v>3728.2</v>
      </c>
      <c r="EF145">
        <f t="shared" si="234"/>
        <v>1689.9394991157283</v>
      </c>
      <c r="EG145">
        <f t="shared" si="282"/>
        <v>976.03254933325741</v>
      </c>
      <c r="EI145">
        <v>23</v>
      </c>
      <c r="EJ145">
        <f t="shared" si="332"/>
        <v>1864.1</v>
      </c>
      <c r="EK145">
        <f t="shared" si="283"/>
        <v>844.96974955786413</v>
      </c>
      <c r="EL145">
        <f t="shared" si="235"/>
        <v>50.657770048813184</v>
      </c>
      <c r="EN145">
        <v>23</v>
      </c>
      <c r="EO145">
        <f t="shared" si="333"/>
        <v>7456.4</v>
      </c>
      <c r="EP145">
        <f t="shared" si="284"/>
        <v>3379.8789982314565</v>
      </c>
      <c r="EQ145" s="18">
        <f t="shared" si="236"/>
        <v>202.63108019525274</v>
      </c>
      <c r="ER145">
        <v>23</v>
      </c>
      <c r="ES145">
        <f t="shared" si="334"/>
        <v>4952.1999999999989</v>
      </c>
      <c r="ET145">
        <f t="shared" si="237"/>
        <v>2244.7611146185582</v>
      </c>
      <c r="EU145">
        <f t="shared" si="285"/>
        <v>1296.4723970838893</v>
      </c>
      <c r="EW145">
        <v>23</v>
      </c>
      <c r="EX145">
        <f t="shared" si="335"/>
        <v>2476.0999999999995</v>
      </c>
      <c r="EY145">
        <f t="shared" si="286"/>
        <v>1122.3805573092791</v>
      </c>
      <c r="EZ145">
        <f t="shared" si="238"/>
        <v>50.657770048813184</v>
      </c>
      <c r="FB145">
        <v>23</v>
      </c>
      <c r="FC145">
        <f t="shared" si="336"/>
        <v>9904.3999999999978</v>
      </c>
      <c r="FD145">
        <f t="shared" si="287"/>
        <v>4489.5222292371163</v>
      </c>
      <c r="FE145" s="18">
        <f t="shared" si="239"/>
        <v>202.63108019525274</v>
      </c>
      <c r="FF145">
        <v>23</v>
      </c>
      <c r="FG145">
        <f t="shared" si="337"/>
        <v>6176.1999999999989</v>
      </c>
      <c r="FH145">
        <f t="shared" si="240"/>
        <v>2799.5827301213885</v>
      </c>
      <c r="FI145">
        <f t="shared" si="241"/>
        <v>101.31554009762637</v>
      </c>
      <c r="FK145">
        <v>23</v>
      </c>
      <c r="FL145">
        <f t="shared" si="338"/>
        <v>3088.0999999999995</v>
      </c>
      <c r="FM145">
        <f t="shared" si="288"/>
        <v>1399.7913650606943</v>
      </c>
      <c r="FN145">
        <f t="shared" si="242"/>
        <v>50.657770048813184</v>
      </c>
      <c r="FP145">
        <v>23</v>
      </c>
      <c r="FQ145">
        <f t="shared" si="339"/>
        <v>12352.399999999998</v>
      </c>
      <c r="FR145">
        <f t="shared" si="289"/>
        <v>5599.165460242777</v>
      </c>
      <c r="FS145" s="18">
        <f t="shared" si="243"/>
        <v>202.63108019525274</v>
      </c>
      <c r="FT145">
        <v>23</v>
      </c>
      <c r="FU145">
        <f t="shared" si="340"/>
        <v>7400.1999999999989</v>
      </c>
      <c r="FV145">
        <f t="shared" si="244"/>
        <v>3354.4043456242184</v>
      </c>
      <c r="FW145">
        <f t="shared" si="245"/>
        <v>101.31554009762637</v>
      </c>
      <c r="FY145">
        <v>23</v>
      </c>
      <c r="FZ145">
        <f t="shared" si="341"/>
        <v>3700.0999999999995</v>
      </c>
      <c r="GA145">
        <f t="shared" si="290"/>
        <v>1677.2021728121092</v>
      </c>
      <c r="GB145">
        <f t="shared" si="246"/>
        <v>50.657770048813184</v>
      </c>
      <c r="GD145">
        <v>23</v>
      </c>
      <c r="GE145">
        <f t="shared" si="342"/>
        <v>14800.399999999998</v>
      </c>
      <c r="GF145">
        <f t="shared" si="291"/>
        <v>6708.8086912484368</v>
      </c>
      <c r="GG145" s="18">
        <f t="shared" si="247"/>
        <v>202.63108019525274</v>
      </c>
      <c r="GH145">
        <v>23</v>
      </c>
      <c r="GI145">
        <f t="shared" si="343"/>
        <v>9848.1999999999989</v>
      </c>
      <c r="GJ145">
        <f t="shared" si="248"/>
        <v>4464.0475766298787</v>
      </c>
      <c r="GK145">
        <f t="shared" si="249"/>
        <v>101.31554009762637</v>
      </c>
      <c r="GM145">
        <v>23</v>
      </c>
      <c r="GN145">
        <f t="shared" si="344"/>
        <v>4924.0999999999995</v>
      </c>
      <c r="GO145">
        <f t="shared" si="292"/>
        <v>2232.0237883149393</v>
      </c>
      <c r="GP145">
        <f t="shared" si="250"/>
        <v>50.657770048813184</v>
      </c>
      <c r="GR145">
        <v>23</v>
      </c>
      <c r="GS145">
        <f t="shared" si="345"/>
        <v>19696.399999999998</v>
      </c>
      <c r="GT145">
        <f t="shared" si="293"/>
        <v>8928.0951532597574</v>
      </c>
      <c r="GU145" s="18">
        <f t="shared" si="251"/>
        <v>202.63108019525274</v>
      </c>
      <c r="GV145">
        <v>23</v>
      </c>
      <c r="GW145">
        <f t="shared" si="346"/>
        <v>12296.199999999999</v>
      </c>
      <c r="GX145">
        <f t="shared" si="252"/>
        <v>5573.6908076355394</v>
      </c>
      <c r="GY145">
        <f t="shared" si="294"/>
        <v>3219.1114835876829</v>
      </c>
      <c r="HA145">
        <v>23</v>
      </c>
      <c r="HB145">
        <f t="shared" si="347"/>
        <v>6148.0999999999995</v>
      </c>
      <c r="HC145">
        <f t="shared" si="295"/>
        <v>2786.8454038177697</v>
      </c>
      <c r="HD145">
        <f t="shared" si="253"/>
        <v>50.657770048813184</v>
      </c>
      <c r="HF145">
        <v>23</v>
      </c>
      <c r="HG145">
        <f t="shared" si="348"/>
        <v>24592.399999999998</v>
      </c>
      <c r="HH145">
        <f t="shared" si="296"/>
        <v>11147.381615271079</v>
      </c>
      <c r="HI145" s="18">
        <f t="shared" si="254"/>
        <v>202.63108019525274</v>
      </c>
    </row>
    <row r="146" spans="1:217" x14ac:dyDescent="0.25">
      <c r="H146">
        <v>24</v>
      </c>
      <c r="I146">
        <f t="shared" si="297"/>
        <v>387</v>
      </c>
      <c r="J146">
        <f t="shared" si="255"/>
        <v>169.48941081714767</v>
      </c>
      <c r="K146">
        <f t="shared" si="256"/>
        <v>95.580698205307911</v>
      </c>
      <c r="M146">
        <v>24</v>
      </c>
      <c r="N146">
        <v>193.5</v>
      </c>
      <c r="O146">
        <f t="shared" si="298"/>
        <v>84.744705408573836</v>
      </c>
      <c r="P146">
        <f t="shared" si="257"/>
        <v>47.790349102653956</v>
      </c>
      <c r="R146">
        <v>24</v>
      </c>
      <c r="S146">
        <v>774</v>
      </c>
      <c r="T146">
        <f t="shared" si="299"/>
        <v>338.97882163429534</v>
      </c>
      <c r="U146" s="18">
        <f t="shared" si="300"/>
        <v>191.16139641061582</v>
      </c>
      <c r="V146">
        <v>24</v>
      </c>
      <c r="W146">
        <f t="shared" si="301"/>
        <v>423.4</v>
      </c>
      <c r="X146">
        <f t="shared" si="258"/>
        <v>185.43105049090519</v>
      </c>
      <c r="Y146">
        <f t="shared" si="259"/>
        <v>104.5707173646702</v>
      </c>
      <c r="AA146">
        <v>24</v>
      </c>
      <c r="AB146">
        <f t="shared" si="302"/>
        <v>211.7</v>
      </c>
      <c r="AC146">
        <f t="shared" si="303"/>
        <v>92.715525245452596</v>
      </c>
      <c r="AD146">
        <f t="shared" si="260"/>
        <v>47.790349102653956</v>
      </c>
      <c r="AF146">
        <v>24</v>
      </c>
      <c r="AG146">
        <f t="shared" si="304"/>
        <v>846.8</v>
      </c>
      <c r="AH146">
        <f t="shared" si="305"/>
        <v>370.86210098181039</v>
      </c>
      <c r="AI146" s="18">
        <f t="shared" si="306"/>
        <v>191.16139641061582</v>
      </c>
      <c r="AJ146">
        <v>24</v>
      </c>
      <c r="AK146">
        <f t="shared" si="307"/>
        <v>423.4</v>
      </c>
      <c r="AL146">
        <f t="shared" si="261"/>
        <v>185.43105049090519</v>
      </c>
      <c r="AM146">
        <f t="shared" si="262"/>
        <v>104.5707173646702</v>
      </c>
      <c r="AO146">
        <v>24</v>
      </c>
      <c r="AP146">
        <f t="shared" si="308"/>
        <v>211.7</v>
      </c>
      <c r="AQ146">
        <f t="shared" si="309"/>
        <v>92.715525245452596</v>
      </c>
      <c r="AR146">
        <f t="shared" si="263"/>
        <v>47.790349102653956</v>
      </c>
      <c r="AT146">
        <v>24</v>
      </c>
      <c r="AU146">
        <f t="shared" si="310"/>
        <v>846.8</v>
      </c>
      <c r="AV146">
        <f t="shared" si="311"/>
        <v>370.86210098181039</v>
      </c>
      <c r="AW146" s="18">
        <f t="shared" si="312"/>
        <v>191.16139641061582</v>
      </c>
      <c r="AX146">
        <v>24</v>
      </c>
      <c r="AY146">
        <f t="shared" si="313"/>
        <v>423.4</v>
      </c>
      <c r="AZ146">
        <f t="shared" si="216"/>
        <v>185.43105049090519</v>
      </c>
      <c r="BA146">
        <f t="shared" si="264"/>
        <v>104.5707173646702</v>
      </c>
      <c r="BC146">
        <v>24</v>
      </c>
      <c r="BD146">
        <f t="shared" si="314"/>
        <v>211.7</v>
      </c>
      <c r="BE146">
        <f t="shared" si="265"/>
        <v>92.715525245452596</v>
      </c>
      <c r="BF146">
        <f t="shared" si="217"/>
        <v>47.790349102653956</v>
      </c>
      <c r="BH146">
        <v>24</v>
      </c>
      <c r="BI146">
        <f t="shared" si="315"/>
        <v>846.8</v>
      </c>
      <c r="BJ146">
        <f t="shared" si="266"/>
        <v>370.86210098181039</v>
      </c>
      <c r="BK146" s="18">
        <f t="shared" si="218"/>
        <v>191.16139641061582</v>
      </c>
      <c r="BL146">
        <v>24</v>
      </c>
      <c r="BM146">
        <f t="shared" si="316"/>
        <v>668.19999999999993</v>
      </c>
      <c r="BN146">
        <f t="shared" si="219"/>
        <v>292.6429568682637</v>
      </c>
      <c r="BO146">
        <f t="shared" si="267"/>
        <v>165.03106599686495</v>
      </c>
      <c r="BQ146">
        <v>24</v>
      </c>
      <c r="BR146">
        <f t="shared" si="317"/>
        <v>334.09999999999997</v>
      </c>
      <c r="BS146">
        <f t="shared" si="268"/>
        <v>146.32147843413185</v>
      </c>
      <c r="BT146">
        <f t="shared" si="220"/>
        <v>47.790349102653956</v>
      </c>
      <c r="BV146">
        <v>24</v>
      </c>
      <c r="BW146">
        <f t="shared" si="318"/>
        <v>1336.3999999999999</v>
      </c>
      <c r="BX146">
        <f t="shared" si="269"/>
        <v>585.28591373652739</v>
      </c>
      <c r="BY146" s="18">
        <f t="shared" si="221"/>
        <v>191.16139641061582</v>
      </c>
      <c r="BZ146">
        <v>24</v>
      </c>
      <c r="CA146">
        <f t="shared" si="319"/>
        <v>974.19999999999993</v>
      </c>
      <c r="CB146">
        <f t="shared" si="222"/>
        <v>426.65783983996187</v>
      </c>
      <c r="CC146">
        <f t="shared" si="270"/>
        <v>240.60650178710841</v>
      </c>
      <c r="CE146">
        <v>24</v>
      </c>
      <c r="CF146">
        <f t="shared" si="320"/>
        <v>487.09999999999997</v>
      </c>
      <c r="CG146">
        <f t="shared" si="271"/>
        <v>213.32891991998093</v>
      </c>
      <c r="CH146">
        <f t="shared" si="223"/>
        <v>47.790349102653956</v>
      </c>
      <c r="CJ146">
        <v>24</v>
      </c>
      <c r="CK146">
        <f t="shared" si="321"/>
        <v>1948.3999999999999</v>
      </c>
      <c r="CL146">
        <f t="shared" si="272"/>
        <v>853.31567967992373</v>
      </c>
      <c r="CM146" s="18">
        <f t="shared" si="224"/>
        <v>191.16139641061582</v>
      </c>
      <c r="CN146">
        <v>24</v>
      </c>
      <c r="CO146">
        <f t="shared" si="322"/>
        <v>1280.1999999999998</v>
      </c>
      <c r="CP146">
        <f t="shared" si="225"/>
        <v>560.67272281165992</v>
      </c>
      <c r="CQ146">
        <f t="shared" si="273"/>
        <v>316.18193757735185</v>
      </c>
      <c r="CS146">
        <v>24</v>
      </c>
      <c r="CT146">
        <f t="shared" si="323"/>
        <v>640.09999999999991</v>
      </c>
      <c r="CU146">
        <f t="shared" si="274"/>
        <v>280.33636140582996</v>
      </c>
      <c r="CV146">
        <f t="shared" si="226"/>
        <v>47.790349102653956</v>
      </c>
      <c r="CX146">
        <v>24</v>
      </c>
      <c r="CY146">
        <f t="shared" si="324"/>
        <v>2560.3999999999996</v>
      </c>
      <c r="CZ146">
        <f t="shared" si="275"/>
        <v>1121.3454456233198</v>
      </c>
      <c r="DA146" s="18">
        <f t="shared" si="227"/>
        <v>191.16139641061582</v>
      </c>
      <c r="DB146">
        <v>24</v>
      </c>
      <c r="DC146">
        <f t="shared" si="325"/>
        <v>1892.1999999999998</v>
      </c>
      <c r="DD146">
        <f t="shared" si="228"/>
        <v>828.70248875505627</v>
      </c>
      <c r="DE146">
        <f t="shared" si="276"/>
        <v>95.580698205307911</v>
      </c>
      <c r="DG146">
        <v>24</v>
      </c>
      <c r="DH146">
        <f t="shared" si="326"/>
        <v>946.09999999999991</v>
      </c>
      <c r="DI146">
        <f t="shared" si="277"/>
        <v>414.35124437752813</v>
      </c>
      <c r="DJ146">
        <f t="shared" si="229"/>
        <v>47.790349102653956</v>
      </c>
      <c r="DL146">
        <v>24</v>
      </c>
      <c r="DM146">
        <f t="shared" si="327"/>
        <v>3784.3999999999996</v>
      </c>
      <c r="DN146">
        <f t="shared" si="278"/>
        <v>1657.4049775101125</v>
      </c>
      <c r="DO146" s="18">
        <f t="shared" si="230"/>
        <v>191.16139641061582</v>
      </c>
      <c r="DP146">
        <v>24</v>
      </c>
      <c r="DQ146">
        <f t="shared" si="328"/>
        <v>2504.1999999999998</v>
      </c>
      <c r="DR146">
        <f t="shared" si="231"/>
        <v>1096.7322546984526</v>
      </c>
      <c r="DS146">
        <f t="shared" si="279"/>
        <v>618.48368073832569</v>
      </c>
      <c r="DU146">
        <v>24</v>
      </c>
      <c r="DV146">
        <f t="shared" si="329"/>
        <v>1252.0999999999999</v>
      </c>
      <c r="DW146">
        <f t="shared" si="280"/>
        <v>548.3661273492263</v>
      </c>
      <c r="DX146">
        <f t="shared" si="232"/>
        <v>47.790349102653956</v>
      </c>
      <c r="DZ146">
        <v>24</v>
      </c>
      <c r="EA146">
        <f t="shared" si="330"/>
        <v>5008.3999999999996</v>
      </c>
      <c r="EB146">
        <f t="shared" si="281"/>
        <v>2193.4645093969052</v>
      </c>
      <c r="EC146" s="18">
        <f t="shared" si="233"/>
        <v>191.16139641061582</v>
      </c>
      <c r="ED146">
        <v>24</v>
      </c>
      <c r="EE146">
        <f t="shared" si="331"/>
        <v>3728.2</v>
      </c>
      <c r="EF146">
        <f t="shared" si="234"/>
        <v>1632.7917865852451</v>
      </c>
      <c r="EG146">
        <f t="shared" si="282"/>
        <v>920.78542389929953</v>
      </c>
      <c r="EI146">
        <v>24</v>
      </c>
      <c r="EJ146">
        <f t="shared" si="332"/>
        <v>1864.1</v>
      </c>
      <c r="EK146">
        <f t="shared" si="283"/>
        <v>816.39589329262253</v>
      </c>
      <c r="EL146">
        <f t="shared" si="235"/>
        <v>47.790349102653956</v>
      </c>
      <c r="EN146">
        <v>24</v>
      </c>
      <c r="EO146">
        <f t="shared" si="333"/>
        <v>7456.4</v>
      </c>
      <c r="EP146">
        <f t="shared" si="284"/>
        <v>3265.5835731704901</v>
      </c>
      <c r="EQ146" s="18">
        <f t="shared" si="236"/>
        <v>191.16139641061582</v>
      </c>
      <c r="ER146">
        <v>24</v>
      </c>
      <c r="ES146">
        <f t="shared" si="334"/>
        <v>4952.1999999999989</v>
      </c>
      <c r="ET146">
        <f t="shared" si="237"/>
        <v>2168.8513184720373</v>
      </c>
      <c r="EU146">
        <f t="shared" si="285"/>
        <v>1223.0871670602733</v>
      </c>
      <c r="EW146">
        <v>24</v>
      </c>
      <c r="EX146">
        <f t="shared" si="335"/>
        <v>2476.0999999999995</v>
      </c>
      <c r="EY146">
        <f t="shared" si="286"/>
        <v>1084.4256592360186</v>
      </c>
      <c r="EZ146">
        <f t="shared" si="238"/>
        <v>47.790349102653956</v>
      </c>
      <c r="FB146">
        <v>24</v>
      </c>
      <c r="FC146">
        <f t="shared" si="336"/>
        <v>9904.3999999999978</v>
      </c>
      <c r="FD146">
        <f t="shared" si="287"/>
        <v>4337.7026369440746</v>
      </c>
      <c r="FE146" s="18">
        <f t="shared" si="239"/>
        <v>191.16139641061582</v>
      </c>
      <c r="FF146">
        <v>24</v>
      </c>
      <c r="FG146">
        <f t="shared" si="337"/>
        <v>6176.1999999999989</v>
      </c>
      <c r="FH146">
        <f t="shared" si="240"/>
        <v>2704.91085035883</v>
      </c>
      <c r="FI146">
        <f t="shared" si="241"/>
        <v>95.580698205307911</v>
      </c>
      <c r="FK146">
        <v>24</v>
      </c>
      <c r="FL146">
        <f t="shared" si="338"/>
        <v>3088.0999999999995</v>
      </c>
      <c r="FM146">
        <f t="shared" si="288"/>
        <v>1352.455425179415</v>
      </c>
      <c r="FN146">
        <f t="shared" si="242"/>
        <v>47.790349102653956</v>
      </c>
      <c r="FP146">
        <v>24</v>
      </c>
      <c r="FQ146">
        <f t="shared" si="339"/>
        <v>12352.399999999998</v>
      </c>
      <c r="FR146">
        <f t="shared" si="289"/>
        <v>5409.82170071766</v>
      </c>
      <c r="FS146" s="18">
        <f t="shared" si="243"/>
        <v>191.16139641061582</v>
      </c>
      <c r="FT146">
        <v>24</v>
      </c>
      <c r="FU146">
        <f t="shared" si="340"/>
        <v>7400.1999999999989</v>
      </c>
      <c r="FV146">
        <f t="shared" si="244"/>
        <v>3240.9703822456227</v>
      </c>
      <c r="FW146">
        <f t="shared" si="245"/>
        <v>95.580698205307911</v>
      </c>
      <c r="FY146">
        <v>24</v>
      </c>
      <c r="FZ146">
        <f t="shared" si="341"/>
        <v>3700.0999999999995</v>
      </c>
      <c r="GA146">
        <f t="shared" si="290"/>
        <v>1620.4851911228113</v>
      </c>
      <c r="GB146">
        <f t="shared" si="246"/>
        <v>47.790349102653956</v>
      </c>
      <c r="GD146">
        <v>24</v>
      </c>
      <c r="GE146">
        <f t="shared" si="342"/>
        <v>14800.399999999998</v>
      </c>
      <c r="GF146">
        <f t="shared" si="291"/>
        <v>6481.9407644912453</v>
      </c>
      <c r="GG146" s="18">
        <f t="shared" si="247"/>
        <v>191.16139641061582</v>
      </c>
      <c r="GH146">
        <v>24</v>
      </c>
      <c r="GI146">
        <f t="shared" si="343"/>
        <v>9848.1999999999989</v>
      </c>
      <c r="GJ146">
        <f t="shared" si="248"/>
        <v>4313.0894460192076</v>
      </c>
      <c r="GK146">
        <f t="shared" si="249"/>
        <v>95.580698205307911</v>
      </c>
      <c r="GM146">
        <v>24</v>
      </c>
      <c r="GN146">
        <f t="shared" si="344"/>
        <v>4924.0999999999995</v>
      </c>
      <c r="GO146">
        <f t="shared" si="292"/>
        <v>2156.5447230096038</v>
      </c>
      <c r="GP146">
        <f t="shared" si="250"/>
        <v>47.790349102653956</v>
      </c>
      <c r="GR146">
        <v>24</v>
      </c>
      <c r="GS146">
        <f t="shared" si="345"/>
        <v>19696.399999999998</v>
      </c>
      <c r="GT146">
        <f t="shared" si="293"/>
        <v>8626.1788920384151</v>
      </c>
      <c r="GU146" s="18">
        <f t="shared" si="251"/>
        <v>191.16139641061582</v>
      </c>
      <c r="GV146">
        <v>24</v>
      </c>
      <c r="GW146">
        <f t="shared" si="346"/>
        <v>12296.199999999999</v>
      </c>
      <c r="GX146">
        <f t="shared" si="252"/>
        <v>5385.2085097927929</v>
      </c>
      <c r="GY146">
        <f t="shared" si="294"/>
        <v>3036.8976260261161</v>
      </c>
      <c r="HA146">
        <v>24</v>
      </c>
      <c r="HB146">
        <f t="shared" si="347"/>
        <v>6148.0999999999995</v>
      </c>
      <c r="HC146">
        <f t="shared" si="295"/>
        <v>2692.6042548963965</v>
      </c>
      <c r="HD146">
        <f t="shared" si="253"/>
        <v>47.790349102653956</v>
      </c>
      <c r="HF146">
        <v>24</v>
      </c>
      <c r="HG146">
        <f t="shared" si="348"/>
        <v>24592.399999999998</v>
      </c>
      <c r="HH146">
        <f t="shared" si="296"/>
        <v>10770.417019585586</v>
      </c>
      <c r="HI146" s="18">
        <f t="shared" si="254"/>
        <v>191.16139641061582</v>
      </c>
    </row>
    <row r="147" spans="1:217" x14ac:dyDescent="0.25">
      <c r="H147">
        <v>25</v>
      </c>
      <c r="I147">
        <f t="shared" si="297"/>
        <v>387</v>
      </c>
      <c r="J147">
        <f t="shared" si="255"/>
        <v>163.75788484748568</v>
      </c>
      <c r="K147">
        <f t="shared" si="256"/>
        <v>90.170470005007459</v>
      </c>
      <c r="M147">
        <v>25</v>
      </c>
      <c r="N147">
        <v>193.5</v>
      </c>
      <c r="O147">
        <f t="shared" si="298"/>
        <v>81.878942423742842</v>
      </c>
      <c r="P147">
        <f t="shared" si="257"/>
        <v>45.08523500250373</v>
      </c>
      <c r="R147">
        <v>25</v>
      </c>
      <c r="S147">
        <v>774</v>
      </c>
      <c r="T147">
        <f t="shared" si="299"/>
        <v>327.51576969497137</v>
      </c>
      <c r="U147" s="18">
        <f t="shared" si="300"/>
        <v>180.34094001001492</v>
      </c>
      <c r="V147">
        <v>25</v>
      </c>
      <c r="W147">
        <f t="shared" si="301"/>
        <v>423.4</v>
      </c>
      <c r="X147">
        <f t="shared" si="258"/>
        <v>179.16043525691327</v>
      </c>
      <c r="Y147">
        <f t="shared" si="259"/>
        <v>98.651620155349249</v>
      </c>
      <c r="AA147">
        <v>25</v>
      </c>
      <c r="AB147">
        <f t="shared" si="302"/>
        <v>211.7</v>
      </c>
      <c r="AC147">
        <f t="shared" si="303"/>
        <v>89.580217628456637</v>
      </c>
      <c r="AD147">
        <f t="shared" si="260"/>
        <v>45.08523500250373</v>
      </c>
      <c r="AF147">
        <v>25</v>
      </c>
      <c r="AG147">
        <f t="shared" si="304"/>
        <v>846.8</v>
      </c>
      <c r="AH147">
        <f t="shared" si="305"/>
        <v>358.32087051382655</v>
      </c>
      <c r="AI147" s="18">
        <f t="shared" si="306"/>
        <v>180.34094001001492</v>
      </c>
      <c r="AJ147">
        <v>25</v>
      </c>
      <c r="AK147">
        <f t="shared" si="307"/>
        <v>423.4</v>
      </c>
      <c r="AL147">
        <f t="shared" si="261"/>
        <v>179.16043525691327</v>
      </c>
      <c r="AM147">
        <f t="shared" si="262"/>
        <v>98.651620155349249</v>
      </c>
      <c r="AO147">
        <v>25</v>
      </c>
      <c r="AP147">
        <f t="shared" si="308"/>
        <v>211.7</v>
      </c>
      <c r="AQ147">
        <f t="shared" si="309"/>
        <v>89.580217628456637</v>
      </c>
      <c r="AR147">
        <f t="shared" si="263"/>
        <v>45.08523500250373</v>
      </c>
      <c r="AT147">
        <v>25</v>
      </c>
      <c r="AU147">
        <f t="shared" si="310"/>
        <v>846.8</v>
      </c>
      <c r="AV147">
        <f t="shared" si="311"/>
        <v>358.32087051382655</v>
      </c>
      <c r="AW147" s="18">
        <f t="shared" si="312"/>
        <v>180.34094001001492</v>
      </c>
      <c r="AX147">
        <v>25</v>
      </c>
      <c r="AY147">
        <f t="shared" si="313"/>
        <v>423.4</v>
      </c>
      <c r="AZ147">
        <f t="shared" si="216"/>
        <v>179.16043525691327</v>
      </c>
      <c r="BA147">
        <f t="shared" si="264"/>
        <v>98.651620155349249</v>
      </c>
      <c r="BC147">
        <v>25</v>
      </c>
      <c r="BD147">
        <f t="shared" si="314"/>
        <v>211.7</v>
      </c>
      <c r="BE147">
        <f t="shared" si="265"/>
        <v>89.580217628456637</v>
      </c>
      <c r="BF147">
        <f t="shared" si="217"/>
        <v>45.08523500250373</v>
      </c>
      <c r="BH147">
        <v>25</v>
      </c>
      <c r="BI147">
        <f t="shared" si="315"/>
        <v>846.8</v>
      </c>
      <c r="BJ147">
        <f t="shared" si="266"/>
        <v>358.32087051382655</v>
      </c>
      <c r="BK147" s="18">
        <f t="shared" si="218"/>
        <v>180.34094001001492</v>
      </c>
      <c r="BL147">
        <v>25</v>
      </c>
      <c r="BM147">
        <f t="shared" si="316"/>
        <v>668.19999999999993</v>
      </c>
      <c r="BN147">
        <f t="shared" si="219"/>
        <v>282.74681823020649</v>
      </c>
      <c r="BO147">
        <f t="shared" si="267"/>
        <v>155.68968490270279</v>
      </c>
      <c r="BQ147">
        <v>25</v>
      </c>
      <c r="BR147">
        <f t="shared" si="317"/>
        <v>334.09999999999997</v>
      </c>
      <c r="BS147">
        <f t="shared" si="268"/>
        <v>141.37340911510324</v>
      </c>
      <c r="BT147">
        <f t="shared" si="220"/>
        <v>45.08523500250373</v>
      </c>
      <c r="BV147">
        <v>25</v>
      </c>
      <c r="BW147">
        <f t="shared" si="318"/>
        <v>1336.3999999999999</v>
      </c>
      <c r="BX147">
        <f t="shared" si="269"/>
        <v>565.49363646041297</v>
      </c>
      <c r="BY147" s="18">
        <f t="shared" si="221"/>
        <v>180.34094001001492</v>
      </c>
      <c r="BZ147">
        <v>25</v>
      </c>
      <c r="CA147">
        <f t="shared" si="319"/>
        <v>974.19999999999993</v>
      </c>
      <c r="CB147">
        <f t="shared" si="222"/>
        <v>412.22979694682311</v>
      </c>
      <c r="CC147">
        <f t="shared" si="270"/>
        <v>226.98726583689475</v>
      </c>
      <c r="CE147">
        <v>25</v>
      </c>
      <c r="CF147">
        <f t="shared" si="320"/>
        <v>487.09999999999997</v>
      </c>
      <c r="CG147">
        <f t="shared" si="271"/>
        <v>206.11489847341156</v>
      </c>
      <c r="CH147">
        <f t="shared" si="223"/>
        <v>45.08523500250373</v>
      </c>
      <c r="CJ147">
        <v>25</v>
      </c>
      <c r="CK147">
        <f t="shared" si="321"/>
        <v>1948.3999999999999</v>
      </c>
      <c r="CL147">
        <f t="shared" si="272"/>
        <v>824.45959389364623</v>
      </c>
      <c r="CM147" s="18">
        <f t="shared" si="224"/>
        <v>180.34094001001492</v>
      </c>
      <c r="CN147">
        <v>25</v>
      </c>
      <c r="CO147">
        <f t="shared" si="322"/>
        <v>1280.1999999999998</v>
      </c>
      <c r="CP147">
        <f t="shared" si="225"/>
        <v>541.71277566343963</v>
      </c>
      <c r="CQ147">
        <f t="shared" si="273"/>
        <v>298.28484677108668</v>
      </c>
      <c r="CS147">
        <v>25</v>
      </c>
      <c r="CT147">
        <f t="shared" si="323"/>
        <v>640.09999999999991</v>
      </c>
      <c r="CU147">
        <f t="shared" si="274"/>
        <v>270.85638783171981</v>
      </c>
      <c r="CV147">
        <f t="shared" si="226"/>
        <v>45.08523500250373</v>
      </c>
      <c r="CX147">
        <v>25</v>
      </c>
      <c r="CY147">
        <f t="shared" si="324"/>
        <v>2560.3999999999996</v>
      </c>
      <c r="CZ147">
        <f t="shared" si="275"/>
        <v>1083.4255513268793</v>
      </c>
      <c r="DA147" s="18">
        <f t="shared" si="227"/>
        <v>180.34094001001492</v>
      </c>
      <c r="DB147">
        <v>25</v>
      </c>
      <c r="DC147">
        <f t="shared" si="325"/>
        <v>1892.1999999999998</v>
      </c>
      <c r="DD147">
        <f t="shared" si="228"/>
        <v>800.67873309667277</v>
      </c>
      <c r="DE147">
        <f t="shared" si="276"/>
        <v>90.170470005007459</v>
      </c>
      <c r="DG147">
        <v>25</v>
      </c>
      <c r="DH147">
        <f t="shared" si="326"/>
        <v>946.09999999999991</v>
      </c>
      <c r="DI147">
        <f t="shared" si="277"/>
        <v>400.33936654833639</v>
      </c>
      <c r="DJ147">
        <f t="shared" si="229"/>
        <v>45.08523500250373</v>
      </c>
      <c r="DL147">
        <v>25</v>
      </c>
      <c r="DM147">
        <f t="shared" si="327"/>
        <v>3784.3999999999996</v>
      </c>
      <c r="DN147">
        <f t="shared" si="278"/>
        <v>1601.3574661933455</v>
      </c>
      <c r="DO147" s="18">
        <f t="shared" si="230"/>
        <v>180.34094001001492</v>
      </c>
      <c r="DP147">
        <v>25</v>
      </c>
      <c r="DQ147">
        <f t="shared" si="328"/>
        <v>2504.1999999999998</v>
      </c>
      <c r="DR147">
        <f t="shared" si="231"/>
        <v>1059.644690529906</v>
      </c>
      <c r="DS147">
        <f t="shared" si="279"/>
        <v>583.4751705078545</v>
      </c>
      <c r="DU147">
        <v>25</v>
      </c>
      <c r="DV147">
        <f t="shared" si="329"/>
        <v>1252.0999999999999</v>
      </c>
      <c r="DW147">
        <f t="shared" si="280"/>
        <v>529.82234526495301</v>
      </c>
      <c r="DX147">
        <f t="shared" si="232"/>
        <v>45.08523500250373</v>
      </c>
      <c r="DZ147">
        <v>25</v>
      </c>
      <c r="EA147">
        <f t="shared" si="330"/>
        <v>5008.3999999999996</v>
      </c>
      <c r="EB147">
        <f t="shared" si="281"/>
        <v>2119.2893810598121</v>
      </c>
      <c r="EC147" s="18">
        <f t="shared" si="233"/>
        <v>180.34094001001492</v>
      </c>
      <c r="ED147">
        <v>25</v>
      </c>
      <c r="EE147">
        <f t="shared" si="331"/>
        <v>3728.2</v>
      </c>
      <c r="EF147">
        <f t="shared" si="234"/>
        <v>1577.5766053963723</v>
      </c>
      <c r="EG147">
        <f t="shared" si="282"/>
        <v>868.66549424462221</v>
      </c>
      <c r="EI147">
        <v>25</v>
      </c>
      <c r="EJ147">
        <f t="shared" si="332"/>
        <v>1864.1</v>
      </c>
      <c r="EK147">
        <f t="shared" si="283"/>
        <v>788.78830269818616</v>
      </c>
      <c r="EL147">
        <f t="shared" si="235"/>
        <v>45.08523500250373</v>
      </c>
      <c r="EN147">
        <v>25</v>
      </c>
      <c r="EO147">
        <f t="shared" si="333"/>
        <v>7456.4</v>
      </c>
      <c r="EP147">
        <f t="shared" si="284"/>
        <v>3155.1532107927446</v>
      </c>
      <c r="EQ147" s="18">
        <f t="shared" si="236"/>
        <v>180.34094001001492</v>
      </c>
      <c r="ER147">
        <v>25</v>
      </c>
      <c r="ES147">
        <f t="shared" si="334"/>
        <v>4952.1999999999989</v>
      </c>
      <c r="ET147">
        <f t="shared" si="237"/>
        <v>2095.5085202628384</v>
      </c>
      <c r="EU147">
        <f t="shared" si="285"/>
        <v>1153.8558179813899</v>
      </c>
      <c r="EW147">
        <v>25</v>
      </c>
      <c r="EX147">
        <f t="shared" si="335"/>
        <v>2476.0999999999995</v>
      </c>
      <c r="EY147">
        <f t="shared" si="286"/>
        <v>1047.7542601314192</v>
      </c>
      <c r="EZ147">
        <f t="shared" si="238"/>
        <v>45.08523500250373</v>
      </c>
      <c r="FB147">
        <v>25</v>
      </c>
      <c r="FC147">
        <f t="shared" si="336"/>
        <v>9904.3999999999978</v>
      </c>
      <c r="FD147">
        <f t="shared" si="287"/>
        <v>4191.0170405256767</v>
      </c>
      <c r="FE147" s="18">
        <f t="shared" si="239"/>
        <v>180.34094001001492</v>
      </c>
      <c r="FF147">
        <v>25</v>
      </c>
      <c r="FG147">
        <f t="shared" si="337"/>
        <v>6176.1999999999989</v>
      </c>
      <c r="FH147">
        <f t="shared" si="240"/>
        <v>2613.4404351293047</v>
      </c>
      <c r="FI147">
        <f t="shared" si="241"/>
        <v>90.170470005007459</v>
      </c>
      <c r="FK147">
        <v>25</v>
      </c>
      <c r="FL147">
        <f t="shared" si="338"/>
        <v>3088.0999999999995</v>
      </c>
      <c r="FM147">
        <f t="shared" si="288"/>
        <v>1306.7202175646523</v>
      </c>
      <c r="FN147">
        <f t="shared" si="242"/>
        <v>45.08523500250373</v>
      </c>
      <c r="FP147">
        <v>25</v>
      </c>
      <c r="FQ147">
        <f t="shared" si="339"/>
        <v>12352.399999999998</v>
      </c>
      <c r="FR147">
        <f t="shared" si="289"/>
        <v>5226.8808702586093</v>
      </c>
      <c r="FS147" s="18">
        <f t="shared" si="243"/>
        <v>180.34094001001492</v>
      </c>
      <c r="FT147">
        <v>25</v>
      </c>
      <c r="FU147">
        <f t="shared" si="340"/>
        <v>7400.1999999999989</v>
      </c>
      <c r="FV147">
        <f t="shared" si="244"/>
        <v>3131.3723499957709</v>
      </c>
      <c r="FW147">
        <f t="shared" si="245"/>
        <v>90.170470005007459</v>
      </c>
      <c r="FY147">
        <v>25</v>
      </c>
      <c r="FZ147">
        <f t="shared" si="341"/>
        <v>3700.0999999999995</v>
      </c>
      <c r="GA147">
        <f t="shared" si="290"/>
        <v>1565.6861749978855</v>
      </c>
      <c r="GB147">
        <f t="shared" si="246"/>
        <v>45.08523500250373</v>
      </c>
      <c r="GD147">
        <v>25</v>
      </c>
      <c r="GE147">
        <f t="shared" si="342"/>
        <v>14800.399999999998</v>
      </c>
      <c r="GF147">
        <f t="shared" si="291"/>
        <v>6262.7446999915419</v>
      </c>
      <c r="GG147" s="18">
        <f t="shared" si="247"/>
        <v>180.34094001001492</v>
      </c>
      <c r="GH147">
        <v>25</v>
      </c>
      <c r="GI147">
        <f t="shared" si="343"/>
        <v>9848.1999999999989</v>
      </c>
      <c r="GJ147">
        <f t="shared" si="248"/>
        <v>4167.236179728704</v>
      </c>
      <c r="GK147">
        <f t="shared" si="249"/>
        <v>90.170470005007459</v>
      </c>
      <c r="GM147">
        <v>25</v>
      </c>
      <c r="GN147">
        <f t="shared" si="344"/>
        <v>4924.0999999999995</v>
      </c>
      <c r="GO147">
        <f t="shared" si="292"/>
        <v>2083.618089864352</v>
      </c>
      <c r="GP147">
        <f t="shared" si="250"/>
        <v>45.08523500250373</v>
      </c>
      <c r="GR147">
        <v>25</v>
      </c>
      <c r="GS147">
        <f t="shared" si="345"/>
        <v>19696.399999999998</v>
      </c>
      <c r="GT147">
        <f t="shared" si="293"/>
        <v>8334.4723594574079</v>
      </c>
      <c r="GU147" s="18">
        <f t="shared" si="251"/>
        <v>180.34094001001492</v>
      </c>
      <c r="GV147">
        <v>25</v>
      </c>
      <c r="GW147">
        <f t="shared" si="346"/>
        <v>12296.199999999999</v>
      </c>
      <c r="GX147">
        <f t="shared" si="252"/>
        <v>5203.1000094616365</v>
      </c>
      <c r="GY147">
        <f t="shared" si="294"/>
        <v>2864.9977604019964</v>
      </c>
      <c r="HA147">
        <v>25</v>
      </c>
      <c r="HB147">
        <f t="shared" si="347"/>
        <v>6148.0999999999995</v>
      </c>
      <c r="HC147">
        <f t="shared" si="295"/>
        <v>2601.5500047308183</v>
      </c>
      <c r="HD147">
        <f t="shared" si="253"/>
        <v>45.08523500250373</v>
      </c>
      <c r="HF147">
        <v>25</v>
      </c>
      <c r="HG147">
        <f t="shared" si="348"/>
        <v>24592.399999999998</v>
      </c>
      <c r="HH147">
        <f t="shared" si="296"/>
        <v>10406.200018923273</v>
      </c>
      <c r="HI147" s="18">
        <f t="shared" si="254"/>
        <v>180.34094001001492</v>
      </c>
    </row>
    <row r="148" spans="1:217" x14ac:dyDescent="0.25">
      <c r="H148">
        <v>26</v>
      </c>
      <c r="I148">
        <f t="shared" si="297"/>
        <v>387</v>
      </c>
      <c r="J148">
        <f t="shared" si="255"/>
        <v>158.22017859660451</v>
      </c>
      <c r="K148">
        <f t="shared" si="256"/>
        <v>85.066481136799496</v>
      </c>
      <c r="M148">
        <v>26</v>
      </c>
      <c r="N148">
        <v>193.5</v>
      </c>
      <c r="O148">
        <f t="shared" si="298"/>
        <v>79.110089298302256</v>
      </c>
      <c r="P148">
        <f t="shared" si="257"/>
        <v>42.533240568399748</v>
      </c>
      <c r="R148">
        <v>26</v>
      </c>
      <c r="S148">
        <v>774</v>
      </c>
      <c r="T148">
        <f t="shared" si="299"/>
        <v>316.44035719320902</v>
      </c>
      <c r="U148" s="18">
        <f t="shared" si="300"/>
        <v>170.13296227359899</v>
      </c>
      <c r="V148">
        <v>26</v>
      </c>
      <c r="W148">
        <f t="shared" si="301"/>
        <v>423.4</v>
      </c>
      <c r="X148">
        <f t="shared" si="258"/>
        <v>173.10186981344276</v>
      </c>
      <c r="Y148">
        <f t="shared" si="259"/>
        <v>93.067566184291735</v>
      </c>
      <c r="AA148">
        <v>26</v>
      </c>
      <c r="AB148">
        <f t="shared" si="302"/>
        <v>211.7</v>
      </c>
      <c r="AC148">
        <f t="shared" si="303"/>
        <v>86.55093490672138</v>
      </c>
      <c r="AD148">
        <f t="shared" si="260"/>
        <v>42.533240568399748</v>
      </c>
      <c r="AF148">
        <v>26</v>
      </c>
      <c r="AG148">
        <f t="shared" si="304"/>
        <v>846.8</v>
      </c>
      <c r="AH148">
        <f t="shared" si="305"/>
        <v>346.20373962688552</v>
      </c>
      <c r="AI148" s="18">
        <f t="shared" si="306"/>
        <v>170.13296227359899</v>
      </c>
      <c r="AJ148">
        <v>26</v>
      </c>
      <c r="AK148">
        <f t="shared" si="307"/>
        <v>423.4</v>
      </c>
      <c r="AL148">
        <f t="shared" si="261"/>
        <v>173.10186981344276</v>
      </c>
      <c r="AM148">
        <f t="shared" si="262"/>
        <v>93.067566184291735</v>
      </c>
      <c r="AO148">
        <v>26</v>
      </c>
      <c r="AP148">
        <f t="shared" si="308"/>
        <v>211.7</v>
      </c>
      <c r="AQ148">
        <f t="shared" si="309"/>
        <v>86.55093490672138</v>
      </c>
      <c r="AR148">
        <f t="shared" si="263"/>
        <v>42.533240568399748</v>
      </c>
      <c r="AT148">
        <v>26</v>
      </c>
      <c r="AU148">
        <f t="shared" si="310"/>
        <v>846.8</v>
      </c>
      <c r="AV148">
        <f t="shared" si="311"/>
        <v>346.20373962688552</v>
      </c>
      <c r="AW148" s="18">
        <f t="shared" si="312"/>
        <v>170.13296227359899</v>
      </c>
      <c r="AX148">
        <v>26</v>
      </c>
      <c r="AY148">
        <f t="shared" si="313"/>
        <v>423.4</v>
      </c>
      <c r="AZ148">
        <f t="shared" si="216"/>
        <v>173.10186981344276</v>
      </c>
      <c r="BA148">
        <f t="shared" si="264"/>
        <v>93.067566184291735</v>
      </c>
      <c r="BC148">
        <v>26</v>
      </c>
      <c r="BD148">
        <f t="shared" si="314"/>
        <v>211.7</v>
      </c>
      <c r="BE148">
        <f t="shared" si="265"/>
        <v>86.55093490672138</v>
      </c>
      <c r="BF148">
        <f t="shared" si="217"/>
        <v>42.533240568399748</v>
      </c>
      <c r="BH148">
        <v>26</v>
      </c>
      <c r="BI148">
        <f t="shared" si="315"/>
        <v>846.8</v>
      </c>
      <c r="BJ148">
        <f t="shared" si="266"/>
        <v>346.20373962688552</v>
      </c>
      <c r="BK148" s="18">
        <f t="shared" si="218"/>
        <v>170.13296227359899</v>
      </c>
      <c r="BL148">
        <v>26</v>
      </c>
      <c r="BM148">
        <f t="shared" si="316"/>
        <v>668.19999999999993</v>
      </c>
      <c r="BN148">
        <f t="shared" si="219"/>
        <v>273.18533162338792</v>
      </c>
      <c r="BO148">
        <f t="shared" si="267"/>
        <v>146.87706122896489</v>
      </c>
      <c r="BQ148">
        <v>26</v>
      </c>
      <c r="BR148">
        <f t="shared" si="317"/>
        <v>334.09999999999997</v>
      </c>
      <c r="BS148">
        <f t="shared" si="268"/>
        <v>136.59266581169396</v>
      </c>
      <c r="BT148">
        <f t="shared" si="220"/>
        <v>42.533240568399748</v>
      </c>
      <c r="BV148">
        <v>26</v>
      </c>
      <c r="BW148">
        <f t="shared" si="318"/>
        <v>1336.3999999999999</v>
      </c>
      <c r="BX148">
        <f t="shared" si="269"/>
        <v>546.37066324677585</v>
      </c>
      <c r="BY148" s="18">
        <f t="shared" si="221"/>
        <v>170.13296227359899</v>
      </c>
      <c r="BZ148">
        <v>26</v>
      </c>
      <c r="CA148">
        <f t="shared" si="319"/>
        <v>974.19999999999993</v>
      </c>
      <c r="CB148">
        <f t="shared" si="222"/>
        <v>398.28965888581939</v>
      </c>
      <c r="CC148">
        <f t="shared" si="270"/>
        <v>214.13893003480635</v>
      </c>
      <c r="CE148">
        <v>26</v>
      </c>
      <c r="CF148">
        <f t="shared" si="320"/>
        <v>487.09999999999997</v>
      </c>
      <c r="CG148">
        <f t="shared" si="271"/>
        <v>199.1448294429097</v>
      </c>
      <c r="CH148">
        <f t="shared" si="223"/>
        <v>42.533240568399748</v>
      </c>
      <c r="CJ148">
        <v>26</v>
      </c>
      <c r="CK148">
        <f t="shared" si="321"/>
        <v>1948.3999999999999</v>
      </c>
      <c r="CL148">
        <f t="shared" si="272"/>
        <v>796.57931777163878</v>
      </c>
      <c r="CM148" s="18">
        <f t="shared" si="224"/>
        <v>170.13296227359899</v>
      </c>
      <c r="CN148">
        <v>26</v>
      </c>
      <c r="CO148">
        <f t="shared" si="322"/>
        <v>1280.1999999999998</v>
      </c>
      <c r="CP148">
        <f t="shared" si="225"/>
        <v>523.39398614825086</v>
      </c>
      <c r="CQ148">
        <f t="shared" si="273"/>
        <v>281.40079884064778</v>
      </c>
      <c r="CS148">
        <v>26</v>
      </c>
      <c r="CT148">
        <f t="shared" si="323"/>
        <v>640.09999999999991</v>
      </c>
      <c r="CU148">
        <f t="shared" si="274"/>
        <v>261.69699307412543</v>
      </c>
      <c r="CV148">
        <f t="shared" si="226"/>
        <v>42.533240568399748</v>
      </c>
      <c r="CX148">
        <v>26</v>
      </c>
      <c r="CY148">
        <f t="shared" si="324"/>
        <v>2560.3999999999996</v>
      </c>
      <c r="CZ148">
        <f t="shared" si="275"/>
        <v>1046.7879722965017</v>
      </c>
      <c r="DA148" s="18">
        <f t="shared" si="227"/>
        <v>170.13296227359899</v>
      </c>
      <c r="DB148">
        <v>26</v>
      </c>
      <c r="DC148">
        <f t="shared" si="325"/>
        <v>1892.1999999999998</v>
      </c>
      <c r="DD148">
        <f t="shared" si="228"/>
        <v>773.6026406731138</v>
      </c>
      <c r="DE148">
        <f t="shared" si="276"/>
        <v>85.066481136799496</v>
      </c>
      <c r="DG148">
        <v>26</v>
      </c>
      <c r="DH148">
        <f t="shared" si="326"/>
        <v>946.09999999999991</v>
      </c>
      <c r="DI148">
        <f t="shared" si="277"/>
        <v>386.8013203365569</v>
      </c>
      <c r="DJ148">
        <f t="shared" si="229"/>
        <v>42.533240568399748</v>
      </c>
      <c r="DL148">
        <v>26</v>
      </c>
      <c r="DM148">
        <f t="shared" si="327"/>
        <v>3784.3999999999996</v>
      </c>
      <c r="DN148">
        <f t="shared" si="278"/>
        <v>1547.2052813462276</v>
      </c>
      <c r="DO148" s="18">
        <f t="shared" si="230"/>
        <v>170.13296227359899</v>
      </c>
      <c r="DP148">
        <v>26</v>
      </c>
      <c r="DQ148">
        <f t="shared" si="328"/>
        <v>2504.1999999999998</v>
      </c>
      <c r="DR148">
        <f t="shared" si="231"/>
        <v>1023.8112951979767</v>
      </c>
      <c r="DS148">
        <f t="shared" si="279"/>
        <v>550.44827406401362</v>
      </c>
      <c r="DU148">
        <v>26</v>
      </c>
      <c r="DV148">
        <f t="shared" si="329"/>
        <v>1252.0999999999999</v>
      </c>
      <c r="DW148">
        <f t="shared" si="280"/>
        <v>511.90564759898837</v>
      </c>
      <c r="DX148">
        <f t="shared" si="232"/>
        <v>42.533240568399748</v>
      </c>
      <c r="DZ148">
        <v>26</v>
      </c>
      <c r="EA148">
        <f t="shared" si="330"/>
        <v>5008.3999999999996</v>
      </c>
      <c r="EB148">
        <f t="shared" si="281"/>
        <v>2047.6225903959535</v>
      </c>
      <c r="EC148" s="18">
        <f t="shared" si="233"/>
        <v>170.13296227359899</v>
      </c>
      <c r="ED148">
        <v>26</v>
      </c>
      <c r="EE148">
        <f t="shared" si="331"/>
        <v>3728.2</v>
      </c>
      <c r="EF148">
        <f t="shared" si="234"/>
        <v>1524.2286042477026</v>
      </c>
      <c r="EG148">
        <f t="shared" si="282"/>
        <v>819.49574928737945</v>
      </c>
      <c r="EI148">
        <v>26</v>
      </c>
      <c r="EJ148">
        <f t="shared" si="332"/>
        <v>1864.1</v>
      </c>
      <c r="EK148">
        <f t="shared" si="283"/>
        <v>762.1143021238513</v>
      </c>
      <c r="EL148">
        <f t="shared" si="235"/>
        <v>42.533240568399748</v>
      </c>
      <c r="EN148">
        <v>26</v>
      </c>
      <c r="EO148">
        <f t="shared" si="333"/>
        <v>7456.4</v>
      </c>
      <c r="EP148">
        <f t="shared" si="284"/>
        <v>3048.4572084954052</v>
      </c>
      <c r="EQ148" s="18">
        <f t="shared" si="236"/>
        <v>170.13296227359899</v>
      </c>
      <c r="ER148">
        <v>26</v>
      </c>
      <c r="ES148">
        <f t="shared" si="334"/>
        <v>4952.1999999999989</v>
      </c>
      <c r="ET148">
        <f t="shared" si="237"/>
        <v>2024.6459132974283</v>
      </c>
      <c r="EU148">
        <f t="shared" si="285"/>
        <v>1088.5432245107452</v>
      </c>
      <c r="EW148">
        <v>26</v>
      </c>
      <c r="EX148">
        <f t="shared" si="335"/>
        <v>2476.0999999999995</v>
      </c>
      <c r="EY148">
        <f t="shared" si="286"/>
        <v>1012.3229566487141</v>
      </c>
      <c r="EZ148">
        <f t="shared" si="238"/>
        <v>42.533240568399748</v>
      </c>
      <c r="FB148">
        <v>26</v>
      </c>
      <c r="FC148">
        <f t="shared" si="336"/>
        <v>9904.3999999999978</v>
      </c>
      <c r="FD148">
        <f t="shared" si="287"/>
        <v>4049.2918265948565</v>
      </c>
      <c r="FE148" s="18">
        <f t="shared" si="239"/>
        <v>170.13296227359899</v>
      </c>
      <c r="FF148">
        <v>26</v>
      </c>
      <c r="FG148">
        <f t="shared" si="337"/>
        <v>6176.1999999999989</v>
      </c>
      <c r="FH148">
        <f t="shared" si="240"/>
        <v>2525.0632223471544</v>
      </c>
      <c r="FI148">
        <f t="shared" si="241"/>
        <v>85.066481136799496</v>
      </c>
      <c r="FK148">
        <v>26</v>
      </c>
      <c r="FL148">
        <f t="shared" si="338"/>
        <v>3088.0999999999995</v>
      </c>
      <c r="FM148">
        <f t="shared" si="288"/>
        <v>1262.5316111735772</v>
      </c>
      <c r="FN148">
        <f t="shared" si="242"/>
        <v>42.533240568399748</v>
      </c>
      <c r="FP148">
        <v>26</v>
      </c>
      <c r="FQ148">
        <f t="shared" si="339"/>
        <v>12352.399999999998</v>
      </c>
      <c r="FR148">
        <f t="shared" si="289"/>
        <v>5050.1264446943087</v>
      </c>
      <c r="FS148" s="18">
        <f t="shared" si="243"/>
        <v>170.13296227359899</v>
      </c>
      <c r="FT148">
        <v>26</v>
      </c>
      <c r="FU148">
        <f t="shared" si="340"/>
        <v>7400.1999999999989</v>
      </c>
      <c r="FV148">
        <f t="shared" si="244"/>
        <v>3025.48053139688</v>
      </c>
      <c r="FW148">
        <f t="shared" si="245"/>
        <v>85.066481136799496</v>
      </c>
      <c r="FY148">
        <v>26</v>
      </c>
      <c r="FZ148">
        <f t="shared" si="341"/>
        <v>3700.0999999999995</v>
      </c>
      <c r="GA148">
        <f t="shared" si="290"/>
        <v>1512.74026569844</v>
      </c>
      <c r="GB148">
        <f t="shared" si="246"/>
        <v>42.533240568399748</v>
      </c>
      <c r="GD148">
        <v>26</v>
      </c>
      <c r="GE148">
        <f t="shared" si="342"/>
        <v>14800.399999999998</v>
      </c>
      <c r="GF148">
        <f t="shared" si="291"/>
        <v>6050.96106279376</v>
      </c>
      <c r="GG148" s="18">
        <f t="shared" si="247"/>
        <v>170.13296227359899</v>
      </c>
      <c r="GH148">
        <v>26</v>
      </c>
      <c r="GI148">
        <f t="shared" si="343"/>
        <v>9848.1999999999989</v>
      </c>
      <c r="GJ148">
        <f t="shared" si="248"/>
        <v>4026.3151494963322</v>
      </c>
      <c r="GK148">
        <f t="shared" si="249"/>
        <v>85.066481136799496</v>
      </c>
      <c r="GM148">
        <v>26</v>
      </c>
      <c r="GN148">
        <f t="shared" si="344"/>
        <v>4924.0999999999995</v>
      </c>
      <c r="GO148">
        <f t="shared" si="292"/>
        <v>2013.1575747481661</v>
      </c>
      <c r="GP148">
        <f t="shared" si="250"/>
        <v>42.533240568399748</v>
      </c>
      <c r="GR148">
        <v>26</v>
      </c>
      <c r="GS148">
        <f t="shared" si="345"/>
        <v>19696.399999999998</v>
      </c>
      <c r="GT148">
        <f t="shared" si="293"/>
        <v>8052.6302989926644</v>
      </c>
      <c r="GU148" s="18">
        <f t="shared" si="251"/>
        <v>170.13296227359899</v>
      </c>
      <c r="GV148">
        <v>26</v>
      </c>
      <c r="GW148">
        <f t="shared" si="346"/>
        <v>12296.199999999999</v>
      </c>
      <c r="GX148">
        <f t="shared" si="252"/>
        <v>5027.1497675957835</v>
      </c>
      <c r="GY148">
        <f t="shared" si="294"/>
        <v>2702.82807585094</v>
      </c>
      <c r="HA148">
        <v>26</v>
      </c>
      <c r="HB148">
        <f t="shared" si="347"/>
        <v>6148.0999999999995</v>
      </c>
      <c r="HC148">
        <f t="shared" si="295"/>
        <v>2513.5748837978917</v>
      </c>
      <c r="HD148">
        <f t="shared" si="253"/>
        <v>42.533240568399748</v>
      </c>
      <c r="HF148">
        <v>26</v>
      </c>
      <c r="HG148">
        <f t="shared" si="348"/>
        <v>24592.399999999998</v>
      </c>
      <c r="HH148">
        <f t="shared" si="296"/>
        <v>10054.299535191567</v>
      </c>
      <c r="HI148" s="18">
        <f t="shared" si="254"/>
        <v>170.13296227359899</v>
      </c>
    </row>
    <row r="149" spans="1:217" x14ac:dyDescent="0.25">
      <c r="H149">
        <v>27</v>
      </c>
      <c r="I149">
        <f t="shared" si="297"/>
        <v>387</v>
      </c>
      <c r="J149">
        <f t="shared" si="255"/>
        <v>152.86973777449711</v>
      </c>
      <c r="K149">
        <f t="shared" si="256"/>
        <v>80.251397298867431</v>
      </c>
      <c r="M149">
        <v>27</v>
      </c>
      <c r="N149">
        <v>193.5</v>
      </c>
      <c r="O149">
        <f t="shared" si="298"/>
        <v>76.434868887248555</v>
      </c>
      <c r="P149">
        <f t="shared" si="257"/>
        <v>40.125698649433716</v>
      </c>
      <c r="R149">
        <v>27</v>
      </c>
      <c r="S149">
        <v>774</v>
      </c>
      <c r="T149">
        <f t="shared" si="299"/>
        <v>305.73947554899422</v>
      </c>
      <c r="U149" s="18">
        <f t="shared" si="300"/>
        <v>160.50279459773486</v>
      </c>
      <c r="V149">
        <v>27</v>
      </c>
      <c r="W149">
        <f t="shared" si="301"/>
        <v>423.4</v>
      </c>
      <c r="X149">
        <f t="shared" si="258"/>
        <v>167.2481833946307</v>
      </c>
      <c r="Y149">
        <f t="shared" si="259"/>
        <v>87.799590739897852</v>
      </c>
      <c r="AA149">
        <v>27</v>
      </c>
      <c r="AB149">
        <f t="shared" si="302"/>
        <v>211.7</v>
      </c>
      <c r="AC149">
        <f t="shared" si="303"/>
        <v>83.62409169731535</v>
      </c>
      <c r="AD149">
        <f t="shared" si="260"/>
        <v>40.125698649433716</v>
      </c>
      <c r="AF149">
        <v>27</v>
      </c>
      <c r="AG149">
        <f t="shared" si="304"/>
        <v>846.8</v>
      </c>
      <c r="AH149">
        <f t="shared" si="305"/>
        <v>334.4963667892614</v>
      </c>
      <c r="AI149" s="18">
        <f t="shared" si="306"/>
        <v>160.50279459773486</v>
      </c>
      <c r="AJ149">
        <v>27</v>
      </c>
      <c r="AK149">
        <f t="shared" si="307"/>
        <v>423.4</v>
      </c>
      <c r="AL149">
        <f t="shared" si="261"/>
        <v>167.2481833946307</v>
      </c>
      <c r="AM149">
        <f t="shared" si="262"/>
        <v>87.799590739897852</v>
      </c>
      <c r="AO149">
        <v>27</v>
      </c>
      <c r="AP149">
        <f t="shared" si="308"/>
        <v>211.7</v>
      </c>
      <c r="AQ149">
        <f t="shared" si="309"/>
        <v>83.62409169731535</v>
      </c>
      <c r="AR149">
        <f t="shared" si="263"/>
        <v>40.125698649433716</v>
      </c>
      <c r="AT149">
        <v>27</v>
      </c>
      <c r="AU149">
        <f t="shared" si="310"/>
        <v>846.8</v>
      </c>
      <c r="AV149">
        <f t="shared" si="311"/>
        <v>334.4963667892614</v>
      </c>
      <c r="AW149" s="18">
        <f t="shared" si="312"/>
        <v>160.50279459773486</v>
      </c>
      <c r="AX149">
        <v>27</v>
      </c>
      <c r="AY149">
        <f t="shared" si="313"/>
        <v>423.4</v>
      </c>
      <c r="AZ149">
        <f t="shared" si="216"/>
        <v>167.2481833946307</v>
      </c>
      <c r="BA149">
        <f t="shared" si="264"/>
        <v>87.799590739897852</v>
      </c>
      <c r="BC149">
        <v>27</v>
      </c>
      <c r="BD149">
        <f t="shared" si="314"/>
        <v>211.7</v>
      </c>
      <c r="BE149">
        <f t="shared" si="265"/>
        <v>83.62409169731535</v>
      </c>
      <c r="BF149">
        <f t="shared" si="217"/>
        <v>40.125698649433716</v>
      </c>
      <c r="BH149">
        <v>27</v>
      </c>
      <c r="BI149">
        <f t="shared" si="315"/>
        <v>846.8</v>
      </c>
      <c r="BJ149">
        <f t="shared" si="266"/>
        <v>334.4963667892614</v>
      </c>
      <c r="BK149" s="18">
        <f t="shared" si="218"/>
        <v>160.50279459773486</v>
      </c>
      <c r="BL149">
        <v>27</v>
      </c>
      <c r="BM149">
        <f t="shared" si="316"/>
        <v>668.19999999999993</v>
      </c>
      <c r="BN149">
        <f t="shared" si="219"/>
        <v>263.94718031245208</v>
      </c>
      <c r="BO149">
        <f t="shared" si="267"/>
        <v>138.56326531034421</v>
      </c>
      <c r="BQ149">
        <v>27</v>
      </c>
      <c r="BR149">
        <f t="shared" si="317"/>
        <v>334.09999999999997</v>
      </c>
      <c r="BS149">
        <f t="shared" si="268"/>
        <v>131.97359015622604</v>
      </c>
      <c r="BT149">
        <f t="shared" si="220"/>
        <v>40.125698649433716</v>
      </c>
      <c r="BV149">
        <v>27</v>
      </c>
      <c r="BW149">
        <f t="shared" si="318"/>
        <v>1336.3999999999999</v>
      </c>
      <c r="BX149">
        <f t="shared" si="269"/>
        <v>527.89436062490415</v>
      </c>
      <c r="BY149" s="18">
        <f t="shared" si="221"/>
        <v>160.50279459773486</v>
      </c>
      <c r="BZ149">
        <v>27</v>
      </c>
      <c r="CA149">
        <f t="shared" si="319"/>
        <v>974.19999999999993</v>
      </c>
      <c r="CB149">
        <f t="shared" si="222"/>
        <v>384.82092645972892</v>
      </c>
      <c r="CC149">
        <f t="shared" si="270"/>
        <v>202.01785852340217</v>
      </c>
      <c r="CE149">
        <v>27</v>
      </c>
      <c r="CF149">
        <f t="shared" si="320"/>
        <v>487.09999999999997</v>
      </c>
      <c r="CG149">
        <f t="shared" si="271"/>
        <v>192.41046322986446</v>
      </c>
      <c r="CH149">
        <f t="shared" si="223"/>
        <v>40.125698649433716</v>
      </c>
      <c r="CJ149">
        <v>27</v>
      </c>
      <c r="CK149">
        <f t="shared" si="321"/>
        <v>1948.3999999999999</v>
      </c>
      <c r="CL149">
        <f t="shared" si="272"/>
        <v>769.64185291945785</v>
      </c>
      <c r="CM149" s="18">
        <f t="shared" si="224"/>
        <v>160.50279459773486</v>
      </c>
      <c r="CN149">
        <v>27</v>
      </c>
      <c r="CO149">
        <f t="shared" si="322"/>
        <v>1280.1999999999998</v>
      </c>
      <c r="CP149">
        <f t="shared" si="225"/>
        <v>505.69467260700566</v>
      </c>
      <c r="CQ149">
        <f t="shared" si="273"/>
        <v>265.47245173646013</v>
      </c>
      <c r="CS149">
        <v>27</v>
      </c>
      <c r="CT149">
        <f t="shared" si="323"/>
        <v>640.09999999999991</v>
      </c>
      <c r="CU149">
        <f t="shared" si="274"/>
        <v>252.84733630350283</v>
      </c>
      <c r="CV149">
        <f t="shared" si="226"/>
        <v>40.125698649433716</v>
      </c>
      <c r="CX149">
        <v>27</v>
      </c>
      <c r="CY149">
        <f t="shared" si="324"/>
        <v>2560.3999999999996</v>
      </c>
      <c r="CZ149">
        <f t="shared" si="275"/>
        <v>1011.3893452140113</v>
      </c>
      <c r="DA149" s="18">
        <f t="shared" si="227"/>
        <v>160.50279459773486</v>
      </c>
      <c r="DB149">
        <v>27</v>
      </c>
      <c r="DC149">
        <f t="shared" si="325"/>
        <v>1892.1999999999998</v>
      </c>
      <c r="DD149">
        <f t="shared" si="228"/>
        <v>747.44216490155918</v>
      </c>
      <c r="DE149">
        <f t="shared" si="276"/>
        <v>80.251397298867431</v>
      </c>
      <c r="DG149">
        <v>27</v>
      </c>
      <c r="DH149">
        <f t="shared" si="326"/>
        <v>946.09999999999991</v>
      </c>
      <c r="DI149">
        <f t="shared" si="277"/>
        <v>373.72108245077959</v>
      </c>
      <c r="DJ149">
        <f t="shared" si="229"/>
        <v>40.125698649433716</v>
      </c>
      <c r="DL149">
        <v>27</v>
      </c>
      <c r="DM149">
        <f t="shared" si="327"/>
        <v>3784.3999999999996</v>
      </c>
      <c r="DN149">
        <f t="shared" si="278"/>
        <v>1494.8843298031184</v>
      </c>
      <c r="DO149" s="18">
        <f t="shared" si="230"/>
        <v>160.50279459773486</v>
      </c>
      <c r="DP149">
        <v>27</v>
      </c>
      <c r="DQ149">
        <f t="shared" si="328"/>
        <v>2504.1999999999998</v>
      </c>
      <c r="DR149">
        <f t="shared" si="231"/>
        <v>989.18965719611276</v>
      </c>
      <c r="DS149">
        <f t="shared" si="279"/>
        <v>519.29082458869198</v>
      </c>
      <c r="DU149">
        <v>27</v>
      </c>
      <c r="DV149">
        <f t="shared" si="329"/>
        <v>1252.0999999999999</v>
      </c>
      <c r="DW149">
        <f t="shared" si="280"/>
        <v>494.59482859805638</v>
      </c>
      <c r="DX149">
        <f t="shared" si="232"/>
        <v>40.125698649433716</v>
      </c>
      <c r="DZ149">
        <v>27</v>
      </c>
      <c r="EA149">
        <f t="shared" si="330"/>
        <v>5008.3999999999996</v>
      </c>
      <c r="EB149">
        <f t="shared" si="281"/>
        <v>1978.3793143922255</v>
      </c>
      <c r="EC149" s="18">
        <f t="shared" si="233"/>
        <v>160.50279459773486</v>
      </c>
      <c r="ED149">
        <v>27</v>
      </c>
      <c r="EE149">
        <f t="shared" si="331"/>
        <v>3728.2</v>
      </c>
      <c r="EF149">
        <f t="shared" si="234"/>
        <v>1472.68464178522</v>
      </c>
      <c r="EG149">
        <f t="shared" si="282"/>
        <v>773.10919744092382</v>
      </c>
      <c r="EI149">
        <v>27</v>
      </c>
      <c r="EJ149">
        <f t="shared" si="332"/>
        <v>1864.1</v>
      </c>
      <c r="EK149">
        <f t="shared" si="283"/>
        <v>736.34232089261002</v>
      </c>
      <c r="EL149">
        <f t="shared" si="235"/>
        <v>40.125698649433716</v>
      </c>
      <c r="EN149">
        <v>27</v>
      </c>
      <c r="EO149">
        <f t="shared" si="333"/>
        <v>7456.4</v>
      </c>
      <c r="EP149">
        <f t="shared" si="284"/>
        <v>2945.3692835704401</v>
      </c>
      <c r="EQ149" s="18">
        <f t="shared" si="236"/>
        <v>160.50279459773486</v>
      </c>
      <c r="ER149">
        <v>27</v>
      </c>
      <c r="ES149">
        <f t="shared" si="334"/>
        <v>4952.1999999999989</v>
      </c>
      <c r="ET149">
        <f t="shared" si="237"/>
        <v>1956.1796263743267</v>
      </c>
      <c r="EU149">
        <f t="shared" si="285"/>
        <v>1026.9275702931554</v>
      </c>
      <c r="EW149">
        <v>27</v>
      </c>
      <c r="EX149">
        <f t="shared" si="335"/>
        <v>2476.0999999999995</v>
      </c>
      <c r="EY149">
        <f t="shared" si="286"/>
        <v>978.08981318716337</v>
      </c>
      <c r="EZ149">
        <f t="shared" si="238"/>
        <v>40.125698649433716</v>
      </c>
      <c r="FB149">
        <v>27</v>
      </c>
      <c r="FC149">
        <f t="shared" si="336"/>
        <v>9904.3999999999978</v>
      </c>
      <c r="FD149">
        <f t="shared" si="287"/>
        <v>3912.3592527486535</v>
      </c>
      <c r="FE149" s="18">
        <f t="shared" si="239"/>
        <v>160.50279459773486</v>
      </c>
      <c r="FF149">
        <v>27</v>
      </c>
      <c r="FG149">
        <f t="shared" si="337"/>
        <v>6176.1999999999989</v>
      </c>
      <c r="FH149">
        <f t="shared" si="240"/>
        <v>2439.6746109634341</v>
      </c>
      <c r="FI149">
        <f t="shared" si="241"/>
        <v>80.251397298867431</v>
      </c>
      <c r="FK149">
        <v>27</v>
      </c>
      <c r="FL149">
        <f t="shared" si="338"/>
        <v>3088.0999999999995</v>
      </c>
      <c r="FM149">
        <f t="shared" si="288"/>
        <v>1219.8373054817171</v>
      </c>
      <c r="FN149">
        <f t="shared" si="242"/>
        <v>40.125698649433716</v>
      </c>
      <c r="FP149">
        <v>27</v>
      </c>
      <c r="FQ149">
        <f t="shared" si="339"/>
        <v>12352.399999999998</v>
      </c>
      <c r="FR149">
        <f t="shared" si="289"/>
        <v>4879.3492219268683</v>
      </c>
      <c r="FS149" s="18">
        <f t="shared" si="243"/>
        <v>160.50279459773486</v>
      </c>
      <c r="FT149">
        <v>27</v>
      </c>
      <c r="FU149">
        <f t="shared" si="340"/>
        <v>7400.1999999999989</v>
      </c>
      <c r="FV149">
        <f t="shared" si="244"/>
        <v>2923.1695955525411</v>
      </c>
      <c r="FW149">
        <f t="shared" si="245"/>
        <v>80.251397298867431</v>
      </c>
      <c r="FY149">
        <v>27</v>
      </c>
      <c r="FZ149">
        <f t="shared" si="341"/>
        <v>3700.0999999999995</v>
      </c>
      <c r="GA149">
        <f t="shared" si="290"/>
        <v>1461.5847977762705</v>
      </c>
      <c r="GB149">
        <f t="shared" si="246"/>
        <v>40.125698649433716</v>
      </c>
      <c r="GD149">
        <v>27</v>
      </c>
      <c r="GE149">
        <f t="shared" si="342"/>
        <v>14800.399999999998</v>
      </c>
      <c r="GF149">
        <f t="shared" si="291"/>
        <v>5846.3391911050821</v>
      </c>
      <c r="GG149" s="18">
        <f t="shared" si="247"/>
        <v>160.50279459773486</v>
      </c>
      <c r="GH149">
        <v>27</v>
      </c>
      <c r="GI149">
        <f t="shared" si="343"/>
        <v>9848.1999999999989</v>
      </c>
      <c r="GJ149">
        <f t="shared" si="248"/>
        <v>3890.1595647307554</v>
      </c>
      <c r="GK149">
        <f t="shared" si="249"/>
        <v>80.251397298867431</v>
      </c>
      <c r="GM149">
        <v>27</v>
      </c>
      <c r="GN149">
        <f t="shared" si="344"/>
        <v>4924.0999999999995</v>
      </c>
      <c r="GO149">
        <f t="shared" si="292"/>
        <v>1945.0797823653777</v>
      </c>
      <c r="GP149">
        <f t="shared" si="250"/>
        <v>40.125698649433716</v>
      </c>
      <c r="GR149">
        <v>27</v>
      </c>
      <c r="GS149">
        <f t="shared" si="345"/>
        <v>19696.399999999998</v>
      </c>
      <c r="GT149">
        <f t="shared" si="293"/>
        <v>7780.3191294615108</v>
      </c>
      <c r="GU149" s="18">
        <f t="shared" si="251"/>
        <v>160.50279459773486</v>
      </c>
      <c r="GV149">
        <v>27</v>
      </c>
      <c r="GW149">
        <f t="shared" si="346"/>
        <v>12296.199999999999</v>
      </c>
      <c r="GX149">
        <f t="shared" si="252"/>
        <v>4857.1495339089697</v>
      </c>
      <c r="GY149">
        <f t="shared" si="294"/>
        <v>2549.8378074065467</v>
      </c>
      <c r="HA149">
        <v>27</v>
      </c>
      <c r="HB149">
        <f t="shared" si="347"/>
        <v>6148.0999999999995</v>
      </c>
      <c r="HC149">
        <f t="shared" si="295"/>
        <v>2428.5747669544849</v>
      </c>
      <c r="HD149">
        <f t="shared" si="253"/>
        <v>40.125698649433716</v>
      </c>
      <c r="HF149">
        <v>27</v>
      </c>
      <c r="HG149">
        <f t="shared" si="348"/>
        <v>24592.399999999998</v>
      </c>
      <c r="HH149">
        <f t="shared" si="296"/>
        <v>9714.2990678179394</v>
      </c>
      <c r="HI149" s="18">
        <f t="shared" si="254"/>
        <v>160.50279459773486</v>
      </c>
    </row>
    <row r="150" spans="1:217" x14ac:dyDescent="0.25">
      <c r="H150">
        <v>28</v>
      </c>
      <c r="I150">
        <f t="shared" si="297"/>
        <v>387</v>
      </c>
      <c r="J150">
        <f t="shared" si="255"/>
        <v>147.70022973381364</v>
      </c>
      <c r="K150">
        <f t="shared" si="256"/>
        <v>75.708865376290021</v>
      </c>
      <c r="M150">
        <v>28</v>
      </c>
      <c r="N150">
        <v>193.5</v>
      </c>
      <c r="O150">
        <f t="shared" si="298"/>
        <v>73.850114866906821</v>
      </c>
      <c r="P150">
        <f t="shared" si="257"/>
        <v>37.85443268814501</v>
      </c>
      <c r="R150">
        <v>28</v>
      </c>
      <c r="S150">
        <v>774</v>
      </c>
      <c r="T150">
        <f t="shared" si="299"/>
        <v>295.40045946762729</v>
      </c>
      <c r="U150" s="18">
        <f t="shared" si="300"/>
        <v>151.41773075258004</v>
      </c>
      <c r="V150">
        <v>28</v>
      </c>
      <c r="W150">
        <f t="shared" si="301"/>
        <v>423.4</v>
      </c>
      <c r="X150">
        <f t="shared" si="258"/>
        <v>161.59244772428087</v>
      </c>
      <c r="Y150">
        <f t="shared" si="259"/>
        <v>82.829802584809286</v>
      </c>
      <c r="AA150">
        <v>28</v>
      </c>
      <c r="AB150">
        <f t="shared" si="302"/>
        <v>211.7</v>
      </c>
      <c r="AC150">
        <f t="shared" si="303"/>
        <v>80.796223862140437</v>
      </c>
      <c r="AD150">
        <f t="shared" si="260"/>
        <v>37.85443268814501</v>
      </c>
      <c r="AF150">
        <v>28</v>
      </c>
      <c r="AG150">
        <f t="shared" si="304"/>
        <v>846.8</v>
      </c>
      <c r="AH150">
        <f t="shared" si="305"/>
        <v>323.18489544856175</v>
      </c>
      <c r="AI150" s="18">
        <f t="shared" si="306"/>
        <v>151.41773075258004</v>
      </c>
      <c r="AJ150">
        <v>28</v>
      </c>
      <c r="AK150">
        <f t="shared" si="307"/>
        <v>423.4</v>
      </c>
      <c r="AL150">
        <f t="shared" si="261"/>
        <v>161.59244772428087</v>
      </c>
      <c r="AM150">
        <f t="shared" si="262"/>
        <v>82.829802584809286</v>
      </c>
      <c r="AO150">
        <v>28</v>
      </c>
      <c r="AP150">
        <f t="shared" si="308"/>
        <v>211.7</v>
      </c>
      <c r="AQ150">
        <f t="shared" si="309"/>
        <v>80.796223862140437</v>
      </c>
      <c r="AR150">
        <f t="shared" si="263"/>
        <v>37.85443268814501</v>
      </c>
      <c r="AT150">
        <v>28</v>
      </c>
      <c r="AU150">
        <f t="shared" si="310"/>
        <v>846.8</v>
      </c>
      <c r="AV150">
        <f t="shared" si="311"/>
        <v>323.18489544856175</v>
      </c>
      <c r="AW150" s="18">
        <f t="shared" si="312"/>
        <v>151.41773075258004</v>
      </c>
      <c r="AX150">
        <v>28</v>
      </c>
      <c r="AY150">
        <f t="shared" si="313"/>
        <v>423.4</v>
      </c>
      <c r="AZ150">
        <f t="shared" si="216"/>
        <v>161.59244772428087</v>
      </c>
      <c r="BA150">
        <f t="shared" si="264"/>
        <v>82.829802584809286</v>
      </c>
      <c r="BC150">
        <v>28</v>
      </c>
      <c r="BD150">
        <f t="shared" si="314"/>
        <v>211.7</v>
      </c>
      <c r="BE150">
        <f t="shared" si="265"/>
        <v>80.796223862140437</v>
      </c>
      <c r="BF150">
        <f t="shared" si="217"/>
        <v>37.85443268814501</v>
      </c>
      <c r="BH150">
        <v>28</v>
      </c>
      <c r="BI150">
        <f t="shared" si="315"/>
        <v>846.8</v>
      </c>
      <c r="BJ150">
        <f t="shared" si="266"/>
        <v>323.18489544856175</v>
      </c>
      <c r="BK150" s="18">
        <f t="shared" si="218"/>
        <v>151.41773075258004</v>
      </c>
      <c r="BL150">
        <v>28</v>
      </c>
      <c r="BM150">
        <f t="shared" si="316"/>
        <v>668.19999999999993</v>
      </c>
      <c r="BN150">
        <f t="shared" si="219"/>
        <v>255.02143025357691</v>
      </c>
      <c r="BO150">
        <f t="shared" si="267"/>
        <v>130.72006161353227</v>
      </c>
      <c r="BQ150">
        <v>28</v>
      </c>
      <c r="BR150">
        <f t="shared" si="317"/>
        <v>334.09999999999997</v>
      </c>
      <c r="BS150">
        <f t="shared" si="268"/>
        <v>127.51071512678845</v>
      </c>
      <c r="BT150">
        <f t="shared" si="220"/>
        <v>37.85443268814501</v>
      </c>
      <c r="BV150">
        <v>28</v>
      </c>
      <c r="BW150">
        <f t="shared" si="318"/>
        <v>1336.3999999999999</v>
      </c>
      <c r="BX150">
        <f t="shared" si="269"/>
        <v>510.04286050715382</v>
      </c>
      <c r="BY150" s="18">
        <f t="shared" si="221"/>
        <v>151.41773075258004</v>
      </c>
      <c r="BZ150">
        <v>28</v>
      </c>
      <c r="CA150">
        <f t="shared" si="319"/>
        <v>974.19999999999993</v>
      </c>
      <c r="CB150">
        <f t="shared" si="222"/>
        <v>371.80765841519701</v>
      </c>
      <c r="CC150">
        <f t="shared" si="270"/>
        <v>190.58288539943601</v>
      </c>
      <c r="CE150">
        <v>28</v>
      </c>
      <c r="CF150">
        <f t="shared" si="320"/>
        <v>487.09999999999997</v>
      </c>
      <c r="CG150">
        <f t="shared" si="271"/>
        <v>185.90382920759851</v>
      </c>
      <c r="CH150">
        <f t="shared" si="223"/>
        <v>37.85443268814501</v>
      </c>
      <c r="CJ150">
        <v>28</v>
      </c>
      <c r="CK150">
        <f t="shared" si="321"/>
        <v>1948.3999999999999</v>
      </c>
      <c r="CL150">
        <f t="shared" si="272"/>
        <v>743.61531683039402</v>
      </c>
      <c r="CM150" s="18">
        <f t="shared" si="224"/>
        <v>151.41773075258004</v>
      </c>
      <c r="CN150">
        <v>28</v>
      </c>
      <c r="CO150">
        <f t="shared" si="322"/>
        <v>1280.1999999999998</v>
      </c>
      <c r="CP150">
        <f t="shared" si="225"/>
        <v>488.59388657681706</v>
      </c>
      <c r="CQ150">
        <f t="shared" si="273"/>
        <v>250.44570918533972</v>
      </c>
      <c r="CS150">
        <v>28</v>
      </c>
      <c r="CT150">
        <f t="shared" si="323"/>
        <v>640.09999999999991</v>
      </c>
      <c r="CU150">
        <f t="shared" si="274"/>
        <v>244.29694328840853</v>
      </c>
      <c r="CV150">
        <f t="shared" si="226"/>
        <v>37.85443268814501</v>
      </c>
      <c r="CX150">
        <v>28</v>
      </c>
      <c r="CY150">
        <f t="shared" si="324"/>
        <v>2560.3999999999996</v>
      </c>
      <c r="CZ150">
        <f t="shared" si="275"/>
        <v>977.18777315363411</v>
      </c>
      <c r="DA150" s="18">
        <f t="shared" si="227"/>
        <v>151.41773075258004</v>
      </c>
      <c r="DB150">
        <v>28</v>
      </c>
      <c r="DC150">
        <f t="shared" si="325"/>
        <v>1892.1999999999998</v>
      </c>
      <c r="DD150">
        <f t="shared" si="228"/>
        <v>722.1663429000572</v>
      </c>
      <c r="DE150">
        <f t="shared" si="276"/>
        <v>75.708865376290021</v>
      </c>
      <c r="DG150">
        <v>28</v>
      </c>
      <c r="DH150">
        <f t="shared" si="326"/>
        <v>946.09999999999991</v>
      </c>
      <c r="DI150">
        <f t="shared" si="277"/>
        <v>361.0831714500286</v>
      </c>
      <c r="DJ150">
        <f t="shared" si="229"/>
        <v>37.85443268814501</v>
      </c>
      <c r="DL150">
        <v>28</v>
      </c>
      <c r="DM150">
        <f t="shared" si="327"/>
        <v>3784.3999999999996</v>
      </c>
      <c r="DN150">
        <f t="shared" si="278"/>
        <v>1444.3326858001144</v>
      </c>
      <c r="DO150" s="18">
        <f t="shared" si="230"/>
        <v>151.41773075258004</v>
      </c>
      <c r="DP150">
        <v>28</v>
      </c>
      <c r="DQ150">
        <f t="shared" si="328"/>
        <v>2504.1999999999998</v>
      </c>
      <c r="DR150">
        <f t="shared" si="231"/>
        <v>955.73879922329741</v>
      </c>
      <c r="DS150">
        <f t="shared" si="279"/>
        <v>489.89700432895467</v>
      </c>
      <c r="DU150">
        <v>28</v>
      </c>
      <c r="DV150">
        <f t="shared" si="329"/>
        <v>1252.0999999999999</v>
      </c>
      <c r="DW150">
        <f t="shared" si="280"/>
        <v>477.8693996116487</v>
      </c>
      <c r="DX150">
        <f t="shared" si="232"/>
        <v>37.85443268814501</v>
      </c>
      <c r="DZ150">
        <v>28</v>
      </c>
      <c r="EA150">
        <f t="shared" si="330"/>
        <v>5008.3999999999996</v>
      </c>
      <c r="EB150">
        <f t="shared" si="281"/>
        <v>1911.4775984465948</v>
      </c>
      <c r="EC150" s="18">
        <f t="shared" si="233"/>
        <v>151.41773075258004</v>
      </c>
      <c r="ED150">
        <v>28</v>
      </c>
      <c r="EE150">
        <f t="shared" si="331"/>
        <v>3728.2</v>
      </c>
      <c r="EF150">
        <f t="shared" si="234"/>
        <v>1422.8837118697777</v>
      </c>
      <c r="EG150">
        <f t="shared" si="282"/>
        <v>729.34829947256969</v>
      </c>
      <c r="EI150">
        <v>28</v>
      </c>
      <c r="EJ150">
        <f t="shared" si="332"/>
        <v>1864.1</v>
      </c>
      <c r="EK150">
        <f t="shared" si="283"/>
        <v>711.44185593488885</v>
      </c>
      <c r="EL150">
        <f t="shared" si="235"/>
        <v>37.85443268814501</v>
      </c>
      <c r="EN150">
        <v>28</v>
      </c>
      <c r="EO150">
        <f t="shared" si="333"/>
        <v>7456.4</v>
      </c>
      <c r="EP150">
        <f t="shared" si="284"/>
        <v>2845.7674237395554</v>
      </c>
      <c r="EQ150" s="18">
        <f t="shared" si="236"/>
        <v>151.41773075258004</v>
      </c>
      <c r="ER150">
        <v>28</v>
      </c>
      <c r="ES150">
        <f t="shared" si="334"/>
        <v>4952.1999999999989</v>
      </c>
      <c r="ET150">
        <f t="shared" si="237"/>
        <v>1890.0286245162579</v>
      </c>
      <c r="EU150">
        <f t="shared" si="285"/>
        <v>968.79959461618444</v>
      </c>
      <c r="EW150">
        <v>28</v>
      </c>
      <c r="EX150">
        <f t="shared" si="335"/>
        <v>2476.0999999999995</v>
      </c>
      <c r="EY150">
        <f t="shared" si="286"/>
        <v>945.01431225812894</v>
      </c>
      <c r="EZ150">
        <f t="shared" si="238"/>
        <v>37.85443268814501</v>
      </c>
      <c r="FB150">
        <v>28</v>
      </c>
      <c r="FC150">
        <f t="shared" si="336"/>
        <v>9904.3999999999978</v>
      </c>
      <c r="FD150">
        <f t="shared" si="287"/>
        <v>3780.0572490325158</v>
      </c>
      <c r="FE150" s="18">
        <f t="shared" si="239"/>
        <v>151.41773075258004</v>
      </c>
      <c r="FF150">
        <v>28</v>
      </c>
      <c r="FG150">
        <f t="shared" si="337"/>
        <v>6176.1999999999989</v>
      </c>
      <c r="FH150">
        <f t="shared" si="240"/>
        <v>2357.1735371627383</v>
      </c>
      <c r="FI150">
        <f t="shared" si="241"/>
        <v>75.708865376290021</v>
      </c>
      <c r="FK150">
        <v>28</v>
      </c>
      <c r="FL150">
        <f t="shared" si="338"/>
        <v>3088.0999999999995</v>
      </c>
      <c r="FM150">
        <f t="shared" si="288"/>
        <v>1178.5867685813691</v>
      </c>
      <c r="FN150">
        <f t="shared" si="242"/>
        <v>37.85443268814501</v>
      </c>
      <c r="FP150">
        <v>28</v>
      </c>
      <c r="FQ150">
        <f t="shared" si="339"/>
        <v>12352.399999999998</v>
      </c>
      <c r="FR150">
        <f t="shared" si="289"/>
        <v>4714.3470743254766</v>
      </c>
      <c r="FS150" s="18">
        <f t="shared" si="243"/>
        <v>151.41773075258004</v>
      </c>
      <c r="FT150">
        <v>28</v>
      </c>
      <c r="FU150">
        <f t="shared" si="340"/>
        <v>7400.1999999999989</v>
      </c>
      <c r="FV150">
        <f t="shared" si="244"/>
        <v>2824.3184498092187</v>
      </c>
      <c r="FW150">
        <f t="shared" si="245"/>
        <v>75.708865376290021</v>
      </c>
      <c r="FY150">
        <v>28</v>
      </c>
      <c r="FZ150">
        <f t="shared" si="341"/>
        <v>3700.0999999999995</v>
      </c>
      <c r="GA150">
        <f t="shared" si="290"/>
        <v>1412.1592249046093</v>
      </c>
      <c r="GB150">
        <f t="shared" si="246"/>
        <v>37.85443268814501</v>
      </c>
      <c r="GD150">
        <v>28</v>
      </c>
      <c r="GE150">
        <f t="shared" si="342"/>
        <v>14800.399999999998</v>
      </c>
      <c r="GF150">
        <f t="shared" si="291"/>
        <v>5648.6368996184374</v>
      </c>
      <c r="GG150" s="18">
        <f t="shared" si="247"/>
        <v>151.41773075258004</v>
      </c>
      <c r="GH150">
        <v>28</v>
      </c>
      <c r="GI150">
        <f t="shared" si="343"/>
        <v>9848.1999999999989</v>
      </c>
      <c r="GJ150">
        <f t="shared" si="248"/>
        <v>3758.6082751021791</v>
      </c>
      <c r="GK150">
        <f t="shared" si="249"/>
        <v>75.708865376290021</v>
      </c>
      <c r="GM150">
        <v>28</v>
      </c>
      <c r="GN150">
        <f t="shared" si="344"/>
        <v>4924.0999999999995</v>
      </c>
      <c r="GO150">
        <f t="shared" si="292"/>
        <v>1879.3041375510895</v>
      </c>
      <c r="GP150">
        <f t="shared" si="250"/>
        <v>37.85443268814501</v>
      </c>
      <c r="GR150">
        <v>28</v>
      </c>
      <c r="GS150">
        <f t="shared" si="345"/>
        <v>19696.399999999998</v>
      </c>
      <c r="GT150">
        <f t="shared" si="293"/>
        <v>7517.2165502043581</v>
      </c>
      <c r="GU150" s="18">
        <f t="shared" si="251"/>
        <v>151.41773075258004</v>
      </c>
      <c r="GV150">
        <v>28</v>
      </c>
      <c r="GW150">
        <f t="shared" si="346"/>
        <v>12296.199999999999</v>
      </c>
      <c r="GX150">
        <f t="shared" si="252"/>
        <v>4692.8981003951403</v>
      </c>
      <c r="GY150">
        <f t="shared" si="294"/>
        <v>2405.5073654778744</v>
      </c>
      <c r="HA150">
        <v>28</v>
      </c>
      <c r="HB150">
        <f t="shared" si="347"/>
        <v>6148.0999999999995</v>
      </c>
      <c r="HC150">
        <f t="shared" si="295"/>
        <v>2346.4490501975702</v>
      </c>
      <c r="HD150">
        <f t="shared" si="253"/>
        <v>37.85443268814501</v>
      </c>
      <c r="HF150">
        <v>28</v>
      </c>
      <c r="HG150">
        <f t="shared" si="348"/>
        <v>24592.399999999998</v>
      </c>
      <c r="HH150">
        <f t="shared" si="296"/>
        <v>9385.7962007902806</v>
      </c>
      <c r="HI150" s="18">
        <f t="shared" si="254"/>
        <v>151.41773075258004</v>
      </c>
    </row>
    <row r="151" spans="1:217" x14ac:dyDescent="0.25">
      <c r="H151">
        <v>29</v>
      </c>
      <c r="I151">
        <f t="shared" si="297"/>
        <v>387</v>
      </c>
      <c r="J151">
        <f t="shared" si="255"/>
        <v>142.70553597469922</v>
      </c>
      <c r="K151">
        <f t="shared" si="256"/>
        <v>71.423457902160393</v>
      </c>
      <c r="M151">
        <v>29</v>
      </c>
      <c r="N151">
        <v>193.5</v>
      </c>
      <c r="O151">
        <f t="shared" si="298"/>
        <v>71.352767987349608</v>
      </c>
      <c r="P151">
        <f t="shared" si="257"/>
        <v>35.711728951080197</v>
      </c>
      <c r="R151">
        <v>29</v>
      </c>
      <c r="S151">
        <v>774</v>
      </c>
      <c r="T151">
        <f t="shared" si="299"/>
        <v>285.41107194939843</v>
      </c>
      <c r="U151" s="18">
        <f t="shared" si="300"/>
        <v>142.84691580432079</v>
      </c>
      <c r="V151">
        <v>29</v>
      </c>
      <c r="W151">
        <f t="shared" si="301"/>
        <v>423.4</v>
      </c>
      <c r="X151">
        <f t="shared" si="258"/>
        <v>156.12796881573033</v>
      </c>
      <c r="Y151">
        <f t="shared" si="259"/>
        <v>78.141323193216309</v>
      </c>
      <c r="AA151">
        <v>29</v>
      </c>
      <c r="AB151">
        <f t="shared" si="302"/>
        <v>211.7</v>
      </c>
      <c r="AC151">
        <f t="shared" si="303"/>
        <v>78.063984407865163</v>
      </c>
      <c r="AD151">
        <f t="shared" si="260"/>
        <v>35.711728951080197</v>
      </c>
      <c r="AF151">
        <v>29</v>
      </c>
      <c r="AG151">
        <f t="shared" si="304"/>
        <v>846.8</v>
      </c>
      <c r="AH151">
        <f t="shared" si="305"/>
        <v>312.25593763146065</v>
      </c>
      <c r="AI151" s="18">
        <f t="shared" si="306"/>
        <v>142.84691580432079</v>
      </c>
      <c r="AJ151">
        <v>29</v>
      </c>
      <c r="AK151">
        <f t="shared" si="307"/>
        <v>423.4</v>
      </c>
      <c r="AL151">
        <f t="shared" si="261"/>
        <v>156.12796881573033</v>
      </c>
      <c r="AM151">
        <f t="shared" si="262"/>
        <v>78.141323193216309</v>
      </c>
      <c r="AO151">
        <v>29</v>
      </c>
      <c r="AP151">
        <f t="shared" si="308"/>
        <v>211.7</v>
      </c>
      <c r="AQ151">
        <f t="shared" si="309"/>
        <v>78.063984407865163</v>
      </c>
      <c r="AR151">
        <f t="shared" si="263"/>
        <v>35.711728951080197</v>
      </c>
      <c r="AT151">
        <v>29</v>
      </c>
      <c r="AU151">
        <f t="shared" si="310"/>
        <v>846.8</v>
      </c>
      <c r="AV151">
        <f t="shared" si="311"/>
        <v>312.25593763146065</v>
      </c>
      <c r="AW151" s="18">
        <f t="shared" si="312"/>
        <v>142.84691580432079</v>
      </c>
      <c r="AX151">
        <v>29</v>
      </c>
      <c r="AY151">
        <f t="shared" si="313"/>
        <v>423.4</v>
      </c>
      <c r="AZ151">
        <f t="shared" si="216"/>
        <v>156.12796881573033</v>
      </c>
      <c r="BA151">
        <f t="shared" si="264"/>
        <v>78.141323193216309</v>
      </c>
      <c r="BC151">
        <v>29</v>
      </c>
      <c r="BD151">
        <f t="shared" si="314"/>
        <v>211.7</v>
      </c>
      <c r="BE151">
        <f t="shared" si="265"/>
        <v>78.063984407865163</v>
      </c>
      <c r="BF151">
        <f t="shared" si="217"/>
        <v>35.711728951080197</v>
      </c>
      <c r="BH151">
        <v>29</v>
      </c>
      <c r="BI151">
        <f t="shared" si="315"/>
        <v>846.8</v>
      </c>
      <c r="BJ151">
        <f t="shared" si="266"/>
        <v>312.25593763146065</v>
      </c>
      <c r="BK151" s="18">
        <f t="shared" si="218"/>
        <v>142.84691580432079</v>
      </c>
      <c r="BL151">
        <v>29</v>
      </c>
      <c r="BM151">
        <f t="shared" si="316"/>
        <v>668.19999999999993</v>
      </c>
      <c r="BN151">
        <f t="shared" si="219"/>
        <v>246.39751715321447</v>
      </c>
      <c r="BO151">
        <f t="shared" si="267"/>
        <v>123.32081284295496</v>
      </c>
      <c r="BQ151">
        <v>29</v>
      </c>
      <c r="BR151">
        <f t="shared" si="317"/>
        <v>334.09999999999997</v>
      </c>
      <c r="BS151">
        <f t="shared" si="268"/>
        <v>123.19875857660723</v>
      </c>
      <c r="BT151">
        <f t="shared" si="220"/>
        <v>35.711728951080197</v>
      </c>
      <c r="BV151">
        <v>29</v>
      </c>
      <c r="BW151">
        <f t="shared" si="318"/>
        <v>1336.3999999999999</v>
      </c>
      <c r="BX151">
        <f t="shared" si="269"/>
        <v>492.79503430642893</v>
      </c>
      <c r="BY151" s="18">
        <f t="shared" si="221"/>
        <v>142.84691580432079</v>
      </c>
      <c r="BZ151">
        <v>29</v>
      </c>
      <c r="CA151">
        <f t="shared" si="319"/>
        <v>974.19999999999993</v>
      </c>
      <c r="CB151">
        <f t="shared" si="222"/>
        <v>359.23445257506967</v>
      </c>
      <c r="CC151">
        <f t="shared" si="270"/>
        <v>179.79517490512831</v>
      </c>
      <c r="CE151">
        <v>29</v>
      </c>
      <c r="CF151">
        <f t="shared" si="320"/>
        <v>487.09999999999997</v>
      </c>
      <c r="CG151">
        <f t="shared" si="271"/>
        <v>179.61722628753483</v>
      </c>
      <c r="CH151">
        <f t="shared" si="223"/>
        <v>35.711728951080197</v>
      </c>
      <c r="CJ151">
        <v>29</v>
      </c>
      <c r="CK151">
        <f t="shared" si="321"/>
        <v>1948.3999999999999</v>
      </c>
      <c r="CL151">
        <f t="shared" si="272"/>
        <v>718.46890515013934</v>
      </c>
      <c r="CM151" s="18">
        <f t="shared" si="224"/>
        <v>142.84691580432079</v>
      </c>
      <c r="CN151">
        <v>29</v>
      </c>
      <c r="CO151">
        <f t="shared" si="322"/>
        <v>1280.1999999999998</v>
      </c>
      <c r="CP151">
        <f t="shared" si="225"/>
        <v>472.07138799692478</v>
      </c>
      <c r="CQ151">
        <f t="shared" si="273"/>
        <v>236.2695369673016</v>
      </c>
      <c r="CS151">
        <v>29</v>
      </c>
      <c r="CT151">
        <f t="shared" si="323"/>
        <v>640.09999999999991</v>
      </c>
      <c r="CU151">
        <f t="shared" si="274"/>
        <v>236.03569399846239</v>
      </c>
      <c r="CV151">
        <f t="shared" si="226"/>
        <v>35.711728951080197</v>
      </c>
      <c r="CX151">
        <v>29</v>
      </c>
      <c r="CY151">
        <f t="shared" si="324"/>
        <v>2560.3999999999996</v>
      </c>
      <c r="CZ151">
        <f t="shared" si="275"/>
        <v>944.14277599384957</v>
      </c>
      <c r="DA151" s="18">
        <f t="shared" si="227"/>
        <v>142.84691580432079</v>
      </c>
      <c r="DB151">
        <v>29</v>
      </c>
      <c r="DC151">
        <f t="shared" si="325"/>
        <v>1892.1999999999998</v>
      </c>
      <c r="DD151">
        <f t="shared" si="228"/>
        <v>697.74525884063519</v>
      </c>
      <c r="DE151">
        <f t="shared" si="276"/>
        <v>71.423457902160393</v>
      </c>
      <c r="DG151">
        <v>29</v>
      </c>
      <c r="DH151">
        <f t="shared" si="326"/>
        <v>946.09999999999991</v>
      </c>
      <c r="DI151">
        <f t="shared" si="277"/>
        <v>348.87262942031759</v>
      </c>
      <c r="DJ151">
        <f t="shared" si="229"/>
        <v>35.711728951080197</v>
      </c>
      <c r="DL151">
        <v>29</v>
      </c>
      <c r="DM151">
        <f t="shared" si="327"/>
        <v>3784.3999999999996</v>
      </c>
      <c r="DN151">
        <f t="shared" si="278"/>
        <v>1395.4905176812704</v>
      </c>
      <c r="DO151" s="18">
        <f t="shared" si="230"/>
        <v>142.84691580432079</v>
      </c>
      <c r="DP151">
        <v>29</v>
      </c>
      <c r="DQ151">
        <f t="shared" si="328"/>
        <v>2504.1999999999998</v>
      </c>
      <c r="DR151">
        <f t="shared" si="231"/>
        <v>923.41912968434553</v>
      </c>
      <c r="DS151">
        <f t="shared" si="279"/>
        <v>462.16698521599494</v>
      </c>
      <c r="DU151">
        <v>29</v>
      </c>
      <c r="DV151">
        <f t="shared" si="329"/>
        <v>1252.0999999999999</v>
      </c>
      <c r="DW151">
        <f t="shared" si="280"/>
        <v>461.70956484217277</v>
      </c>
      <c r="DX151">
        <f t="shared" si="232"/>
        <v>35.711728951080197</v>
      </c>
      <c r="DZ151">
        <v>29</v>
      </c>
      <c r="EA151">
        <f t="shared" si="330"/>
        <v>5008.3999999999996</v>
      </c>
      <c r="EB151">
        <f t="shared" si="281"/>
        <v>1846.8382593686911</v>
      </c>
      <c r="EC151" s="18">
        <f t="shared" si="233"/>
        <v>142.84691580432079</v>
      </c>
      <c r="ED151">
        <v>29</v>
      </c>
      <c r="EE151">
        <f t="shared" si="331"/>
        <v>3728.2</v>
      </c>
      <c r="EF151">
        <f t="shared" si="234"/>
        <v>1374.7668713717662</v>
      </c>
      <c r="EG151">
        <f t="shared" si="282"/>
        <v>688.06443346468825</v>
      </c>
      <c r="EI151">
        <v>29</v>
      </c>
      <c r="EJ151">
        <f t="shared" si="332"/>
        <v>1864.1</v>
      </c>
      <c r="EK151">
        <f t="shared" si="283"/>
        <v>687.38343568588311</v>
      </c>
      <c r="EL151">
        <f t="shared" si="235"/>
        <v>35.711728951080197</v>
      </c>
      <c r="EN151">
        <v>29</v>
      </c>
      <c r="EO151">
        <f t="shared" si="333"/>
        <v>7456.4</v>
      </c>
      <c r="EP151">
        <f t="shared" si="284"/>
        <v>2749.5337427435325</v>
      </c>
      <c r="EQ151" s="18">
        <f t="shared" si="236"/>
        <v>142.84691580432079</v>
      </c>
      <c r="ER151">
        <v>29</v>
      </c>
      <c r="ES151">
        <f t="shared" si="334"/>
        <v>4952.1999999999989</v>
      </c>
      <c r="ET151">
        <f t="shared" si="237"/>
        <v>1826.1146130591867</v>
      </c>
      <c r="EU151">
        <f t="shared" si="285"/>
        <v>913.96188171338144</v>
      </c>
      <c r="EW151">
        <v>29</v>
      </c>
      <c r="EX151">
        <f t="shared" si="335"/>
        <v>2476.0999999999995</v>
      </c>
      <c r="EY151">
        <f t="shared" si="286"/>
        <v>913.05730652959335</v>
      </c>
      <c r="EZ151">
        <f t="shared" si="238"/>
        <v>35.711728951080197</v>
      </c>
      <c r="FB151">
        <v>29</v>
      </c>
      <c r="FC151">
        <f t="shared" si="336"/>
        <v>9904.3999999999978</v>
      </c>
      <c r="FD151">
        <f t="shared" si="287"/>
        <v>3652.2292261183734</v>
      </c>
      <c r="FE151" s="18">
        <f t="shared" si="239"/>
        <v>142.84691580432079</v>
      </c>
      <c r="FF151">
        <v>29</v>
      </c>
      <c r="FG151">
        <f t="shared" si="337"/>
        <v>6176.1999999999989</v>
      </c>
      <c r="FH151">
        <f t="shared" si="240"/>
        <v>2277.4623547466076</v>
      </c>
      <c r="FI151">
        <f t="shared" si="241"/>
        <v>71.423457902160393</v>
      </c>
      <c r="FK151">
        <v>29</v>
      </c>
      <c r="FL151">
        <f t="shared" si="338"/>
        <v>3088.0999999999995</v>
      </c>
      <c r="FM151">
        <f t="shared" si="288"/>
        <v>1138.7311773733038</v>
      </c>
      <c r="FN151">
        <f t="shared" si="242"/>
        <v>35.711728951080197</v>
      </c>
      <c r="FP151">
        <v>29</v>
      </c>
      <c r="FQ151">
        <f t="shared" si="339"/>
        <v>12352.399999999998</v>
      </c>
      <c r="FR151">
        <f t="shared" si="289"/>
        <v>4554.9247094932152</v>
      </c>
      <c r="FS151" s="18">
        <f t="shared" si="243"/>
        <v>142.84691580432079</v>
      </c>
      <c r="FT151">
        <v>29</v>
      </c>
      <c r="FU151">
        <f t="shared" si="340"/>
        <v>7400.1999999999989</v>
      </c>
      <c r="FV151">
        <f t="shared" si="244"/>
        <v>2728.8100964340283</v>
      </c>
      <c r="FW151">
        <f t="shared" si="245"/>
        <v>71.423457902160393</v>
      </c>
      <c r="FY151">
        <v>29</v>
      </c>
      <c r="FZ151">
        <f t="shared" si="341"/>
        <v>3700.0999999999995</v>
      </c>
      <c r="GA151">
        <f t="shared" si="290"/>
        <v>1364.4050482170142</v>
      </c>
      <c r="GB151">
        <f t="shared" si="246"/>
        <v>35.711728951080197</v>
      </c>
      <c r="GD151">
        <v>29</v>
      </c>
      <c r="GE151">
        <f t="shared" si="342"/>
        <v>14800.399999999998</v>
      </c>
      <c r="GF151">
        <f t="shared" si="291"/>
        <v>5457.6201928680566</v>
      </c>
      <c r="GG151" s="18">
        <f t="shared" si="247"/>
        <v>142.84691580432079</v>
      </c>
      <c r="GH151">
        <v>29</v>
      </c>
      <c r="GI151">
        <f t="shared" si="343"/>
        <v>9848.1999999999989</v>
      </c>
      <c r="GJ151">
        <f t="shared" si="248"/>
        <v>3631.5055798088697</v>
      </c>
      <c r="GK151">
        <f t="shared" si="249"/>
        <v>71.423457902160393</v>
      </c>
      <c r="GM151">
        <v>29</v>
      </c>
      <c r="GN151">
        <f t="shared" si="344"/>
        <v>4924.0999999999995</v>
      </c>
      <c r="GO151">
        <f t="shared" si="292"/>
        <v>1815.7527899044348</v>
      </c>
      <c r="GP151">
        <f t="shared" si="250"/>
        <v>35.711728951080197</v>
      </c>
      <c r="GR151">
        <v>29</v>
      </c>
      <c r="GS151">
        <f t="shared" si="345"/>
        <v>19696.399999999998</v>
      </c>
      <c r="GT151">
        <f t="shared" si="293"/>
        <v>7263.0111596177394</v>
      </c>
      <c r="GU151" s="18">
        <f t="shared" si="251"/>
        <v>142.84691580432079</v>
      </c>
      <c r="GV151">
        <v>29</v>
      </c>
      <c r="GW151">
        <f t="shared" si="346"/>
        <v>12296.199999999999</v>
      </c>
      <c r="GX151">
        <f t="shared" si="252"/>
        <v>4534.2010631837111</v>
      </c>
      <c r="GY151">
        <f t="shared" si="294"/>
        <v>2269.3465712055413</v>
      </c>
      <c r="HA151">
        <v>29</v>
      </c>
      <c r="HB151">
        <f t="shared" si="347"/>
        <v>6148.0999999999995</v>
      </c>
      <c r="HC151">
        <f t="shared" si="295"/>
        <v>2267.1005315918555</v>
      </c>
      <c r="HD151">
        <f t="shared" si="253"/>
        <v>35.711728951080197</v>
      </c>
      <c r="HF151">
        <v>29</v>
      </c>
      <c r="HG151">
        <f t="shared" si="348"/>
        <v>24592.399999999998</v>
      </c>
      <c r="HH151">
        <f t="shared" si="296"/>
        <v>9068.4021263674222</v>
      </c>
      <c r="HI151" s="18">
        <f t="shared" si="254"/>
        <v>142.84691580432079</v>
      </c>
    </row>
    <row r="152" spans="1:217" x14ac:dyDescent="0.25">
      <c r="H152">
        <v>30</v>
      </c>
      <c r="I152">
        <f t="shared" si="297"/>
        <v>387</v>
      </c>
      <c r="J152">
        <f t="shared" si="255"/>
        <v>137.87974490309102</v>
      </c>
      <c r="K152">
        <f t="shared" si="256"/>
        <v>67.380620662415467</v>
      </c>
      <c r="M152">
        <v>30</v>
      </c>
      <c r="N152">
        <v>193.5</v>
      </c>
      <c r="O152">
        <f t="shared" si="298"/>
        <v>68.939872451545511</v>
      </c>
      <c r="P152">
        <f t="shared" si="257"/>
        <v>33.690310331207733</v>
      </c>
      <c r="R152">
        <v>30</v>
      </c>
      <c r="S152">
        <v>774</v>
      </c>
      <c r="T152">
        <f t="shared" si="299"/>
        <v>275.75948980618205</v>
      </c>
      <c r="U152" s="18">
        <f t="shared" si="300"/>
        <v>134.76124132483093</v>
      </c>
      <c r="V152">
        <v>30</v>
      </c>
      <c r="W152">
        <f t="shared" si="301"/>
        <v>423.4</v>
      </c>
      <c r="X152">
        <f t="shared" si="258"/>
        <v>150.84827904901482</v>
      </c>
      <c r="Y152">
        <f t="shared" si="259"/>
        <v>73.718229427562548</v>
      </c>
      <c r="AA152">
        <v>30</v>
      </c>
      <c r="AB152">
        <f t="shared" si="302"/>
        <v>211.7</v>
      </c>
      <c r="AC152">
        <f t="shared" si="303"/>
        <v>75.42413952450741</v>
      </c>
      <c r="AD152">
        <f t="shared" si="260"/>
        <v>33.690310331207733</v>
      </c>
      <c r="AF152">
        <v>30</v>
      </c>
      <c r="AG152">
        <f t="shared" si="304"/>
        <v>846.8</v>
      </c>
      <c r="AH152">
        <f t="shared" si="305"/>
        <v>301.69655809802964</v>
      </c>
      <c r="AI152" s="18">
        <f t="shared" si="306"/>
        <v>134.76124132483093</v>
      </c>
      <c r="AJ152">
        <v>30</v>
      </c>
      <c r="AK152">
        <f t="shared" si="307"/>
        <v>423.4</v>
      </c>
      <c r="AL152">
        <f t="shared" si="261"/>
        <v>150.84827904901482</v>
      </c>
      <c r="AM152">
        <f t="shared" si="262"/>
        <v>73.718229427562548</v>
      </c>
      <c r="AO152">
        <v>30</v>
      </c>
      <c r="AP152">
        <f t="shared" si="308"/>
        <v>211.7</v>
      </c>
      <c r="AQ152">
        <f t="shared" si="309"/>
        <v>75.42413952450741</v>
      </c>
      <c r="AR152">
        <f t="shared" si="263"/>
        <v>33.690310331207733</v>
      </c>
      <c r="AT152">
        <v>30</v>
      </c>
      <c r="AU152">
        <f t="shared" si="310"/>
        <v>846.8</v>
      </c>
      <c r="AV152">
        <f t="shared" si="311"/>
        <v>301.69655809802964</v>
      </c>
      <c r="AW152" s="18">
        <f t="shared" si="312"/>
        <v>134.76124132483093</v>
      </c>
      <c r="AX152">
        <v>30</v>
      </c>
      <c r="AY152">
        <f t="shared" si="313"/>
        <v>423.4</v>
      </c>
      <c r="AZ152">
        <f t="shared" si="216"/>
        <v>150.84827904901482</v>
      </c>
      <c r="BA152">
        <f t="shared" si="264"/>
        <v>73.718229427562548</v>
      </c>
      <c r="BC152">
        <v>30</v>
      </c>
      <c r="BD152">
        <f t="shared" si="314"/>
        <v>211.7</v>
      </c>
      <c r="BE152">
        <f t="shared" si="265"/>
        <v>75.42413952450741</v>
      </c>
      <c r="BF152">
        <f t="shared" si="217"/>
        <v>33.690310331207733</v>
      </c>
      <c r="BH152">
        <v>30</v>
      </c>
      <c r="BI152">
        <f t="shared" si="315"/>
        <v>846.8</v>
      </c>
      <c r="BJ152">
        <f t="shared" si="266"/>
        <v>301.69655809802964</v>
      </c>
      <c r="BK152" s="18">
        <f t="shared" si="218"/>
        <v>134.76124132483093</v>
      </c>
      <c r="BL152">
        <v>30</v>
      </c>
      <c r="BM152">
        <f t="shared" si="316"/>
        <v>668.19999999999993</v>
      </c>
      <c r="BN152">
        <f t="shared" si="219"/>
        <v>238.0652339644584</v>
      </c>
      <c r="BO152">
        <f t="shared" si="267"/>
        <v>116.34038947448582</v>
      </c>
      <c r="BQ152">
        <v>30</v>
      </c>
      <c r="BR152">
        <f t="shared" si="317"/>
        <v>334.09999999999997</v>
      </c>
      <c r="BS152">
        <f t="shared" si="268"/>
        <v>119.0326169822292</v>
      </c>
      <c r="BT152">
        <f t="shared" si="220"/>
        <v>33.690310331207733</v>
      </c>
      <c r="BV152">
        <v>30</v>
      </c>
      <c r="BW152">
        <f t="shared" si="318"/>
        <v>1336.3999999999999</v>
      </c>
      <c r="BX152">
        <f t="shared" si="269"/>
        <v>476.1304679289168</v>
      </c>
      <c r="BY152" s="18">
        <f t="shared" si="221"/>
        <v>134.76124132483093</v>
      </c>
      <c r="BZ152">
        <v>30</v>
      </c>
      <c r="CA152">
        <f t="shared" si="319"/>
        <v>974.19999999999993</v>
      </c>
      <c r="CB152">
        <f t="shared" si="222"/>
        <v>347.0864276087629</v>
      </c>
      <c r="CC152">
        <f t="shared" si="270"/>
        <v>169.61808953313991</v>
      </c>
      <c r="CE152">
        <v>30</v>
      </c>
      <c r="CF152">
        <f t="shared" si="320"/>
        <v>487.09999999999997</v>
      </c>
      <c r="CG152">
        <f t="shared" si="271"/>
        <v>173.54321380438145</v>
      </c>
      <c r="CH152">
        <f t="shared" si="223"/>
        <v>33.690310331207733</v>
      </c>
      <c r="CJ152">
        <v>30</v>
      </c>
      <c r="CK152">
        <f t="shared" si="321"/>
        <v>1948.3999999999999</v>
      </c>
      <c r="CL152">
        <f t="shared" si="272"/>
        <v>694.17285521752581</v>
      </c>
      <c r="CM152" s="18">
        <f t="shared" si="224"/>
        <v>134.76124132483093</v>
      </c>
      <c r="CN152">
        <v>30</v>
      </c>
      <c r="CO152">
        <f t="shared" si="322"/>
        <v>1280.1999999999998</v>
      </c>
      <c r="CP152">
        <f t="shared" si="225"/>
        <v>456.10762125306741</v>
      </c>
      <c r="CQ152">
        <f t="shared" si="273"/>
        <v>222.89578959179397</v>
      </c>
      <c r="CS152">
        <v>30</v>
      </c>
      <c r="CT152">
        <f t="shared" si="323"/>
        <v>640.09999999999991</v>
      </c>
      <c r="CU152">
        <f t="shared" si="274"/>
        <v>228.0538106265337</v>
      </c>
      <c r="CV152">
        <f t="shared" si="226"/>
        <v>33.690310331207733</v>
      </c>
      <c r="CX152">
        <v>30</v>
      </c>
      <c r="CY152">
        <f t="shared" si="324"/>
        <v>2560.3999999999996</v>
      </c>
      <c r="CZ152">
        <f t="shared" si="275"/>
        <v>912.21524250613481</v>
      </c>
      <c r="DA152" s="18">
        <f t="shared" si="227"/>
        <v>134.76124132483093</v>
      </c>
      <c r="DB152">
        <v>30</v>
      </c>
      <c r="DC152">
        <f t="shared" si="325"/>
        <v>1892.1999999999998</v>
      </c>
      <c r="DD152">
        <f t="shared" si="228"/>
        <v>674.15000854167647</v>
      </c>
      <c r="DE152">
        <f t="shared" si="276"/>
        <v>67.380620662415467</v>
      </c>
      <c r="DG152">
        <v>30</v>
      </c>
      <c r="DH152">
        <f t="shared" si="326"/>
        <v>946.09999999999991</v>
      </c>
      <c r="DI152">
        <f t="shared" si="277"/>
        <v>337.07500427083824</v>
      </c>
      <c r="DJ152">
        <f t="shared" si="229"/>
        <v>33.690310331207733</v>
      </c>
      <c r="DL152">
        <v>30</v>
      </c>
      <c r="DM152">
        <f t="shared" si="327"/>
        <v>3784.3999999999996</v>
      </c>
      <c r="DN152">
        <f t="shared" si="278"/>
        <v>1348.3000170833529</v>
      </c>
      <c r="DO152" s="18">
        <f t="shared" si="230"/>
        <v>134.76124132483093</v>
      </c>
      <c r="DP152">
        <v>30</v>
      </c>
      <c r="DQ152">
        <f t="shared" si="328"/>
        <v>2504.1999999999998</v>
      </c>
      <c r="DR152">
        <f t="shared" si="231"/>
        <v>892.19239583028548</v>
      </c>
      <c r="DS152">
        <f t="shared" si="279"/>
        <v>436.00658982641033</v>
      </c>
      <c r="DU152">
        <v>30</v>
      </c>
      <c r="DV152">
        <f t="shared" si="329"/>
        <v>1252.0999999999999</v>
      </c>
      <c r="DW152">
        <f t="shared" si="280"/>
        <v>446.09619791514274</v>
      </c>
      <c r="DX152">
        <f t="shared" si="232"/>
        <v>33.690310331207733</v>
      </c>
      <c r="DZ152">
        <v>30</v>
      </c>
      <c r="EA152">
        <f t="shared" si="330"/>
        <v>5008.3999999999996</v>
      </c>
      <c r="EB152">
        <f t="shared" si="281"/>
        <v>1784.384791660571</v>
      </c>
      <c r="EC152" s="18">
        <f t="shared" si="233"/>
        <v>134.76124132483093</v>
      </c>
      <c r="ED152">
        <v>30</v>
      </c>
      <c r="EE152">
        <f t="shared" si="331"/>
        <v>3728.2</v>
      </c>
      <c r="EF152">
        <f t="shared" si="234"/>
        <v>1328.2771704075035</v>
      </c>
      <c r="EG152">
        <f t="shared" si="282"/>
        <v>649.11739006102664</v>
      </c>
      <c r="EI152">
        <v>30</v>
      </c>
      <c r="EJ152">
        <f t="shared" si="332"/>
        <v>1864.1</v>
      </c>
      <c r="EK152">
        <f t="shared" si="283"/>
        <v>664.13858520375175</v>
      </c>
      <c r="EL152">
        <f t="shared" si="235"/>
        <v>33.690310331207733</v>
      </c>
      <c r="EN152">
        <v>30</v>
      </c>
      <c r="EO152">
        <f t="shared" si="333"/>
        <v>7456.4</v>
      </c>
      <c r="EP152">
        <f t="shared" si="284"/>
        <v>2656.554340815007</v>
      </c>
      <c r="EQ152" s="18">
        <f t="shared" si="236"/>
        <v>134.76124132483093</v>
      </c>
      <c r="ER152">
        <v>30</v>
      </c>
      <c r="ES152">
        <f t="shared" si="334"/>
        <v>4952.1999999999989</v>
      </c>
      <c r="ET152">
        <f t="shared" si="237"/>
        <v>1764.3619449847213</v>
      </c>
      <c r="EU152">
        <f t="shared" si="285"/>
        <v>862.22819029564289</v>
      </c>
      <c r="EW152">
        <v>30</v>
      </c>
      <c r="EX152">
        <f t="shared" si="335"/>
        <v>2476.0999999999995</v>
      </c>
      <c r="EY152">
        <f t="shared" si="286"/>
        <v>882.18097249236064</v>
      </c>
      <c r="EZ152">
        <f t="shared" si="238"/>
        <v>33.690310331207733</v>
      </c>
      <c r="FB152">
        <v>30</v>
      </c>
      <c r="FC152">
        <f t="shared" si="336"/>
        <v>9904.3999999999978</v>
      </c>
      <c r="FD152">
        <f t="shared" si="287"/>
        <v>3528.7238899694426</v>
      </c>
      <c r="FE152" s="18">
        <f t="shared" si="239"/>
        <v>134.76124132483093</v>
      </c>
      <c r="FF152">
        <v>30</v>
      </c>
      <c r="FG152">
        <f t="shared" si="337"/>
        <v>6176.1999999999989</v>
      </c>
      <c r="FH152">
        <f t="shared" si="240"/>
        <v>2200.4467195619395</v>
      </c>
      <c r="FI152">
        <f t="shared" si="241"/>
        <v>67.380620662415467</v>
      </c>
      <c r="FK152">
        <v>30</v>
      </c>
      <c r="FL152">
        <f t="shared" si="338"/>
        <v>3088.0999999999995</v>
      </c>
      <c r="FM152">
        <f t="shared" si="288"/>
        <v>1100.2233597809698</v>
      </c>
      <c r="FN152">
        <f t="shared" si="242"/>
        <v>33.690310331207733</v>
      </c>
      <c r="FP152">
        <v>30</v>
      </c>
      <c r="FQ152">
        <f t="shared" si="339"/>
        <v>12352.399999999998</v>
      </c>
      <c r="FR152">
        <f t="shared" si="289"/>
        <v>4400.893439123879</v>
      </c>
      <c r="FS152" s="18">
        <f t="shared" si="243"/>
        <v>134.76124132483093</v>
      </c>
      <c r="FT152">
        <v>30</v>
      </c>
      <c r="FU152">
        <f t="shared" si="340"/>
        <v>7400.1999999999989</v>
      </c>
      <c r="FV152">
        <f t="shared" si="244"/>
        <v>2636.5314941391575</v>
      </c>
      <c r="FW152">
        <f t="shared" si="245"/>
        <v>67.380620662415467</v>
      </c>
      <c r="FY152">
        <v>30</v>
      </c>
      <c r="FZ152">
        <f t="shared" si="341"/>
        <v>3700.0999999999995</v>
      </c>
      <c r="GA152">
        <f t="shared" si="290"/>
        <v>1318.2657470695788</v>
      </c>
      <c r="GB152">
        <f t="shared" si="246"/>
        <v>33.690310331207733</v>
      </c>
      <c r="GD152">
        <v>30</v>
      </c>
      <c r="GE152">
        <f t="shared" si="342"/>
        <v>14800.399999999998</v>
      </c>
      <c r="GF152">
        <f t="shared" si="291"/>
        <v>5273.0629882783151</v>
      </c>
      <c r="GG152" s="18">
        <f t="shared" si="247"/>
        <v>134.76124132483093</v>
      </c>
      <c r="GH152">
        <v>30</v>
      </c>
      <c r="GI152">
        <f t="shared" si="343"/>
        <v>9848.1999999999989</v>
      </c>
      <c r="GJ152">
        <f t="shared" si="248"/>
        <v>3508.7010432935936</v>
      </c>
      <c r="GK152">
        <f t="shared" si="249"/>
        <v>67.380620662415467</v>
      </c>
      <c r="GM152">
        <v>30</v>
      </c>
      <c r="GN152">
        <f t="shared" si="344"/>
        <v>4924.0999999999995</v>
      </c>
      <c r="GO152">
        <f t="shared" si="292"/>
        <v>1754.3505216467968</v>
      </c>
      <c r="GP152">
        <f t="shared" si="250"/>
        <v>33.690310331207733</v>
      </c>
      <c r="GR152">
        <v>30</v>
      </c>
      <c r="GS152">
        <f t="shared" si="345"/>
        <v>19696.399999999998</v>
      </c>
      <c r="GT152">
        <f t="shared" si="293"/>
        <v>7017.4020865871871</v>
      </c>
      <c r="GU152" s="18">
        <f t="shared" si="251"/>
        <v>134.76124132483093</v>
      </c>
      <c r="GV152">
        <v>30</v>
      </c>
      <c r="GW152">
        <f t="shared" si="346"/>
        <v>12296.199999999999</v>
      </c>
      <c r="GX152">
        <f t="shared" si="252"/>
        <v>4380.87059244803</v>
      </c>
      <c r="GY152">
        <f t="shared" si="294"/>
        <v>2140.8929917033411</v>
      </c>
      <c r="HA152">
        <v>30</v>
      </c>
      <c r="HB152">
        <f t="shared" si="347"/>
        <v>6148.0999999999995</v>
      </c>
      <c r="HC152">
        <f t="shared" si="295"/>
        <v>2190.435296224015</v>
      </c>
      <c r="HD152">
        <f t="shared" si="253"/>
        <v>33.690310331207733</v>
      </c>
      <c r="HF152">
        <v>30</v>
      </c>
      <c r="HG152">
        <f t="shared" si="348"/>
        <v>24592.399999999998</v>
      </c>
      <c r="HH152">
        <f t="shared" si="296"/>
        <v>8761.7411848960601</v>
      </c>
      <c r="HI152" s="18">
        <f t="shared" si="254"/>
        <v>134.76124132483093</v>
      </c>
    </row>
    <row r="153" spans="1:217" x14ac:dyDescent="0.25">
      <c r="H153" t="s">
        <v>1615</v>
      </c>
      <c r="M153" t="s">
        <v>1615</v>
      </c>
      <c r="R153" t="s">
        <v>1615</v>
      </c>
      <c r="V153" t="s">
        <v>1615</v>
      </c>
      <c r="AA153" t="s">
        <v>1615</v>
      </c>
      <c r="AF153" t="s">
        <v>1615</v>
      </c>
      <c r="AJ153" t="s">
        <v>1615</v>
      </c>
      <c r="AO153" t="s">
        <v>1615</v>
      </c>
      <c r="AT153" t="s">
        <v>1615</v>
      </c>
      <c r="AX153" t="s">
        <v>1615</v>
      </c>
      <c r="BC153" t="s">
        <v>1615</v>
      </c>
      <c r="BH153" t="s">
        <v>1615</v>
      </c>
      <c r="BL153" t="s">
        <v>1615</v>
      </c>
      <c r="BQ153" t="s">
        <v>1615</v>
      </c>
      <c r="BV153" t="s">
        <v>1615</v>
      </c>
      <c r="BZ153" t="s">
        <v>1615</v>
      </c>
      <c r="CE153" t="s">
        <v>1615</v>
      </c>
      <c r="CJ153" t="s">
        <v>1615</v>
      </c>
      <c r="CN153" t="s">
        <v>1615</v>
      </c>
      <c r="CS153" t="s">
        <v>1615</v>
      </c>
      <c r="CX153" t="s">
        <v>1615</v>
      </c>
      <c r="DB153" t="s">
        <v>1615</v>
      </c>
      <c r="DG153" t="s">
        <v>1615</v>
      </c>
      <c r="DL153" t="s">
        <v>1615</v>
      </c>
      <c r="DP153" t="s">
        <v>1615</v>
      </c>
      <c r="DU153" t="s">
        <v>1615</v>
      </c>
      <c r="DZ153" t="s">
        <v>1615</v>
      </c>
      <c r="ED153" t="s">
        <v>1615</v>
      </c>
      <c r="EI153" t="s">
        <v>1615</v>
      </c>
      <c r="EN153" t="s">
        <v>1615</v>
      </c>
      <c r="ER153" t="s">
        <v>1615</v>
      </c>
      <c r="EW153" t="s">
        <v>1615</v>
      </c>
      <c r="FB153" t="s">
        <v>1615</v>
      </c>
      <c r="FF153" t="s">
        <v>1615</v>
      </c>
      <c r="FK153" t="s">
        <v>1615</v>
      </c>
      <c r="FP153" t="s">
        <v>1615</v>
      </c>
      <c r="FT153" t="s">
        <v>1615</v>
      </c>
      <c r="FY153" t="s">
        <v>1615</v>
      </c>
      <c r="GD153" t="s">
        <v>1615</v>
      </c>
      <c r="GH153" t="s">
        <v>1615</v>
      </c>
      <c r="GM153" t="s">
        <v>1615</v>
      </c>
      <c r="GR153" t="s">
        <v>1615</v>
      </c>
      <c r="GV153" t="s">
        <v>1615</v>
      </c>
      <c r="HA153" t="s">
        <v>1615</v>
      </c>
      <c r="HF153" t="s">
        <v>1615</v>
      </c>
    </row>
    <row r="154" spans="1:217" x14ac:dyDescent="0.25">
      <c r="I154">
        <f>SUM(I123:I152)</f>
        <v>11610</v>
      </c>
      <c r="J154">
        <f>SUM(J123:J152)</f>
        <v>7117.721574197416</v>
      </c>
      <c r="K154">
        <f>SUM(K123:K152)</f>
        <v>5326.9896556264057</v>
      </c>
      <c r="N154">
        <f>SUM(N123:N152)</f>
        <v>5805</v>
      </c>
      <c r="O154">
        <f>SUM(O123:O152)</f>
        <v>3558.860787098708</v>
      </c>
      <c r="P154">
        <f>SUM(P123:P152)</f>
        <v>2663.4948278132028</v>
      </c>
      <c r="S154">
        <f>SUM(S123:S152)</f>
        <v>23220</v>
      </c>
      <c r="T154">
        <f>SUM(T123:T152)</f>
        <v>14235.443148394832</v>
      </c>
      <c r="U154" s="18">
        <f>SUM(U123:U152)</f>
        <v>10653.979311252811</v>
      </c>
      <c r="W154">
        <f>SUM(W123:W152)</f>
        <v>12701.999999999993</v>
      </c>
      <c r="X154">
        <f>SUM(X123:X152)</f>
        <v>7787.1920271710214</v>
      </c>
      <c r="Y154">
        <f>SUM(Y123:Y152)</f>
        <v>5828.0295095406182</v>
      </c>
      <c r="AB154">
        <f>SUM(AB123:AB152)</f>
        <v>6350.9999999999964</v>
      </c>
      <c r="AC154">
        <f>SUM(AC123:AC152)</f>
        <v>3893.5960135855107</v>
      </c>
      <c r="AD154">
        <f>SUM(AD123:AD152)</f>
        <v>2663.4948278132028</v>
      </c>
      <c r="AG154">
        <f>SUM(AG123:AG152)</f>
        <v>25403.999999999985</v>
      </c>
      <c r="AH154">
        <f>SUM(AH123:AH152)</f>
        <v>15574.384054342043</v>
      </c>
      <c r="AI154" s="18">
        <f>SUM(AI123:AI152)</f>
        <v>10653.979311252811</v>
      </c>
      <c r="AK154">
        <f>SUM(AK123:AK152)</f>
        <v>12701.999999999993</v>
      </c>
      <c r="AL154">
        <f>SUM(AL123:AL152)</f>
        <v>7787.1920271710214</v>
      </c>
      <c r="AM154">
        <f>SUM(AM123:AM152)</f>
        <v>5828.0295095406182</v>
      </c>
      <c r="AP154">
        <f>SUM(AP123:AP152)</f>
        <v>6350.9999999999964</v>
      </c>
      <c r="AQ154">
        <f>SUM(AQ123:AQ152)</f>
        <v>3893.5960135855107</v>
      </c>
      <c r="AR154">
        <f>SUM(AR123:AR152)</f>
        <v>2663.4948278132028</v>
      </c>
      <c r="AU154">
        <f>SUM(AU123:AU152)</f>
        <v>25403.999999999985</v>
      </c>
      <c r="AV154">
        <f>SUM(AV123:AV152)</f>
        <v>15574.384054342043</v>
      </c>
      <c r="AW154" s="18">
        <f>SUM(AW123:AW152)</f>
        <v>10653.979311252811</v>
      </c>
      <c r="AY154">
        <f>SUM(AY123:AY152)</f>
        <v>12701.999999999993</v>
      </c>
      <c r="AZ154">
        <f>SUM(AZ123:AZ152)</f>
        <v>7787.1920271710214</v>
      </c>
      <c r="BA154">
        <f>SUM(BA123:BA152)</f>
        <v>5828.0295095406182</v>
      </c>
      <c r="BD154">
        <f>SUM(BD123:BD152)</f>
        <v>6350.9999999999964</v>
      </c>
      <c r="BE154">
        <f>SUM(BE123:BE152)</f>
        <v>3893.5960135855107</v>
      </c>
      <c r="BF154">
        <f>SUM(BF123:BF152)</f>
        <v>2663.4948278132028</v>
      </c>
      <c r="BI154">
        <f>SUM(BI123:BI152)</f>
        <v>25403.999999999985</v>
      </c>
      <c r="BJ154">
        <f>SUM(BJ123:BJ152)</f>
        <v>15574.384054342043</v>
      </c>
      <c r="BK154" s="18">
        <f>SUM(BK123:BK152)</f>
        <v>10653.979311252811</v>
      </c>
      <c r="BM154">
        <f>SUM(BM123:BM152)</f>
        <v>20046.000000000011</v>
      </c>
      <c r="BN154">
        <f>SUM(BN123:BN152)</f>
        <v>12289.564743872645</v>
      </c>
      <c r="BO154">
        <f>SUM(BO123:BO152)</f>
        <v>9197.6601754252224</v>
      </c>
      <c r="BR154">
        <f>SUM(BR123:BR152)</f>
        <v>10023.000000000005</v>
      </c>
      <c r="BS154">
        <f>SUM(BS123:BS152)</f>
        <v>6144.7823719363223</v>
      </c>
      <c r="BT154">
        <f>SUM(BT123:BT152)</f>
        <v>2663.4948278132028</v>
      </c>
      <c r="BW154">
        <f>SUM(BW123:BW152)</f>
        <v>40092.000000000022</v>
      </c>
      <c r="BX154">
        <f>SUM(BX123:BX152)</f>
        <v>24579.129487745289</v>
      </c>
      <c r="BY154" s="18">
        <f>SUM(BY123:BY152)</f>
        <v>10653.979311252811</v>
      </c>
      <c r="CA154">
        <f>SUM(CA123:CA152)</f>
        <v>29226.000000000015</v>
      </c>
      <c r="CB154">
        <f>SUM(CB123:CB152)</f>
        <v>17917.530639749668</v>
      </c>
      <c r="CC154">
        <f>SUM(CC123:CC152)</f>
        <v>13409.698507780988</v>
      </c>
      <c r="CF154">
        <f>SUM(CF123:CF152)</f>
        <v>14613.000000000007</v>
      </c>
      <c r="CG154">
        <f>SUM(CG123:CG152)</f>
        <v>8958.7653198748339</v>
      </c>
      <c r="CH154">
        <f>SUM(CH123:CH152)</f>
        <v>2663.4948278132028</v>
      </c>
      <c r="CK154">
        <f>SUM(CK123:CK152)</f>
        <v>58452.000000000029</v>
      </c>
      <c r="CL154">
        <f>SUM(CL123:CL152)</f>
        <v>35835.061279499336</v>
      </c>
      <c r="CM154" s="18">
        <f>SUM(CM123:CM152)</f>
        <v>10653.979311252811</v>
      </c>
      <c r="CO154">
        <f>SUM(CO123:CO152)</f>
        <v>38406</v>
      </c>
      <c r="CP154">
        <f>SUM(CP123:CP152)</f>
        <v>23545.496535626702</v>
      </c>
      <c r="CQ154">
        <f>SUM(CQ123:CQ152)</f>
        <v>17621.736840136749</v>
      </c>
      <c r="CT154">
        <f>SUM(CT123:CT152)</f>
        <v>19203</v>
      </c>
      <c r="CU154">
        <f>SUM(CU123:CU152)</f>
        <v>11772.748267813351</v>
      </c>
      <c r="CV154">
        <f>SUM(CV123:CV152)</f>
        <v>2663.4948278132028</v>
      </c>
      <c r="CY154">
        <f>SUM(CY123:CY152)</f>
        <v>76812</v>
      </c>
      <c r="CZ154">
        <f>SUM(CZ123:CZ152)</f>
        <v>47090.993071253404</v>
      </c>
      <c r="DA154" s="18">
        <f>SUM(DA123:DA152)</f>
        <v>10653.979311252811</v>
      </c>
      <c r="DC154">
        <f>SUM(DC123:DC152)</f>
        <v>56765.999999999971</v>
      </c>
      <c r="DD154">
        <f>SUM(DD123:DD152)</f>
        <v>34801.428327380752</v>
      </c>
      <c r="DE154">
        <f>SUM(DE123:DE152)</f>
        <v>6746.9896556264057</v>
      </c>
      <c r="DH154">
        <f>SUM(DH123:DH152)</f>
        <v>28382.999999999985</v>
      </c>
      <c r="DI154">
        <f>SUM(DI123:DI152)</f>
        <v>17400.714163690376</v>
      </c>
      <c r="DJ154">
        <f>SUM(DJ123:DJ152)</f>
        <v>2663.4948278132028</v>
      </c>
      <c r="DM154">
        <f>SUM(DM123:DM152)</f>
        <v>113531.99999999994</v>
      </c>
      <c r="DN154">
        <f>SUM(DN123:DN152)</f>
        <v>69602.856654761505</v>
      </c>
      <c r="DO154" s="18">
        <f>SUM(DO123:DO152)</f>
        <v>10653.979311252811</v>
      </c>
      <c r="DQ154">
        <f>SUM(DQ123:DQ152)</f>
        <v>75125.999999999956</v>
      </c>
      <c r="DR154">
        <f>SUM(DR123:DR152)</f>
        <v>46057.360119134806</v>
      </c>
      <c r="DS154">
        <f>SUM(DS123:DS152)</f>
        <v>34469.890169559781</v>
      </c>
      <c r="DV154">
        <f>SUM(DV123:DV152)</f>
        <v>37562.999999999978</v>
      </c>
      <c r="DW154">
        <f>SUM(DW123:DW152)</f>
        <v>23028.680059567403</v>
      </c>
      <c r="DX154">
        <f>SUM(DX123:DX152)</f>
        <v>2663.4948278132028</v>
      </c>
      <c r="EA154">
        <f>SUM(EA123:EA152)</f>
        <v>150251.99999999991</v>
      </c>
      <c r="EB154">
        <f>SUM(EB123:EB152)</f>
        <v>92114.720238269612</v>
      </c>
      <c r="EC154" s="18">
        <f>SUM(EC123:EC152)</f>
        <v>10653.979311252811</v>
      </c>
      <c r="EE154">
        <f>SUM(EE123:EE152)</f>
        <v>111845.99999999994</v>
      </c>
      <c r="EF154">
        <f>SUM(EF123:EF152)</f>
        <v>68569.223702642921</v>
      </c>
      <c r="EG154">
        <f>SUM(EG123:EG152)</f>
        <v>51318.04349898285</v>
      </c>
      <c r="EJ154">
        <f>SUM(EJ123:EJ152)</f>
        <v>55922.999999999971</v>
      </c>
      <c r="EK154">
        <f>SUM(EK123:EK152)</f>
        <v>34284.611851321461</v>
      </c>
      <c r="EL154">
        <f>SUM(EL123:EL152)</f>
        <v>2663.4948278132028</v>
      </c>
      <c r="EO154">
        <f>SUM(EO123:EO152)</f>
        <v>223691.99999999988</v>
      </c>
      <c r="EP154">
        <f>SUM(EP123:EP152)</f>
        <v>137138.44740528584</v>
      </c>
      <c r="EQ154" s="18">
        <f>SUM(EQ123:EQ152)</f>
        <v>10653.979311252811</v>
      </c>
      <c r="ES154">
        <f>SUM(ES123:ES152)</f>
        <v>148565.99999999997</v>
      </c>
      <c r="ET154">
        <f>SUM(ET123:ET152)</f>
        <v>91081.087286151</v>
      </c>
      <c r="EU154">
        <f>SUM(EU123:EU152)</f>
        <v>68166.196828405882</v>
      </c>
      <c r="EX154">
        <f>SUM(EX123:EX152)</f>
        <v>74282.999999999985</v>
      </c>
      <c r="EY154">
        <f>SUM(EY123:EY152)</f>
        <v>45540.5436430755</v>
      </c>
      <c r="EZ154">
        <f>SUM(EZ123:EZ152)</f>
        <v>2663.4948278132028</v>
      </c>
      <c r="FC154">
        <f>SUM(FC123:FC152)</f>
        <v>297131.99999999994</v>
      </c>
      <c r="FD154">
        <f>SUM(FD123:FD152)</f>
        <v>182162.174572302</v>
      </c>
      <c r="FE154" s="18">
        <f>SUM(FE123:FE152)</f>
        <v>10653.979311252811</v>
      </c>
      <c r="FG154">
        <f>SUM(FG123:FG152)</f>
        <v>185286.00000000006</v>
      </c>
      <c r="FH154">
        <f>SUM(FH123:FH152)</f>
        <v>113592.95086965911</v>
      </c>
      <c r="FI154">
        <f>SUM(FI123:FI152)</f>
        <v>5326.9896556264057</v>
      </c>
      <c r="FL154">
        <f>SUM(FL123:FL152)</f>
        <v>92643.000000000029</v>
      </c>
      <c r="FM154">
        <f>SUM(FM123:FM152)</f>
        <v>56796.475434829554</v>
      </c>
      <c r="FN154">
        <f>SUM(FN123:FN152)</f>
        <v>2663.4948278132028</v>
      </c>
      <c r="FQ154">
        <f>SUM(FQ123:FQ152)</f>
        <v>370572.00000000012</v>
      </c>
      <c r="FR154">
        <f>SUM(FR123:FR152)</f>
        <v>227185.90173931821</v>
      </c>
      <c r="FS154" s="18">
        <f>SUM(FS123:FS152)</f>
        <v>10653.979311252811</v>
      </c>
      <c r="FU154">
        <f>SUM(FU123:FU152)</f>
        <v>222006.00000000012</v>
      </c>
      <c r="FV154">
        <f>SUM(FV123:FV152)</f>
        <v>136104.81445316723</v>
      </c>
      <c r="FW154">
        <f>SUM(FW123:FW152)</f>
        <v>5326.9896556264057</v>
      </c>
      <c r="FZ154">
        <f>SUM(FZ123:FZ152)</f>
        <v>111003.00000000006</v>
      </c>
      <c r="GA154">
        <f>SUM(GA123:GA152)</f>
        <v>68052.407226583615</v>
      </c>
      <c r="GB154">
        <f>SUM(GB123:GB152)</f>
        <v>2663.4948278132028</v>
      </c>
      <c r="GE154">
        <f>SUM(GE123:GE152)</f>
        <v>444012.00000000023</v>
      </c>
      <c r="GF154">
        <f>SUM(GF123:GF152)</f>
        <v>272209.62890633446</v>
      </c>
      <c r="GG154" s="18">
        <f>SUM(GG123:GG152)</f>
        <v>10653.979311252811</v>
      </c>
      <c r="GI154">
        <f>SUM(GI123:GI152)</f>
        <v>295446.00000000017</v>
      </c>
      <c r="GJ154">
        <f>SUM(GJ123:GJ152)</f>
        <v>181128.5416201835</v>
      </c>
      <c r="GK154">
        <f>SUM(GK123:GK152)</f>
        <v>5326.9896556264057</v>
      </c>
      <c r="GN154">
        <f>SUM(GN123:GN152)</f>
        <v>147723.00000000009</v>
      </c>
      <c r="GO154">
        <f>SUM(GO123:GO152)</f>
        <v>90564.270810091752</v>
      </c>
      <c r="GP154">
        <f>SUM(GP123:GP152)</f>
        <v>2663.4948278132028</v>
      </c>
      <c r="GS154">
        <f>SUM(GS123:GS152)</f>
        <v>590892.00000000035</v>
      </c>
      <c r="GT154">
        <f>SUM(GT123:GT152)</f>
        <v>362257.08324036701</v>
      </c>
      <c r="GU154" s="18">
        <f>SUM(GU123:GU152)</f>
        <v>10653.979311252811</v>
      </c>
      <c r="GW154">
        <f>SUM(GW123:GW152)</f>
        <v>368886.00000000017</v>
      </c>
      <c r="GX154">
        <f>SUM(GX123:GX152)</f>
        <v>226152.26878719963</v>
      </c>
      <c r="GY154">
        <f>SUM(GY123:GY152)</f>
        <v>169255.11680494415</v>
      </c>
      <c r="HB154">
        <f>SUM(HB123:HB152)</f>
        <v>184443.00000000009</v>
      </c>
      <c r="HC154">
        <f>SUM(HC123:HC152)</f>
        <v>113076.13439359982</v>
      </c>
      <c r="HD154">
        <f>SUM(HD123:HD152)</f>
        <v>2663.4948278132028</v>
      </c>
      <c r="HG154">
        <f>SUM(HG123:HG152)</f>
        <v>737772.00000000035</v>
      </c>
      <c r="HH154">
        <f>SUM(HH123:HH152)</f>
        <v>452304.53757439926</v>
      </c>
      <c r="HI154" s="18">
        <f>SUM(HI123:HI152)</f>
        <v>10653.979311252811</v>
      </c>
    </row>
    <row r="156" spans="1:217" ht="15.75" thickBot="1" x14ac:dyDescent="0.3">
      <c r="X156">
        <f>X154/10</f>
        <v>778.71920271710212</v>
      </c>
      <c r="GX156">
        <f>GX154/1000</f>
        <v>226.15226878719963</v>
      </c>
    </row>
    <row r="157" spans="1:217" s="88" customFormat="1" ht="15.75" thickBot="1" x14ac:dyDescent="0.3">
      <c r="A157" s="129" t="s">
        <v>1619</v>
      </c>
      <c r="B157" s="130"/>
      <c r="C157" s="130"/>
      <c r="D157" s="130"/>
      <c r="E157" s="130"/>
      <c r="F157" s="131"/>
      <c r="U157" s="90"/>
      <c r="AI157" s="90"/>
      <c r="AW157" s="90"/>
      <c r="BK157" s="90"/>
      <c r="BY157" s="90"/>
      <c r="CM157" s="90"/>
      <c r="DA157" s="90"/>
      <c r="DO157" s="90"/>
      <c r="EC157" s="90"/>
      <c r="EQ157" s="90"/>
      <c r="FE157" s="90"/>
      <c r="FS157" s="90"/>
      <c r="GG157" s="90"/>
      <c r="GU157" s="90"/>
      <c r="HI157" s="90"/>
    </row>
    <row r="158" spans="1:217" x14ac:dyDescent="0.25">
      <c r="G158" t="s">
        <v>1620</v>
      </c>
      <c r="V158" t="s">
        <v>1620</v>
      </c>
      <c r="AJ158" t="s">
        <v>1620</v>
      </c>
      <c r="AX158" t="s">
        <v>1620</v>
      </c>
      <c r="BL158" t="s">
        <v>1620</v>
      </c>
      <c r="BZ158" t="s">
        <v>1620</v>
      </c>
      <c r="CN158" t="s">
        <v>1620</v>
      </c>
      <c r="DB158" t="s">
        <v>1620</v>
      </c>
      <c r="DP158" t="s">
        <v>1620</v>
      </c>
      <c r="ED158" t="s">
        <v>1620</v>
      </c>
      <c r="ER158" t="s">
        <v>1620</v>
      </c>
      <c r="FF158" t="s">
        <v>1620</v>
      </c>
      <c r="FT158" t="s">
        <v>1620</v>
      </c>
      <c r="GH158" t="s">
        <v>1620</v>
      </c>
      <c r="GV158" t="s">
        <v>1620</v>
      </c>
    </row>
    <row r="161" spans="7:216" x14ac:dyDescent="0.25">
      <c r="H161" s="122" t="s">
        <v>458</v>
      </c>
      <c r="I161" s="122"/>
      <c r="J161" t="s">
        <v>1621</v>
      </c>
      <c r="W161" s="122" t="s">
        <v>458</v>
      </c>
      <c r="X161" s="122"/>
      <c r="Y161" t="s">
        <v>1621</v>
      </c>
      <c r="AK161" s="122" t="s">
        <v>458</v>
      </c>
      <c r="AL161" s="122"/>
      <c r="AM161" t="s">
        <v>1621</v>
      </c>
      <c r="AY161" s="122" t="s">
        <v>458</v>
      </c>
      <c r="AZ161" s="122"/>
      <c r="BA161" t="s">
        <v>1621</v>
      </c>
      <c r="BM161" s="122" t="s">
        <v>458</v>
      </c>
      <c r="BN161" s="122"/>
      <c r="BO161" t="s">
        <v>1621</v>
      </c>
      <c r="CA161" s="122" t="s">
        <v>458</v>
      </c>
      <c r="CB161" s="122"/>
      <c r="CC161" t="s">
        <v>1621</v>
      </c>
      <c r="CO161" s="122" t="s">
        <v>458</v>
      </c>
      <c r="CP161" s="122"/>
      <c r="CQ161" t="s">
        <v>1621</v>
      </c>
      <c r="DC161" s="122" t="s">
        <v>458</v>
      </c>
      <c r="DD161" s="122"/>
      <c r="DE161" t="s">
        <v>1621</v>
      </c>
      <c r="DQ161" s="122" t="s">
        <v>458</v>
      </c>
      <c r="DR161" s="122"/>
      <c r="DS161" t="s">
        <v>1621</v>
      </c>
      <c r="EE161" s="122" t="s">
        <v>458</v>
      </c>
      <c r="EF161" s="122"/>
      <c r="EG161" t="s">
        <v>1621</v>
      </c>
      <c r="ES161" s="122" t="s">
        <v>458</v>
      </c>
      <c r="ET161" s="122"/>
      <c r="EU161" t="s">
        <v>1621</v>
      </c>
      <c r="FG161" s="122" t="s">
        <v>458</v>
      </c>
      <c r="FH161" s="122"/>
      <c r="FI161" t="s">
        <v>1621</v>
      </c>
      <c r="FU161" s="122" t="s">
        <v>458</v>
      </c>
      <c r="FV161" s="122"/>
      <c r="FW161" t="s">
        <v>1621</v>
      </c>
      <c r="GI161" s="122" t="s">
        <v>458</v>
      </c>
      <c r="GJ161" s="122"/>
      <c r="GK161" t="s">
        <v>1621</v>
      </c>
      <c r="GW161" s="122" t="s">
        <v>458</v>
      </c>
      <c r="GX161" s="122"/>
      <c r="GY161" t="s">
        <v>1621</v>
      </c>
    </row>
    <row r="162" spans="7:216" x14ac:dyDescent="0.25">
      <c r="H162" t="s">
        <v>128</v>
      </c>
      <c r="I162" t="s">
        <v>129</v>
      </c>
      <c r="J162">
        <v>15</v>
      </c>
      <c r="K162">
        <v>20</v>
      </c>
      <c r="L162">
        <v>30</v>
      </c>
      <c r="M162">
        <v>40</v>
      </c>
      <c r="N162">
        <v>50</v>
      </c>
      <c r="O162">
        <v>60</v>
      </c>
      <c r="P162">
        <v>70</v>
      </c>
      <c r="Q162">
        <v>80</v>
      </c>
      <c r="R162">
        <v>90</v>
      </c>
      <c r="S162">
        <v>100</v>
      </c>
      <c r="W162" t="s">
        <v>128</v>
      </c>
      <c r="X162" t="s">
        <v>129</v>
      </c>
      <c r="Y162">
        <v>15</v>
      </c>
      <c r="Z162">
        <v>20</v>
      </c>
      <c r="AA162">
        <v>30</v>
      </c>
      <c r="AB162">
        <v>40</v>
      </c>
      <c r="AC162">
        <v>50</v>
      </c>
      <c r="AD162">
        <v>60</v>
      </c>
      <c r="AE162">
        <v>70</v>
      </c>
      <c r="AF162">
        <v>80</v>
      </c>
      <c r="AG162">
        <v>90</v>
      </c>
      <c r="AH162">
        <v>100</v>
      </c>
      <c r="AK162" t="s">
        <v>128</v>
      </c>
      <c r="AL162" t="s">
        <v>129</v>
      </c>
      <c r="AM162">
        <v>15</v>
      </c>
      <c r="AN162">
        <v>20</v>
      </c>
      <c r="AO162">
        <v>30</v>
      </c>
      <c r="AP162">
        <v>40</v>
      </c>
      <c r="AQ162">
        <v>50</v>
      </c>
      <c r="AR162">
        <v>60</v>
      </c>
      <c r="AS162">
        <v>70</v>
      </c>
      <c r="AT162">
        <v>80</v>
      </c>
      <c r="AU162">
        <v>90</v>
      </c>
      <c r="AV162">
        <v>100</v>
      </c>
      <c r="AY162" t="s">
        <v>128</v>
      </c>
      <c r="AZ162" t="s">
        <v>129</v>
      </c>
      <c r="BA162">
        <v>15</v>
      </c>
      <c r="BB162">
        <v>20</v>
      </c>
      <c r="BC162">
        <v>30</v>
      </c>
      <c r="BD162">
        <v>40</v>
      </c>
      <c r="BE162">
        <v>50</v>
      </c>
      <c r="BF162">
        <v>60</v>
      </c>
      <c r="BG162">
        <v>70</v>
      </c>
      <c r="BH162">
        <v>80</v>
      </c>
      <c r="BI162">
        <v>90</v>
      </c>
      <c r="BJ162">
        <v>100</v>
      </c>
      <c r="BM162" t="s">
        <v>128</v>
      </c>
      <c r="BN162" t="s">
        <v>129</v>
      </c>
      <c r="BO162">
        <v>15</v>
      </c>
      <c r="BP162">
        <v>20</v>
      </c>
      <c r="BQ162">
        <v>30</v>
      </c>
      <c r="BR162">
        <v>40</v>
      </c>
      <c r="BS162">
        <v>50</v>
      </c>
      <c r="BT162">
        <v>60</v>
      </c>
      <c r="BU162">
        <v>70</v>
      </c>
      <c r="BV162">
        <v>80</v>
      </c>
      <c r="BW162">
        <v>90</v>
      </c>
      <c r="BX162">
        <v>100</v>
      </c>
      <c r="CA162" t="s">
        <v>128</v>
      </c>
      <c r="CB162" t="s">
        <v>129</v>
      </c>
      <c r="CC162">
        <v>15</v>
      </c>
      <c r="CD162">
        <v>20</v>
      </c>
      <c r="CE162">
        <v>30</v>
      </c>
      <c r="CF162">
        <v>40</v>
      </c>
      <c r="CG162">
        <v>50</v>
      </c>
      <c r="CH162">
        <v>60</v>
      </c>
      <c r="CI162">
        <v>70</v>
      </c>
      <c r="CJ162">
        <v>80</v>
      </c>
      <c r="CK162">
        <v>90</v>
      </c>
      <c r="CL162">
        <v>100</v>
      </c>
      <c r="CO162" t="s">
        <v>128</v>
      </c>
      <c r="CP162" t="s">
        <v>129</v>
      </c>
      <c r="CQ162">
        <v>15</v>
      </c>
      <c r="CR162">
        <v>20</v>
      </c>
      <c r="CS162">
        <v>30</v>
      </c>
      <c r="CT162">
        <v>40</v>
      </c>
      <c r="CU162">
        <v>50</v>
      </c>
      <c r="CV162">
        <v>60</v>
      </c>
      <c r="CW162">
        <v>70</v>
      </c>
      <c r="CX162">
        <v>80</v>
      </c>
      <c r="CY162">
        <v>90</v>
      </c>
      <c r="CZ162">
        <v>100</v>
      </c>
      <c r="DC162" t="s">
        <v>128</v>
      </c>
      <c r="DD162" t="s">
        <v>129</v>
      </c>
      <c r="DE162">
        <v>15</v>
      </c>
      <c r="DF162">
        <v>20</v>
      </c>
      <c r="DG162">
        <v>30</v>
      </c>
      <c r="DH162">
        <v>40</v>
      </c>
      <c r="DI162">
        <v>50</v>
      </c>
      <c r="DJ162">
        <v>60</v>
      </c>
      <c r="DK162">
        <v>70</v>
      </c>
      <c r="DL162">
        <v>80</v>
      </c>
      <c r="DM162">
        <v>90</v>
      </c>
      <c r="DN162">
        <v>100</v>
      </c>
      <c r="DQ162" t="s">
        <v>128</v>
      </c>
      <c r="DR162" t="s">
        <v>129</v>
      </c>
      <c r="DS162">
        <v>15</v>
      </c>
      <c r="DT162">
        <v>20</v>
      </c>
      <c r="DU162">
        <v>30</v>
      </c>
      <c r="DV162">
        <v>40</v>
      </c>
      <c r="DW162">
        <v>50</v>
      </c>
      <c r="DX162">
        <v>60</v>
      </c>
      <c r="DY162">
        <v>70</v>
      </c>
      <c r="DZ162">
        <v>80</v>
      </c>
      <c r="EA162">
        <v>90</v>
      </c>
      <c r="EB162">
        <v>100</v>
      </c>
      <c r="EE162" t="s">
        <v>128</v>
      </c>
      <c r="EF162" t="s">
        <v>129</v>
      </c>
      <c r="EG162">
        <v>15</v>
      </c>
      <c r="EH162">
        <v>20</v>
      </c>
      <c r="EI162">
        <v>30</v>
      </c>
      <c r="EJ162">
        <v>40</v>
      </c>
      <c r="EK162">
        <v>50</v>
      </c>
      <c r="EL162">
        <v>60</v>
      </c>
      <c r="EM162">
        <v>70</v>
      </c>
      <c r="EN162">
        <v>80</v>
      </c>
      <c r="EO162">
        <v>90</v>
      </c>
      <c r="EP162">
        <v>100</v>
      </c>
      <c r="ES162" t="s">
        <v>128</v>
      </c>
      <c r="ET162" t="s">
        <v>129</v>
      </c>
      <c r="EU162">
        <v>15</v>
      </c>
      <c r="EV162">
        <v>20</v>
      </c>
      <c r="EW162">
        <v>30</v>
      </c>
      <c r="EX162">
        <v>40</v>
      </c>
      <c r="EY162">
        <v>50</v>
      </c>
      <c r="EZ162">
        <v>60</v>
      </c>
      <c r="FA162">
        <v>70</v>
      </c>
      <c r="FB162">
        <v>80</v>
      </c>
      <c r="FC162">
        <v>90</v>
      </c>
      <c r="FD162">
        <v>100</v>
      </c>
      <c r="FG162" t="s">
        <v>128</v>
      </c>
      <c r="FH162" t="s">
        <v>129</v>
      </c>
      <c r="FI162">
        <v>15</v>
      </c>
      <c r="FJ162">
        <v>20</v>
      </c>
      <c r="FK162">
        <v>30</v>
      </c>
      <c r="FL162">
        <v>40</v>
      </c>
      <c r="FM162">
        <v>50</v>
      </c>
      <c r="FN162">
        <v>60</v>
      </c>
      <c r="FO162">
        <v>70</v>
      </c>
      <c r="FP162">
        <v>80</v>
      </c>
      <c r="FQ162">
        <v>90</v>
      </c>
      <c r="FR162">
        <v>100</v>
      </c>
      <c r="FU162" t="s">
        <v>128</v>
      </c>
      <c r="FV162" t="s">
        <v>129</v>
      </c>
      <c r="FW162">
        <v>15</v>
      </c>
      <c r="FX162">
        <v>20</v>
      </c>
      <c r="FY162">
        <v>30</v>
      </c>
      <c r="FZ162">
        <v>40</v>
      </c>
      <c r="GA162">
        <v>50</v>
      </c>
      <c r="GB162">
        <v>60</v>
      </c>
      <c r="GC162">
        <v>70</v>
      </c>
      <c r="GD162">
        <v>80</v>
      </c>
      <c r="GE162">
        <v>90</v>
      </c>
      <c r="GF162">
        <v>100</v>
      </c>
      <c r="GI162" t="s">
        <v>128</v>
      </c>
      <c r="GJ162" t="s">
        <v>129</v>
      </c>
      <c r="GK162">
        <v>15</v>
      </c>
      <c r="GL162">
        <v>20</v>
      </c>
      <c r="GM162">
        <v>30</v>
      </c>
      <c r="GN162">
        <v>40</v>
      </c>
      <c r="GO162">
        <v>50</v>
      </c>
      <c r="GP162">
        <v>60</v>
      </c>
      <c r="GQ162">
        <v>70</v>
      </c>
      <c r="GR162">
        <v>80</v>
      </c>
      <c r="GS162">
        <v>90</v>
      </c>
      <c r="GT162">
        <v>100</v>
      </c>
      <c r="GW162" t="s">
        <v>128</v>
      </c>
      <c r="GX162" t="s">
        <v>129</v>
      </c>
      <c r="GY162">
        <v>15</v>
      </c>
      <c r="GZ162">
        <v>20</v>
      </c>
      <c r="HA162">
        <v>30</v>
      </c>
      <c r="HB162">
        <v>40</v>
      </c>
      <c r="HC162">
        <v>50</v>
      </c>
      <c r="HD162">
        <v>60</v>
      </c>
      <c r="HE162">
        <v>70</v>
      </c>
      <c r="HF162">
        <v>80</v>
      </c>
      <c r="HG162">
        <v>90</v>
      </c>
      <c r="HH162">
        <v>100</v>
      </c>
    </row>
    <row r="163" spans="7:216" x14ac:dyDescent="0.25">
      <c r="G163" t="s">
        <v>1115</v>
      </c>
      <c r="H163">
        <f>K12</f>
        <v>1029.4720794124921</v>
      </c>
      <c r="I163">
        <f>K25</f>
        <v>1211.1005616216155</v>
      </c>
      <c r="V163" t="s">
        <v>1115</v>
      </c>
      <c r="W163">
        <f>AA8</f>
        <v>1752.7570469289112</v>
      </c>
      <c r="X163">
        <f>AA18</f>
        <v>2058.4310800431103</v>
      </c>
      <c r="AJ163" t="s">
        <v>1115</v>
      </c>
      <c r="AK163">
        <f>AO9</f>
        <v>2561.1288809158395</v>
      </c>
      <c r="AL163">
        <f>AO19</f>
        <v>3384.5596467734667</v>
      </c>
      <c r="AX163" t="s">
        <v>1115</v>
      </c>
      <c r="AY163">
        <f>BC9</f>
        <v>4543.0390878013604</v>
      </c>
      <c r="AZ163">
        <f>BC19</f>
        <v>5301.7864417470246</v>
      </c>
      <c r="BL163" t="s">
        <v>1115</v>
      </c>
      <c r="BM163">
        <f>BQ10</f>
        <v>5143.1595386893714</v>
      </c>
      <c r="BN163">
        <f>BQ24</f>
        <v>6901.8305348244958</v>
      </c>
      <c r="BZ163" t="s">
        <v>1115</v>
      </c>
      <c r="CA163">
        <f>CE10</f>
        <v>8130.7656440499704</v>
      </c>
      <c r="CB163">
        <f>CE25</f>
        <v>10836.860966165177</v>
      </c>
      <c r="CN163" t="s">
        <v>1115</v>
      </c>
      <c r="CO163">
        <f>CS10</f>
        <v>12593.208133944296</v>
      </c>
      <c r="CP163">
        <f>CS25</f>
        <v>16536.251169018637</v>
      </c>
      <c r="DB163" t="s">
        <v>1115</v>
      </c>
      <c r="DC163">
        <f>DG10</f>
        <v>13931.783003400937</v>
      </c>
      <c r="DD163">
        <f>DG25</f>
        <v>20929.538351757299</v>
      </c>
      <c r="DP163" t="s">
        <v>1115</v>
      </c>
      <c r="DQ163">
        <f>DX25</f>
        <v>24194.207094298421</v>
      </c>
      <c r="DR163">
        <f>DX27</f>
        <v>24375.835576507543</v>
      </c>
      <c r="ED163" t="s">
        <v>1115</v>
      </c>
      <c r="EE163">
        <f>EI27</f>
        <v>41859.076703514598</v>
      </c>
      <c r="EF163">
        <f>EE163</f>
        <v>41859.076703514598</v>
      </c>
      <c r="ER163" t="s">
        <v>1115</v>
      </c>
      <c r="ES163">
        <f>EZ25</f>
        <v>52173.595019839253</v>
      </c>
      <c r="ET163">
        <f>ES163</f>
        <v>52173.595019839253</v>
      </c>
      <c r="FF163" t="s">
        <v>1115</v>
      </c>
      <c r="FG163">
        <f>FK18</f>
        <v>72194.456286888628</v>
      </c>
      <c r="FH163">
        <f>FG163</f>
        <v>72194.456286888628</v>
      </c>
      <c r="FT163" t="s">
        <v>1115</v>
      </c>
      <c r="FU163">
        <f>FY27</f>
        <v>83718.153407029196</v>
      </c>
      <c r="FV163">
        <f>FU163</f>
        <v>83718.153407029196</v>
      </c>
      <c r="GH163" t="s">
        <v>1115</v>
      </c>
      <c r="GI163">
        <f>GM31</f>
        <v>104619.57076239875</v>
      </c>
      <c r="GJ163">
        <f>GI163</f>
        <v>104619.57076239875</v>
      </c>
      <c r="GV163" t="s">
        <v>1115</v>
      </c>
      <c r="GW163">
        <f>HA31</f>
        <v>130874.77444294002</v>
      </c>
      <c r="GX163">
        <f>GW163</f>
        <v>130874.77444294002</v>
      </c>
    </row>
    <row r="164" spans="7:216" x14ac:dyDescent="0.25">
      <c r="G164" t="s">
        <v>203</v>
      </c>
      <c r="J164">
        <f t="shared" ref="J164:S164" si="349">H92</f>
        <v>357.0415992481424</v>
      </c>
      <c r="K164">
        <f t="shared" si="349"/>
        <v>425.32113156920906</v>
      </c>
      <c r="L164">
        <f t="shared" si="349"/>
        <v>561.88019621134242</v>
      </c>
      <c r="M164">
        <f t="shared" si="349"/>
        <v>698.43926085347584</v>
      </c>
      <c r="N164">
        <f t="shared" si="349"/>
        <v>834.99832549560915</v>
      </c>
      <c r="O164">
        <f t="shared" si="349"/>
        <v>971.55739013774269</v>
      </c>
      <c r="P164">
        <f t="shared" si="349"/>
        <v>1108.116454779876</v>
      </c>
      <c r="Q164">
        <f t="shared" si="349"/>
        <v>1244.6755194220093</v>
      </c>
      <c r="R164">
        <f t="shared" si="349"/>
        <v>1381.2345840641428</v>
      </c>
      <c r="S164">
        <f t="shared" si="349"/>
        <v>1517.7936487062764</v>
      </c>
      <c r="V164" t="s">
        <v>203</v>
      </c>
      <c r="Y164">
        <f t="shared" ref="Y164:AH164" si="350">W92</f>
        <v>561.88019621134242</v>
      </c>
      <c r="Z164">
        <f t="shared" si="350"/>
        <v>698.43926085347584</v>
      </c>
      <c r="AA164">
        <f t="shared" si="350"/>
        <v>971.55739013774269</v>
      </c>
      <c r="AB164">
        <f t="shared" si="350"/>
        <v>1244.6755194220093</v>
      </c>
      <c r="AC164">
        <f t="shared" si="350"/>
        <v>1387.6628558019327</v>
      </c>
      <c r="AD164">
        <f t="shared" si="350"/>
        <v>1619.5345262768362</v>
      </c>
      <c r="AE164">
        <f t="shared" si="350"/>
        <v>1783.1450920614407</v>
      </c>
      <c r="AF164">
        <f t="shared" si="350"/>
        <v>1994.3935331316632</v>
      </c>
      <c r="AG164">
        <f t="shared" si="350"/>
        <v>2170.3780365590769</v>
      </c>
      <c r="AH164">
        <f t="shared" si="350"/>
        <v>2369.2525399864899</v>
      </c>
      <c r="AJ164" t="s">
        <v>203</v>
      </c>
      <c r="AM164">
        <f t="shared" ref="AM164:AV164" si="351">AK92</f>
        <v>971.55739013774269</v>
      </c>
      <c r="AN164">
        <f t="shared" si="351"/>
        <v>1244.6755194220093</v>
      </c>
      <c r="AO164">
        <f t="shared" si="351"/>
        <v>1619.5345262768362</v>
      </c>
      <c r="AP164">
        <f t="shared" si="351"/>
        <v>1994.3935331316632</v>
      </c>
      <c r="AQ164">
        <f t="shared" si="351"/>
        <v>2369.2525399864899</v>
      </c>
      <c r="AR164">
        <f t="shared" si="351"/>
        <v>2744.1115468413168</v>
      </c>
      <c r="AS164">
        <f t="shared" si="351"/>
        <v>3118.9705536961437</v>
      </c>
      <c r="AT164">
        <f t="shared" si="351"/>
        <v>3493.8295605509702</v>
      </c>
      <c r="AU164">
        <f t="shared" si="351"/>
        <v>3868.6885674057976</v>
      </c>
      <c r="AV164">
        <f t="shared" si="351"/>
        <v>4243.547574260625</v>
      </c>
      <c r="AX164" t="s">
        <v>203</v>
      </c>
      <c r="BA164">
        <f>AZ92</f>
        <v>1381.2345840641428</v>
      </c>
      <c r="BB164">
        <f t="shared" ref="BB164:BJ164" si="352">BA92</f>
        <v>1619.5345262768362</v>
      </c>
      <c r="BC164">
        <f t="shared" si="352"/>
        <v>2170.3780365590769</v>
      </c>
      <c r="BD164">
        <f t="shared" si="352"/>
        <v>2744.1115468413168</v>
      </c>
      <c r="BE164">
        <f t="shared" si="352"/>
        <v>3313.5159635877708</v>
      </c>
      <c r="BF164">
        <f t="shared" si="352"/>
        <v>3868.6885674057976</v>
      </c>
      <c r="BG164">
        <f t="shared" si="352"/>
        <v>4446.5297598178031</v>
      </c>
      <c r="BH164">
        <f t="shared" si="352"/>
        <v>4993.2655879702788</v>
      </c>
      <c r="BI164">
        <f t="shared" si="352"/>
        <v>5575.9277950483129</v>
      </c>
      <c r="BJ164">
        <f t="shared" si="352"/>
        <v>6117.8426085347583</v>
      </c>
      <c r="BL164" t="s">
        <v>203</v>
      </c>
      <c r="BO164">
        <f>BN92</f>
        <v>1967.342031989192</v>
      </c>
      <c r="BP164">
        <f t="shared" ref="BP164:BX164" si="353">BO92</f>
        <v>2369.2525399864899</v>
      </c>
      <c r="BQ164">
        <f t="shared" si="353"/>
        <v>3313.5159635877708</v>
      </c>
      <c r="BR164">
        <f t="shared" si="353"/>
        <v>4243.547574260625</v>
      </c>
      <c r="BS164">
        <f t="shared" si="353"/>
        <v>5199.7090148261441</v>
      </c>
      <c r="BT164">
        <f t="shared" si="353"/>
        <v>6117.8426085347583</v>
      </c>
      <c r="BU164">
        <f t="shared" si="353"/>
        <v>7079.2920566399416</v>
      </c>
      <c r="BV164">
        <f t="shared" si="353"/>
        <v>7992.1376428088934</v>
      </c>
      <c r="BW164">
        <f t="shared" si="353"/>
        <v>8956.5759647408413</v>
      </c>
      <c r="BX164">
        <f t="shared" si="353"/>
        <v>9866.4326770830266</v>
      </c>
      <c r="BZ164" t="s">
        <v>203</v>
      </c>
      <c r="CC164">
        <f>CB92</f>
        <v>2617.8456692707568</v>
      </c>
      <c r="CD164">
        <f t="shared" ref="CD164:CL164" si="354">CC92</f>
        <v>3313.5159635877708</v>
      </c>
      <c r="CE164">
        <f t="shared" si="354"/>
        <v>4738.2626145789891</v>
      </c>
      <c r="CF164">
        <f t="shared" si="354"/>
        <v>6117.8426085347583</v>
      </c>
      <c r="CG164">
        <f t="shared" si="354"/>
        <v>7536.0766607666037</v>
      </c>
      <c r="CH164">
        <f t="shared" si="354"/>
        <v>8956.5759647408413</v>
      </c>
      <c r="CI164">
        <f t="shared" si="354"/>
        <v>10378.333741905291</v>
      </c>
      <c r="CJ164">
        <f t="shared" si="354"/>
        <v>11740.727711357162</v>
      </c>
      <c r="CK164">
        <f t="shared" si="354"/>
        <v>13161.834968924026</v>
      </c>
      <c r="CL164">
        <f t="shared" si="354"/>
        <v>14583.708414580226</v>
      </c>
      <c r="CN164" t="s">
        <v>203</v>
      </c>
      <c r="CQ164">
        <f>CP92</f>
        <v>3315.9871818379393</v>
      </c>
      <c r="CR164">
        <f t="shared" ref="CR164:CZ164" si="355">CQ92</f>
        <v>4243.547574260625</v>
      </c>
      <c r="CS164">
        <f t="shared" si="355"/>
        <v>6117.8426085347583</v>
      </c>
      <c r="CT164">
        <f t="shared" si="355"/>
        <v>7992.1376428088934</v>
      </c>
      <c r="CU164">
        <f t="shared" si="355"/>
        <v>9866.4326770830266</v>
      </c>
      <c r="CV164">
        <f t="shared" si="355"/>
        <v>11740.727711357162</v>
      </c>
      <c r="CW164">
        <f t="shared" si="355"/>
        <v>13615.022745631297</v>
      </c>
      <c r="CX164">
        <f t="shared" si="355"/>
        <v>15489.31777990543</v>
      </c>
      <c r="CY164">
        <f t="shared" si="355"/>
        <v>17363.612814179563</v>
      </c>
      <c r="CZ164">
        <f t="shared" si="355"/>
        <v>19237.907848453699</v>
      </c>
      <c r="DB164" t="s">
        <v>203</v>
      </c>
      <c r="DE164">
        <f>DD92</f>
        <v>4745.676269329495</v>
      </c>
      <c r="DF164">
        <f t="shared" ref="DF164:DN164" si="356">DE92</f>
        <v>5984.8138556785816</v>
      </c>
      <c r="DG164">
        <f t="shared" si="356"/>
        <v>8606.0026542336054</v>
      </c>
      <c r="DH164">
        <f t="shared" si="356"/>
        <v>11227.191452788629</v>
      </c>
      <c r="DI164">
        <f t="shared" si="356"/>
        <v>13848.380251343653</v>
      </c>
      <c r="DJ164">
        <f t="shared" si="356"/>
        <v>16469.569049898677</v>
      </c>
      <c r="DK164">
        <f t="shared" si="356"/>
        <v>19090.757848453701</v>
      </c>
      <c r="DL164">
        <f t="shared" si="356"/>
        <v>21711.946647008721</v>
      </c>
      <c r="DM164">
        <f t="shared" si="356"/>
        <v>24333.135445563748</v>
      </c>
      <c r="DN164">
        <f t="shared" si="356"/>
        <v>26954.324244118769</v>
      </c>
      <c r="DP164" t="s">
        <v>203</v>
      </c>
      <c r="DS164">
        <f>DR92</f>
        <v>7726.0801370965373</v>
      </c>
      <c r="DT164">
        <f t="shared" ref="DT164:EB164" si="357">DS92</f>
        <v>11094.162699932451</v>
      </c>
      <c r="DU164">
        <f t="shared" si="357"/>
        <v>14462.245262768363</v>
      </c>
      <c r="DV164">
        <f t="shared" si="357"/>
        <v>17830.327825604276</v>
      </c>
      <c r="DW164">
        <f t="shared" si="357"/>
        <v>21198.410388440188</v>
      </c>
      <c r="DX164">
        <f t="shared" si="357"/>
        <v>24566.492951276101</v>
      </c>
      <c r="DY164">
        <f t="shared" si="357"/>
        <v>27934.575514112017</v>
      </c>
      <c r="DZ164">
        <f t="shared" si="357"/>
        <v>31302.658076947926</v>
      </c>
      <c r="EA164">
        <f t="shared" si="357"/>
        <v>34670.740639783842</v>
      </c>
      <c r="EB164">
        <f t="shared" si="357"/>
        <v>0</v>
      </c>
      <c r="ED164" t="s">
        <v>203</v>
      </c>
      <c r="EG164">
        <f>EF92</f>
        <v>9034.7435318041644</v>
      </c>
      <c r="EH164">
        <f t="shared" ref="EH164:EP164" si="358">EG92</f>
        <v>11208.612699932452</v>
      </c>
      <c r="EI164">
        <f t="shared" si="358"/>
        <v>16070.482791330141</v>
      </c>
      <c r="EJ164">
        <f t="shared" si="358"/>
        <v>20932.352882727835</v>
      </c>
      <c r="EK164">
        <f t="shared" si="358"/>
        <v>25794.222974125525</v>
      </c>
      <c r="EL164">
        <f t="shared" si="358"/>
        <v>30656.093065523215</v>
      </c>
      <c r="EM164">
        <f t="shared" si="358"/>
        <v>35517.963156920909</v>
      </c>
      <c r="EN164">
        <f t="shared" si="358"/>
        <v>40379.833248318602</v>
      </c>
      <c r="EO164">
        <f t="shared" si="358"/>
        <v>45241.703339716289</v>
      </c>
      <c r="EP164">
        <f t="shared" si="358"/>
        <v>50103.573431113982</v>
      </c>
      <c r="ER164" t="s">
        <v>203</v>
      </c>
      <c r="EU164">
        <f>ET92</f>
        <v>11894.121706787277</v>
      </c>
      <c r="EV164">
        <f t="shared" ref="EV164:FD164" si="359">EU92</f>
        <v>14691.145262768365</v>
      </c>
      <c r="EW164">
        <f t="shared" si="359"/>
        <v>21046.802882727832</v>
      </c>
      <c r="EX164">
        <f t="shared" si="359"/>
        <v>27402.460502687303</v>
      </c>
      <c r="EY164">
        <f t="shared" si="359"/>
        <v>33758.118122646774</v>
      </c>
      <c r="EZ164">
        <f t="shared" si="359"/>
        <v>40113.775742606245</v>
      </c>
      <c r="FA164">
        <f t="shared" si="359"/>
        <v>46469.433362565716</v>
      </c>
      <c r="FB164">
        <f t="shared" si="359"/>
        <v>52825.090982525187</v>
      </c>
      <c r="FC164">
        <f t="shared" si="359"/>
        <v>59180.748602484651</v>
      </c>
      <c r="FD164">
        <f t="shared" si="359"/>
        <v>65536.406222444115</v>
      </c>
      <c r="FF164" t="s">
        <v>203</v>
      </c>
      <c r="FI164">
        <f>FH92</f>
        <v>14753.499881770389</v>
      </c>
      <c r="FJ164">
        <f t="shared" ref="FJ164:FR164" si="360">FI92</f>
        <v>18173.677825604274</v>
      </c>
      <c r="FK164">
        <f t="shared" si="360"/>
        <v>26023.122974125523</v>
      </c>
      <c r="FL164">
        <f t="shared" si="360"/>
        <v>33872.568122646771</v>
      </c>
      <c r="FM164">
        <f t="shared" si="360"/>
        <v>41722.01327116802</v>
      </c>
      <c r="FN164">
        <f t="shared" si="360"/>
        <v>49571.458419689268</v>
      </c>
      <c r="FO164">
        <f t="shared" si="360"/>
        <v>57420.903568210517</v>
      </c>
      <c r="FP164">
        <f t="shared" si="360"/>
        <v>65270.348716731773</v>
      </c>
      <c r="FQ164">
        <f t="shared" si="360"/>
        <v>73119.793865253014</v>
      </c>
      <c r="FR164">
        <f t="shared" si="360"/>
        <v>80969.239013774262</v>
      </c>
      <c r="FT164" t="s">
        <v>203</v>
      </c>
      <c r="FW164">
        <f>FV92</f>
        <v>17612.878056753507</v>
      </c>
      <c r="FX164">
        <f t="shared" ref="FX164:GF164" si="361">FW92</f>
        <v>21656.210388440188</v>
      </c>
      <c r="FY164">
        <f t="shared" si="361"/>
        <v>30999.443065523217</v>
      </c>
      <c r="FZ164">
        <f t="shared" si="361"/>
        <v>40342.675742606247</v>
      </c>
      <c r="GA164">
        <f t="shared" si="361"/>
        <v>49685.908419689273</v>
      </c>
      <c r="GB164">
        <f t="shared" si="361"/>
        <v>59029.141096772299</v>
      </c>
      <c r="GC164">
        <f t="shared" si="361"/>
        <v>68372.373773855332</v>
      </c>
      <c r="GD164">
        <f t="shared" si="361"/>
        <v>77715.606450938358</v>
      </c>
      <c r="GE164">
        <f t="shared" si="361"/>
        <v>87058.839128021384</v>
      </c>
      <c r="GF164">
        <f t="shared" si="361"/>
        <v>96402.07180510441</v>
      </c>
      <c r="GH164" t="s">
        <v>203</v>
      </c>
      <c r="GK164">
        <f>GJ92</f>
        <v>23331.634406719728</v>
      </c>
      <c r="GL164">
        <f t="shared" ref="GL164:GT164" si="362">GK92</f>
        <v>28621.275514112014</v>
      </c>
      <c r="GM164">
        <f t="shared" si="362"/>
        <v>40952.083248318602</v>
      </c>
      <c r="GN164">
        <f t="shared" si="362"/>
        <v>53282.890982525183</v>
      </c>
      <c r="GO164">
        <f t="shared" si="362"/>
        <v>65613.698716731771</v>
      </c>
      <c r="GP164">
        <f t="shared" si="362"/>
        <v>77944.506450938352</v>
      </c>
      <c r="GQ164">
        <f t="shared" si="362"/>
        <v>90275.314185144933</v>
      </c>
      <c r="GR164">
        <f t="shared" si="362"/>
        <v>102606.12191935151</v>
      </c>
      <c r="GS164">
        <f t="shared" si="362"/>
        <v>114936.92965355809</v>
      </c>
      <c r="GT164">
        <f t="shared" si="362"/>
        <v>127267.7373877647</v>
      </c>
      <c r="GV164" t="s">
        <v>203</v>
      </c>
      <c r="GY164">
        <f>GX92</f>
        <v>29050.390756685956</v>
      </c>
      <c r="GZ164">
        <f t="shared" ref="GZ164:HH164" si="363">GY92</f>
        <v>35586.340639783841</v>
      </c>
      <c r="HA164">
        <f t="shared" si="363"/>
        <v>50904.723431113984</v>
      </c>
      <c r="HB164">
        <f t="shared" si="363"/>
        <v>66223.106222444127</v>
      </c>
      <c r="HC164">
        <f t="shared" si="363"/>
        <v>81541.489013774262</v>
      </c>
      <c r="HD164">
        <f t="shared" si="363"/>
        <v>96859.871805104412</v>
      </c>
      <c r="HE164">
        <f t="shared" si="363"/>
        <v>112178.25459643456</v>
      </c>
      <c r="HF164">
        <f t="shared" si="363"/>
        <v>127496.6373877647</v>
      </c>
      <c r="HG164">
        <f t="shared" si="363"/>
        <v>142815.02017909483</v>
      </c>
      <c r="HH164">
        <f t="shared" si="363"/>
        <v>158133.40297042497</v>
      </c>
    </row>
    <row r="166" spans="7:216" x14ac:dyDescent="0.25">
      <c r="G166" t="s">
        <v>736</v>
      </c>
      <c r="H166" t="s">
        <v>128</v>
      </c>
      <c r="J166">
        <f>H163+J164</f>
        <v>1386.5136786606345</v>
      </c>
      <c r="K166">
        <f>H163+K164</f>
        <v>1454.7932109817011</v>
      </c>
      <c r="L166">
        <f>H163+L164</f>
        <v>1591.3522756238344</v>
      </c>
      <c r="M166">
        <f>H163+M164</f>
        <v>1727.911340265968</v>
      </c>
      <c r="N166">
        <f>H163+N164</f>
        <v>1864.4704049081013</v>
      </c>
      <c r="O166">
        <f>H163+O164</f>
        <v>2001.0294695502348</v>
      </c>
      <c r="P166">
        <f>H163+P164</f>
        <v>2137.5885341923681</v>
      </c>
      <c r="Q166">
        <f>H163+Q164</f>
        <v>2274.1475988345014</v>
      </c>
      <c r="R166">
        <f>H163+R164</f>
        <v>2410.7066634766352</v>
      </c>
      <c r="S166">
        <f>H163+S164</f>
        <v>2547.2657281187685</v>
      </c>
      <c r="V166" t="s">
        <v>736</v>
      </c>
      <c r="W166" t="s">
        <v>128</v>
      </c>
      <c r="Y166">
        <f>W163+Y164</f>
        <v>2314.6372431402538</v>
      </c>
      <c r="Z166">
        <f>W163+Z164</f>
        <v>2451.1963077823871</v>
      </c>
      <c r="AA166">
        <f>W163+AA164</f>
        <v>2724.3144370666541</v>
      </c>
      <c r="AB166">
        <f>W163+AB164</f>
        <v>2997.4325663509208</v>
      </c>
      <c r="AC166">
        <f>W163+AC164</f>
        <v>3140.4199027308441</v>
      </c>
      <c r="AD166">
        <f>W163+AD164</f>
        <v>3372.2915732057472</v>
      </c>
      <c r="AE166">
        <f>W163+AE164</f>
        <v>3535.9021389903519</v>
      </c>
      <c r="AF166">
        <f>W163+AF164</f>
        <v>3747.1505800605746</v>
      </c>
      <c r="AG166">
        <f>W163+AG164</f>
        <v>3923.1350834879881</v>
      </c>
      <c r="AH166">
        <f>W163+AH164</f>
        <v>4122.0095869154011</v>
      </c>
      <c r="AJ166" t="s">
        <v>736</v>
      </c>
      <c r="AK166" t="s">
        <v>128</v>
      </c>
      <c r="AM166">
        <f>AK163+AM164</f>
        <v>3532.6862710535825</v>
      </c>
      <c r="AN166">
        <f>AK163+AN164</f>
        <v>3805.8044003378491</v>
      </c>
      <c r="AO166">
        <f>AK163+AO164</f>
        <v>4180.6634071926755</v>
      </c>
      <c r="AP166">
        <f>AK163+AP164</f>
        <v>4555.5224140475029</v>
      </c>
      <c r="AQ166">
        <f>AK163+AQ164</f>
        <v>4930.3814209023294</v>
      </c>
      <c r="AR166">
        <f>AK163+AR164</f>
        <v>5305.2404277571568</v>
      </c>
      <c r="AS166">
        <f>AK163+AS164</f>
        <v>5680.0994346119833</v>
      </c>
      <c r="AT166">
        <f>AK163+AT164</f>
        <v>6054.9584414668097</v>
      </c>
      <c r="AU166">
        <f>AK163+AU164</f>
        <v>6429.8174483216371</v>
      </c>
      <c r="AV166">
        <f>AK163+AV164</f>
        <v>6804.6764551764645</v>
      </c>
      <c r="AX166" t="s">
        <v>736</v>
      </c>
      <c r="AY166" t="s">
        <v>128</v>
      </c>
      <c r="BA166">
        <f>AY163+BA164</f>
        <v>5924.2736718655033</v>
      </c>
      <c r="BB166">
        <f>AY163+BB164</f>
        <v>6162.5736140781964</v>
      </c>
      <c r="BC166">
        <f>AY163+BC164</f>
        <v>6713.4171243604378</v>
      </c>
      <c r="BD166">
        <f>AY163+BD164</f>
        <v>7287.1506346426777</v>
      </c>
      <c r="BE166">
        <f>AY163+BE164</f>
        <v>7856.5550513891312</v>
      </c>
      <c r="BF166">
        <f>AY163+BF164</f>
        <v>8411.727655207158</v>
      </c>
      <c r="BG166">
        <f>AY163+BG164</f>
        <v>8989.5688476191644</v>
      </c>
      <c r="BH166">
        <f>AY163+BH164</f>
        <v>9536.3046757716402</v>
      </c>
      <c r="BI166">
        <f>AY163+BI164</f>
        <v>10118.966882849672</v>
      </c>
      <c r="BJ166">
        <f>AY163+BJ164</f>
        <v>10660.881696336119</v>
      </c>
      <c r="BL166" t="s">
        <v>736</v>
      </c>
      <c r="BM166" t="s">
        <v>128</v>
      </c>
      <c r="BO166">
        <f>BM163+BO164</f>
        <v>7110.5015706785634</v>
      </c>
      <c r="BP166">
        <f>BM163+BP164</f>
        <v>7512.4120786758613</v>
      </c>
      <c r="BQ166">
        <f>BM163+BQ164</f>
        <v>8456.6755022771431</v>
      </c>
      <c r="BR166">
        <f>BM163+BR164</f>
        <v>9386.7071129499964</v>
      </c>
      <c r="BS166">
        <f>BM163+BS164</f>
        <v>10342.868553515516</v>
      </c>
      <c r="BT166">
        <f>BM163+BT164</f>
        <v>11261.00214722413</v>
      </c>
      <c r="BU166">
        <f>BM163+BU164</f>
        <v>12222.451595329312</v>
      </c>
      <c r="BV166">
        <f>BM163+BV164</f>
        <v>13135.297181498265</v>
      </c>
      <c r="BW166">
        <f>BM163+BW164</f>
        <v>14099.735503430213</v>
      </c>
      <c r="BX166">
        <f>BM163+BX164</f>
        <v>15009.592215772398</v>
      </c>
      <c r="BZ166" t="s">
        <v>736</v>
      </c>
      <c r="CA166" t="s">
        <v>128</v>
      </c>
      <c r="CC166">
        <f>CA163+CC164</f>
        <v>10748.611313320727</v>
      </c>
      <c r="CD166">
        <f>CA163+CD164</f>
        <v>11444.281607637742</v>
      </c>
      <c r="CE166">
        <f>CA163+CE164</f>
        <v>12869.02825862896</v>
      </c>
      <c r="CF166">
        <f>CA163+CF164</f>
        <v>14248.608252584729</v>
      </c>
      <c r="CG166">
        <f>CA163+CG164</f>
        <v>15666.842304816575</v>
      </c>
      <c r="CH166">
        <f>CA163+CH164</f>
        <v>17087.341608790812</v>
      </c>
      <c r="CI166">
        <f>CA163+CI164</f>
        <v>18509.099385955262</v>
      </c>
      <c r="CJ166">
        <f>CA163+CJ164</f>
        <v>19871.493355407132</v>
      </c>
      <c r="CK166">
        <f>CA163+CK164</f>
        <v>21292.600612973998</v>
      </c>
      <c r="CL166">
        <f>CA163+CL164</f>
        <v>22714.474058630196</v>
      </c>
      <c r="CN166" t="s">
        <v>736</v>
      </c>
      <c r="CO166" t="s">
        <v>128</v>
      </c>
      <c r="CQ166">
        <f>CO163+CQ164</f>
        <v>15909.195315782235</v>
      </c>
      <c r="CR166">
        <f>CO163+CR164</f>
        <v>16836.755708204921</v>
      </c>
      <c r="CS166">
        <f>CO163+CS164</f>
        <v>18711.050742479056</v>
      </c>
      <c r="CT166">
        <f>CO163+CT164</f>
        <v>20585.345776753187</v>
      </c>
      <c r="CU166">
        <f>CO163+CU164</f>
        <v>22459.640811027322</v>
      </c>
      <c r="CV166">
        <f>CO163+CV164</f>
        <v>24333.935845301457</v>
      </c>
      <c r="CW166">
        <f>CO163+CW164</f>
        <v>26208.230879575593</v>
      </c>
      <c r="CX166">
        <f>CO163+CX164</f>
        <v>28082.525913849728</v>
      </c>
      <c r="CY166">
        <f>CO163+CY164</f>
        <v>29956.820948123859</v>
      </c>
      <c r="CZ166">
        <f>CO163+CZ164</f>
        <v>31831.115982397994</v>
      </c>
      <c r="DB166" t="s">
        <v>736</v>
      </c>
      <c r="DC166" t="s">
        <v>128</v>
      </c>
      <c r="DE166">
        <f>DC163+DE164</f>
        <v>18677.459272730433</v>
      </c>
      <c r="DF166">
        <f>DC163+DF164</f>
        <v>19916.596859079516</v>
      </c>
      <c r="DG166">
        <f>DC163+DG164</f>
        <v>22537.785657634544</v>
      </c>
      <c r="DH166">
        <f>DC163+DH164</f>
        <v>25158.974456189564</v>
      </c>
      <c r="DI166">
        <f>DC163+DI164</f>
        <v>27780.163254744592</v>
      </c>
      <c r="DJ166">
        <f>DC163+DJ164</f>
        <v>30401.352053299612</v>
      </c>
      <c r="DK166">
        <f>DC163+DK164</f>
        <v>33022.540851854639</v>
      </c>
      <c r="DL166">
        <f>DC163+DL164</f>
        <v>35643.729650409659</v>
      </c>
      <c r="DM166">
        <f>DC163+DM164</f>
        <v>38264.918448964687</v>
      </c>
      <c r="DN166">
        <f>DC163+DN164</f>
        <v>40886.107247519707</v>
      </c>
      <c r="DP166" t="s">
        <v>736</v>
      </c>
      <c r="DQ166" t="s">
        <v>128</v>
      </c>
      <c r="DS166">
        <f>DQ163+DS164</f>
        <v>31920.287231394959</v>
      </c>
      <c r="DT166">
        <f>DQ163+DT164</f>
        <v>35288.369794230872</v>
      </c>
      <c r="DU166">
        <f>DQ163+DU164</f>
        <v>38656.452357066781</v>
      </c>
      <c r="DV166">
        <f>DQ163+DV164</f>
        <v>42024.534919902697</v>
      </c>
      <c r="DW166">
        <f>DQ163+DW164</f>
        <v>45392.617482738613</v>
      </c>
      <c r="DX166">
        <f>DQ163+DX164</f>
        <v>48760.700045574522</v>
      </c>
      <c r="DY166">
        <f>DQ163+DY164</f>
        <v>52128.782608410438</v>
      </c>
      <c r="DZ166">
        <f>DQ163+DZ164</f>
        <v>55496.865171246347</v>
      </c>
      <c r="EA166">
        <f>DQ163+EA164</f>
        <v>58864.947734082263</v>
      </c>
      <c r="EB166">
        <f>DQ163+EB164</f>
        <v>24194.207094298421</v>
      </c>
      <c r="ED166" t="s">
        <v>736</v>
      </c>
      <c r="EE166" t="s">
        <v>128</v>
      </c>
      <c r="EG166">
        <f>EE163+EG164</f>
        <v>50893.820235318766</v>
      </c>
      <c r="EH166">
        <f>EE163+EH164</f>
        <v>53067.689403447046</v>
      </c>
      <c r="EI166">
        <f>EE163+EI164</f>
        <v>57929.55949484474</v>
      </c>
      <c r="EJ166">
        <f>EE163+EJ164</f>
        <v>62791.429586242433</v>
      </c>
      <c r="EK166">
        <f>EE163+EK164</f>
        <v>67653.299677640127</v>
      </c>
      <c r="EL166">
        <f>EE163+EL164</f>
        <v>72515.169769037806</v>
      </c>
      <c r="EM166">
        <f>EE163+EM164</f>
        <v>77377.0398604355</v>
      </c>
      <c r="EN166">
        <f>EE163+EN164</f>
        <v>82238.909951833193</v>
      </c>
      <c r="EO166">
        <f>EE163+EO164</f>
        <v>87100.780043230887</v>
      </c>
      <c r="EP166">
        <f>EE163+EP164</f>
        <v>91962.65013462858</v>
      </c>
      <c r="ER166" t="s">
        <v>736</v>
      </c>
      <c r="ES166" t="s">
        <v>128</v>
      </c>
      <c r="EU166">
        <f>ES163+EU164</f>
        <v>64067.716726626531</v>
      </c>
      <c r="EV166">
        <f>ES163+EV164</f>
        <v>66864.740282607614</v>
      </c>
      <c r="EW166">
        <f>ES163+EW164</f>
        <v>73220.397902567085</v>
      </c>
      <c r="EX166">
        <f>ES163+EX164</f>
        <v>79576.055522526556</v>
      </c>
      <c r="EY166">
        <f>ES163+EY164</f>
        <v>85931.713142486027</v>
      </c>
      <c r="EZ166">
        <f>ES163+EZ164</f>
        <v>92287.370762445498</v>
      </c>
      <c r="FA166">
        <f>ES163+FA164</f>
        <v>98643.028382404969</v>
      </c>
      <c r="FB166">
        <f>ES163+FB164</f>
        <v>104998.68600236444</v>
      </c>
      <c r="FC166">
        <f>ES163+FC164</f>
        <v>111354.34362232391</v>
      </c>
      <c r="FD166">
        <f>ES163+FD164</f>
        <v>117710.00124228337</v>
      </c>
      <c r="FF166" t="s">
        <v>736</v>
      </c>
      <c r="FG166" t="s">
        <v>128</v>
      </c>
      <c r="FI166">
        <f>FG163+FI164</f>
        <v>86947.956168659017</v>
      </c>
      <c r="FJ166">
        <f>FG163+FJ164</f>
        <v>90368.134112492902</v>
      </c>
      <c r="FK166">
        <f>FG163+FK164</f>
        <v>98217.579261014151</v>
      </c>
      <c r="FL166">
        <f>FG163+FL164</f>
        <v>106067.0244095354</v>
      </c>
      <c r="FM166">
        <f>FG163+FM164</f>
        <v>113916.46955805665</v>
      </c>
      <c r="FN166">
        <f>FG163+FN164</f>
        <v>121765.9147065779</v>
      </c>
      <c r="FO166">
        <f>FG163+FO164</f>
        <v>129615.35985509914</v>
      </c>
      <c r="FP166">
        <f>FG163+FP164</f>
        <v>137464.80500362039</v>
      </c>
      <c r="FQ166">
        <f>FG163+FQ164</f>
        <v>145314.25015214164</v>
      </c>
      <c r="FR166">
        <f>FG163+FR164</f>
        <v>153163.69530066289</v>
      </c>
      <c r="FT166" t="s">
        <v>736</v>
      </c>
      <c r="FU166" t="s">
        <v>128</v>
      </c>
      <c r="FW166">
        <f>FU163+FW164</f>
        <v>101331.03146378271</v>
      </c>
      <c r="FX166">
        <f>FU163+FX164</f>
        <v>105374.36379546938</v>
      </c>
      <c r="FY166">
        <f>FU163+FY164</f>
        <v>114717.59647255241</v>
      </c>
      <c r="FZ166">
        <f>FU163+FZ164</f>
        <v>124060.82914963545</v>
      </c>
      <c r="GA166">
        <f>FU163+GA164</f>
        <v>133404.06182671848</v>
      </c>
      <c r="GB166">
        <f>FU163+GB164</f>
        <v>142747.2945038015</v>
      </c>
      <c r="GC166">
        <f>FU163+GC164</f>
        <v>152090.52718088453</v>
      </c>
      <c r="GD166">
        <f>FU163+GD164</f>
        <v>161433.75985796755</v>
      </c>
      <c r="GE166">
        <f>FU163+GE164</f>
        <v>170776.99253505058</v>
      </c>
      <c r="GF166">
        <f>FU163+GF164</f>
        <v>180120.22521213361</v>
      </c>
      <c r="GH166" t="s">
        <v>736</v>
      </c>
      <c r="GI166" t="s">
        <v>128</v>
      </c>
      <c r="GK166">
        <f>GI163+GK164</f>
        <v>127951.20516911848</v>
      </c>
      <c r="GL166">
        <f>GI163+GL164</f>
        <v>133240.84627651077</v>
      </c>
      <c r="GM166">
        <f>GI163+GM164</f>
        <v>145571.65401071735</v>
      </c>
      <c r="GN166">
        <f>GI163+GN164</f>
        <v>157902.46174492393</v>
      </c>
      <c r="GO166">
        <f>GI163+GO164</f>
        <v>170233.26947913051</v>
      </c>
      <c r="GP166">
        <f>GI163+GP164</f>
        <v>182564.07721333712</v>
      </c>
      <c r="GQ166">
        <f>GI163+GQ164</f>
        <v>194894.88494754367</v>
      </c>
      <c r="GR166">
        <f>GI163+GR164</f>
        <v>207225.69268175028</v>
      </c>
      <c r="GS166">
        <f>GI163+GS164</f>
        <v>219556.50041595683</v>
      </c>
      <c r="GT166">
        <f>GI163+GT164</f>
        <v>231887.30815016344</v>
      </c>
      <c r="GV166" t="s">
        <v>736</v>
      </c>
      <c r="GW166" t="s">
        <v>128</v>
      </c>
      <c r="GY166">
        <f>GW163+GY164</f>
        <v>159925.16519962598</v>
      </c>
      <c r="GZ166">
        <f>GW163+GZ164</f>
        <v>166461.11508272385</v>
      </c>
      <c r="HA166">
        <f>GW163+HA164</f>
        <v>181779.49787405401</v>
      </c>
      <c r="HB166">
        <f>GW163+HB164</f>
        <v>197097.88066538415</v>
      </c>
      <c r="HC166">
        <f>GW163+HC164</f>
        <v>212416.26345671428</v>
      </c>
      <c r="HD166">
        <f>GW163+HD164</f>
        <v>227734.64624804445</v>
      </c>
      <c r="HE166">
        <f>GW163+HE164</f>
        <v>243053.02903937458</v>
      </c>
      <c r="HF166">
        <f>GW163+HF164</f>
        <v>258371.41183070472</v>
      </c>
      <c r="HG166">
        <f>GW163+HG164</f>
        <v>273689.79462203488</v>
      </c>
      <c r="HH166">
        <f>GW163+HH164</f>
        <v>289008.17741336499</v>
      </c>
    </row>
    <row r="167" spans="7:216" x14ac:dyDescent="0.25">
      <c r="H167" t="s">
        <v>129</v>
      </c>
      <c r="J167">
        <f>I163+J164</f>
        <v>1568.1421608697578</v>
      </c>
      <c r="K167">
        <f>I163+K164</f>
        <v>1636.4216931908245</v>
      </c>
      <c r="L167">
        <f>I163+L164</f>
        <v>1772.9807578329578</v>
      </c>
      <c r="M167">
        <f>I163+M164</f>
        <v>1909.5398224750913</v>
      </c>
      <c r="N167">
        <f>I163+N164</f>
        <v>2046.0988871172246</v>
      </c>
      <c r="O167">
        <f>I163+O164</f>
        <v>2182.6579517593582</v>
      </c>
      <c r="P167">
        <f>I163+P164</f>
        <v>2319.2170164014915</v>
      </c>
      <c r="Q167">
        <f>I163+Q164</f>
        <v>2455.7760810436248</v>
      </c>
      <c r="R167">
        <f>I163+R164</f>
        <v>2592.3351456857581</v>
      </c>
      <c r="S167">
        <f>I163+S164</f>
        <v>2728.8942103278919</v>
      </c>
      <c r="W167" t="s">
        <v>129</v>
      </c>
      <c r="Y167">
        <f>X163+Y164</f>
        <v>2620.3112762544529</v>
      </c>
      <c r="Z167">
        <f>X163+Z164</f>
        <v>2756.8703408965862</v>
      </c>
      <c r="AA167">
        <f>X163+AA164</f>
        <v>3029.9884701808533</v>
      </c>
      <c r="AB167">
        <f>X163+AB164</f>
        <v>3303.1065994651199</v>
      </c>
      <c r="AC167">
        <f>X163+AC164</f>
        <v>3446.0939358450432</v>
      </c>
      <c r="AD167">
        <f>X163+AD164</f>
        <v>3677.9656063199463</v>
      </c>
      <c r="AE167">
        <f>X163+AE164</f>
        <v>3841.576172104551</v>
      </c>
      <c r="AF167">
        <f>X163+AF164</f>
        <v>4052.8246131747737</v>
      </c>
      <c r="AG167">
        <f>X163+AG164</f>
        <v>4228.8091166021877</v>
      </c>
      <c r="AH167">
        <f>X163+AH164</f>
        <v>4427.6836200296002</v>
      </c>
      <c r="AK167" t="s">
        <v>129</v>
      </c>
      <c r="AM167">
        <f>AL163+AM164</f>
        <v>4356.1170369112097</v>
      </c>
      <c r="AN167">
        <f>AL163+AN164</f>
        <v>4629.2351661954763</v>
      </c>
      <c r="AO167">
        <f>AL163+AO164</f>
        <v>5004.0941730503027</v>
      </c>
      <c r="AP167">
        <f>AL163+AP164</f>
        <v>5378.9531799051301</v>
      </c>
      <c r="AQ167">
        <f>AL163+AQ164</f>
        <v>5753.8121867599566</v>
      </c>
      <c r="AR167">
        <f>AL163+AR164</f>
        <v>6128.671193614784</v>
      </c>
      <c r="AS167">
        <f>AL163+AS164</f>
        <v>6503.5302004696105</v>
      </c>
      <c r="AT167">
        <f>AL163+AT164</f>
        <v>6878.3892073244369</v>
      </c>
      <c r="AU167">
        <f>AL163+AU164</f>
        <v>7253.2482141792643</v>
      </c>
      <c r="AV167">
        <f>AL163+AV164</f>
        <v>7628.1072210340917</v>
      </c>
      <c r="AY167" t="s">
        <v>129</v>
      </c>
      <c r="BA167">
        <f>AZ163+BA164</f>
        <v>6683.0210258111674</v>
      </c>
      <c r="BB167">
        <f>AZ163+BB164</f>
        <v>6921.3209680238606</v>
      </c>
      <c r="BC167">
        <f>AZ163+BC164</f>
        <v>7472.164478306102</v>
      </c>
      <c r="BD167">
        <f>AZ163+BD164</f>
        <v>8045.8979885883418</v>
      </c>
      <c r="BE167">
        <f>AZ163+BE164</f>
        <v>8615.3024053347945</v>
      </c>
      <c r="BF167">
        <f>AZ163+BF164</f>
        <v>9170.4750091528222</v>
      </c>
      <c r="BG167">
        <f>AZ163+BG164</f>
        <v>9748.3162015648268</v>
      </c>
      <c r="BH167">
        <f>AZ163+BH164</f>
        <v>10295.052029717303</v>
      </c>
      <c r="BI167">
        <f>AZ163+BI164</f>
        <v>10877.714236795338</v>
      </c>
      <c r="BJ167">
        <f>AZ163+BJ164</f>
        <v>11419.629050281783</v>
      </c>
      <c r="BM167" t="s">
        <v>129</v>
      </c>
      <c r="BO167">
        <f>BN163+BO164</f>
        <v>8869.1725668136878</v>
      </c>
      <c r="BP167">
        <f>BN163+BP164</f>
        <v>9271.0830748109856</v>
      </c>
      <c r="BQ167">
        <f>BN163+BQ164</f>
        <v>10215.346498412266</v>
      </c>
      <c r="BR167">
        <f>BN163+BR164</f>
        <v>11145.378109085121</v>
      </c>
      <c r="BS167">
        <f>BN163+BS164</f>
        <v>12101.539549650639</v>
      </c>
      <c r="BT167">
        <f>BN163+BT164</f>
        <v>13019.673143359254</v>
      </c>
      <c r="BU167">
        <f>BN163+BU164</f>
        <v>13981.122591464438</v>
      </c>
      <c r="BV167">
        <f>BN163+BV164</f>
        <v>14893.968177633389</v>
      </c>
      <c r="BW167">
        <f>BN163+BW164</f>
        <v>15858.406499565337</v>
      </c>
      <c r="BX167">
        <f>BN163+BX164</f>
        <v>16768.263211907521</v>
      </c>
      <c r="CA167" t="s">
        <v>129</v>
      </c>
      <c r="CC167">
        <f>CB163+CC164</f>
        <v>13454.706635435934</v>
      </c>
      <c r="CD167">
        <f>CB163+CD164</f>
        <v>14150.376929752947</v>
      </c>
      <c r="CE167">
        <f>CB163+CE164</f>
        <v>15575.123580744166</v>
      </c>
      <c r="CF167">
        <f>CB163+CF164</f>
        <v>16954.703574699935</v>
      </c>
      <c r="CG167">
        <f>CB163+CG164</f>
        <v>18372.93762693178</v>
      </c>
      <c r="CH167">
        <f>CB163+CH164</f>
        <v>19793.43693090602</v>
      </c>
      <c r="CI167">
        <f>CB163+CI164</f>
        <v>21215.19470807047</v>
      </c>
      <c r="CJ167">
        <f>CB163+CJ164</f>
        <v>22577.588677522341</v>
      </c>
      <c r="CK167">
        <f>CB163+CK164</f>
        <v>23998.695935089203</v>
      </c>
      <c r="CL167">
        <f>CB163+CL164</f>
        <v>25420.569380745401</v>
      </c>
      <c r="CO167" t="s">
        <v>129</v>
      </c>
      <c r="CQ167">
        <f>CP163+CQ164</f>
        <v>19852.238350856576</v>
      </c>
      <c r="CR167">
        <f>CP163+CR164</f>
        <v>20779.798743279262</v>
      </c>
      <c r="CS167">
        <f>CP163+CS164</f>
        <v>22654.093777553397</v>
      </c>
      <c r="CT167">
        <f>CP163+CT164</f>
        <v>24528.388811827528</v>
      </c>
      <c r="CU167">
        <f>CP163+CU164</f>
        <v>26402.683846101663</v>
      </c>
      <c r="CV167">
        <f>CP163+CV164</f>
        <v>28276.978880375798</v>
      </c>
      <c r="CW167">
        <f>CP163+CW164</f>
        <v>30151.273914649933</v>
      </c>
      <c r="CX167">
        <f>CP163+CX164</f>
        <v>32025.568948924069</v>
      </c>
      <c r="CY167">
        <f>CP163+CY164</f>
        <v>33899.8639831982</v>
      </c>
      <c r="CZ167">
        <f>CP163+CZ164</f>
        <v>35774.159017472339</v>
      </c>
      <c r="DC167" t="s">
        <v>129</v>
      </c>
      <c r="DE167">
        <f>DD163+DE164</f>
        <v>25675.214621086794</v>
      </c>
      <c r="DF167">
        <f>DD163+DF164</f>
        <v>26914.352207435881</v>
      </c>
      <c r="DG167">
        <f>DD163+DG164</f>
        <v>29535.541005990905</v>
      </c>
      <c r="DH167">
        <f>DD163+DH164</f>
        <v>32156.729804545928</v>
      </c>
      <c r="DI167">
        <f>DD163+DI164</f>
        <v>34777.918603100952</v>
      </c>
      <c r="DJ167">
        <f>DD163+DJ164</f>
        <v>37399.107401655972</v>
      </c>
      <c r="DK167">
        <f>DD163+DK164</f>
        <v>40020.296200211</v>
      </c>
      <c r="DL167">
        <f>DD163+DL164</f>
        <v>42641.48499876602</v>
      </c>
      <c r="DM167">
        <f>DD163+DM164</f>
        <v>45262.673797321047</v>
      </c>
      <c r="DN167">
        <f>DD163+DN164</f>
        <v>47883.862595876068</v>
      </c>
      <c r="DQ167" t="s">
        <v>129</v>
      </c>
      <c r="DS167">
        <f>DR163+DS164</f>
        <v>32101.915713604081</v>
      </c>
      <c r="DT167">
        <f>DR163+DT164</f>
        <v>35469.99827643999</v>
      </c>
      <c r="DU167">
        <f>DR163+DU164</f>
        <v>38838.080839275906</v>
      </c>
      <c r="DV167">
        <f>DR163+DV164</f>
        <v>42206.163402111823</v>
      </c>
      <c r="DW167">
        <f>DR163+DW164</f>
        <v>45574.245964947731</v>
      </c>
      <c r="DX167">
        <f>DR163+DX164</f>
        <v>48942.32852778364</v>
      </c>
      <c r="DY167">
        <f>DR163+DY164</f>
        <v>52310.411090619556</v>
      </c>
      <c r="DZ167">
        <f>DR163+DZ164</f>
        <v>55678.493653455473</v>
      </c>
      <c r="EA167">
        <f>DR163+EA164</f>
        <v>59046.576216291389</v>
      </c>
      <c r="EB167">
        <f>DR163+EB164</f>
        <v>24375.835576507543</v>
      </c>
      <c r="EE167" t="s">
        <v>129</v>
      </c>
      <c r="EG167">
        <f>EF163+EG164</f>
        <v>50893.820235318766</v>
      </c>
      <c r="EH167">
        <f>EF163+EH164</f>
        <v>53067.689403447046</v>
      </c>
      <c r="EI167">
        <f>EF163+EI164</f>
        <v>57929.55949484474</v>
      </c>
      <c r="EJ167">
        <f>EF163+EJ164</f>
        <v>62791.429586242433</v>
      </c>
      <c r="EK167">
        <f>EF163+EK164</f>
        <v>67653.299677640127</v>
      </c>
      <c r="EL167">
        <f>EF163+EL164</f>
        <v>72515.169769037806</v>
      </c>
      <c r="EM167">
        <f>EF163+EM164</f>
        <v>77377.0398604355</v>
      </c>
      <c r="EN167">
        <f>EF163+EN164</f>
        <v>82238.909951833193</v>
      </c>
      <c r="EO167">
        <f>EF163+EO164</f>
        <v>87100.780043230887</v>
      </c>
      <c r="EP167">
        <f>EF163+EP164</f>
        <v>91962.65013462858</v>
      </c>
      <c r="ES167" t="s">
        <v>129</v>
      </c>
      <c r="EU167">
        <f>ET163+EU164</f>
        <v>64067.716726626531</v>
      </c>
      <c r="EV167">
        <f>ET163+EV164</f>
        <v>66864.740282607614</v>
      </c>
      <c r="EW167">
        <f>ET163+EW164</f>
        <v>73220.397902567085</v>
      </c>
      <c r="EX167">
        <f>ET163+EX164</f>
        <v>79576.055522526556</v>
      </c>
      <c r="EY167">
        <f>ET163+EY164</f>
        <v>85931.713142486027</v>
      </c>
      <c r="EZ167">
        <f>ET163+EZ164</f>
        <v>92287.370762445498</v>
      </c>
      <c r="FA167">
        <f>ET163+FA164</f>
        <v>98643.028382404969</v>
      </c>
      <c r="FB167">
        <f>ET163+FB164</f>
        <v>104998.68600236444</v>
      </c>
      <c r="FC167">
        <f>ET163+FC164</f>
        <v>111354.34362232391</v>
      </c>
      <c r="FD167">
        <f>ET163+FD164</f>
        <v>117710.00124228337</v>
      </c>
      <c r="FG167" t="s">
        <v>129</v>
      </c>
      <c r="FI167">
        <f>FH163+FI164</f>
        <v>86947.956168659017</v>
      </c>
      <c r="FJ167">
        <f>FH163+FJ164</f>
        <v>90368.134112492902</v>
      </c>
      <c r="FK167">
        <f>FH163+FK164</f>
        <v>98217.579261014151</v>
      </c>
      <c r="FL167">
        <f>FH163+FL164</f>
        <v>106067.0244095354</v>
      </c>
      <c r="FM167">
        <f>FH163+FM164</f>
        <v>113916.46955805665</v>
      </c>
      <c r="FN167">
        <f>FH163+FN164</f>
        <v>121765.9147065779</v>
      </c>
      <c r="FO167">
        <f>FH163+FO164</f>
        <v>129615.35985509914</v>
      </c>
      <c r="FP167">
        <f>FH163+FP164</f>
        <v>137464.80500362039</v>
      </c>
      <c r="FQ167">
        <f>FH163+FQ164</f>
        <v>145314.25015214164</v>
      </c>
      <c r="FR167">
        <f>FH163+FR164</f>
        <v>153163.69530066289</v>
      </c>
      <c r="FU167" t="s">
        <v>129</v>
      </c>
      <c r="FW167">
        <f>FV163+FW164</f>
        <v>101331.03146378271</v>
      </c>
      <c r="FX167">
        <f>FV163+FX164</f>
        <v>105374.36379546938</v>
      </c>
      <c r="FY167">
        <f>FV163+FY164</f>
        <v>114717.59647255241</v>
      </c>
      <c r="FZ167">
        <f>FV163+FZ164</f>
        <v>124060.82914963545</v>
      </c>
      <c r="GA167">
        <f>FV163+GA164</f>
        <v>133404.06182671848</v>
      </c>
      <c r="GB167">
        <f>FV163+GB164</f>
        <v>142747.2945038015</v>
      </c>
      <c r="GC167">
        <f>FV163+GC164</f>
        <v>152090.52718088453</v>
      </c>
      <c r="GD167">
        <f>FV163+GD164</f>
        <v>161433.75985796755</v>
      </c>
      <c r="GE167">
        <f>FV163+GE164</f>
        <v>170776.99253505058</v>
      </c>
      <c r="GF167">
        <f>FV163+GF164</f>
        <v>180120.22521213361</v>
      </c>
      <c r="GI167" t="s">
        <v>129</v>
      </c>
      <c r="GK167">
        <f>GJ163+GK164</f>
        <v>127951.20516911848</v>
      </c>
      <c r="GL167">
        <f>GJ163+GL164</f>
        <v>133240.84627651077</v>
      </c>
      <c r="GM167">
        <f>GJ163+GM164</f>
        <v>145571.65401071735</v>
      </c>
      <c r="GN167">
        <f>GJ163+GN164</f>
        <v>157902.46174492393</v>
      </c>
      <c r="GO167">
        <f>GJ163+GO164</f>
        <v>170233.26947913051</v>
      </c>
      <c r="GP167">
        <f>GJ163+GP164</f>
        <v>182564.07721333712</v>
      </c>
      <c r="GQ167">
        <f>GJ163+GQ164</f>
        <v>194894.88494754367</v>
      </c>
      <c r="GR167">
        <f>GJ163+GR164</f>
        <v>207225.69268175028</v>
      </c>
      <c r="GS167">
        <f>GJ163+GS164</f>
        <v>219556.50041595683</v>
      </c>
      <c r="GT167">
        <f>GJ163+GT164</f>
        <v>231887.30815016344</v>
      </c>
      <c r="GW167" t="s">
        <v>129</v>
      </c>
      <c r="GY167">
        <f>GX163+GY164</f>
        <v>159925.16519962598</v>
      </c>
      <c r="GZ167">
        <f>GX163+GZ164</f>
        <v>166461.11508272385</v>
      </c>
      <c r="HA167">
        <f>GX163+HA164</f>
        <v>181779.49787405401</v>
      </c>
      <c r="HB167">
        <f>GX163+HB164</f>
        <v>197097.88066538415</v>
      </c>
      <c r="HC167">
        <f>GX163+HC164</f>
        <v>212416.26345671428</v>
      </c>
      <c r="HD167">
        <f>GX163+HD164</f>
        <v>227734.64624804445</v>
      </c>
      <c r="HE167">
        <f>GX163+HE164</f>
        <v>243053.02903937458</v>
      </c>
      <c r="HF167">
        <f>GX163+HF164</f>
        <v>258371.41183070472</v>
      </c>
      <c r="HG167">
        <f>GX163+HG164</f>
        <v>273689.79462203488</v>
      </c>
      <c r="HH167">
        <f>GX163+HH164</f>
        <v>289008.17741336499</v>
      </c>
    </row>
    <row r="169" spans="7:216" x14ac:dyDescent="0.25">
      <c r="H169" t="s">
        <v>1622</v>
      </c>
      <c r="I169">
        <f>N166</f>
        <v>1864.4704049081013</v>
      </c>
      <c r="W169" t="s">
        <v>1622</v>
      </c>
      <c r="X169">
        <f>AC166</f>
        <v>3140.4199027308441</v>
      </c>
      <c r="AK169" t="s">
        <v>1622</v>
      </c>
      <c r="AL169">
        <f>AQ166</f>
        <v>4930.3814209023294</v>
      </c>
      <c r="AY169" t="s">
        <v>1622</v>
      </c>
      <c r="AZ169">
        <f>BE166</f>
        <v>7856.5550513891312</v>
      </c>
      <c r="BM169" t="s">
        <v>1622</v>
      </c>
      <c r="BN169">
        <f>BS166</f>
        <v>10342.868553515516</v>
      </c>
      <c r="CA169" t="s">
        <v>1622</v>
      </c>
      <c r="CB169">
        <f>CG166</f>
        <v>15666.842304816575</v>
      </c>
      <c r="CO169" t="s">
        <v>1622</v>
      </c>
      <c r="CP169">
        <f>CU166</f>
        <v>22459.640811027322</v>
      </c>
      <c r="DC169" t="s">
        <v>1622</v>
      </c>
      <c r="DD169">
        <f>DI166</f>
        <v>27780.163254744592</v>
      </c>
      <c r="DQ169" t="s">
        <v>1622</v>
      </c>
      <c r="DR169">
        <f>DW166</f>
        <v>45392.617482738613</v>
      </c>
      <c r="EE169" t="s">
        <v>1622</v>
      </c>
      <c r="EF169">
        <f>EK166</f>
        <v>67653.299677640127</v>
      </c>
      <c r="ES169" t="s">
        <v>1622</v>
      </c>
      <c r="ET169">
        <f>EY166</f>
        <v>85931.713142486027</v>
      </c>
      <c r="FG169" t="s">
        <v>1622</v>
      </c>
      <c r="FH169">
        <f>FM166</f>
        <v>113916.46955805665</v>
      </c>
      <c r="FU169" t="s">
        <v>1622</v>
      </c>
      <c r="FV169">
        <f>GA166</f>
        <v>133404.06182671848</v>
      </c>
      <c r="GI169" t="s">
        <v>1622</v>
      </c>
      <c r="GJ169">
        <f>GO166</f>
        <v>170233.26947913051</v>
      </c>
      <c r="GW169" t="s">
        <v>1622</v>
      </c>
      <c r="GX169">
        <f>HC166</f>
        <v>212416.26345671428</v>
      </c>
    </row>
    <row r="170" spans="7:216" x14ac:dyDescent="0.25">
      <c r="H170" t="s">
        <v>1623</v>
      </c>
      <c r="I170">
        <f>J166</f>
        <v>1386.5136786606345</v>
      </c>
      <c r="W170" t="s">
        <v>1623</v>
      </c>
      <c r="X170">
        <f>Y166</f>
        <v>2314.6372431402538</v>
      </c>
      <c r="AK170" t="s">
        <v>1623</v>
      </c>
      <c r="AL170">
        <f>AM166</f>
        <v>3532.6862710535825</v>
      </c>
      <c r="AY170" t="s">
        <v>1623</v>
      </c>
      <c r="AZ170">
        <f>BA166</f>
        <v>5924.2736718655033</v>
      </c>
      <c r="BM170" t="s">
        <v>1623</v>
      </c>
      <c r="BN170">
        <f>BO166</f>
        <v>7110.5015706785634</v>
      </c>
      <c r="CA170" t="s">
        <v>1623</v>
      </c>
      <c r="CB170">
        <f>CC166</f>
        <v>10748.611313320727</v>
      </c>
      <c r="CO170" t="s">
        <v>1623</v>
      </c>
      <c r="CP170">
        <f>CQ166</f>
        <v>15909.195315782235</v>
      </c>
      <c r="DC170" t="s">
        <v>1623</v>
      </c>
      <c r="DD170">
        <f>DE166</f>
        <v>18677.459272730433</v>
      </c>
      <c r="DQ170" t="s">
        <v>1623</v>
      </c>
      <c r="DR170">
        <f>DS166</f>
        <v>31920.287231394959</v>
      </c>
      <c r="EE170" t="s">
        <v>1623</v>
      </c>
      <c r="EF170">
        <f>EG166</f>
        <v>50893.820235318766</v>
      </c>
      <c r="ES170" t="s">
        <v>1623</v>
      </c>
      <c r="ET170">
        <f>EU166</f>
        <v>64067.716726626531</v>
      </c>
      <c r="FG170" t="s">
        <v>1623</v>
      </c>
      <c r="FH170">
        <f>FI166</f>
        <v>86947.956168659017</v>
      </c>
      <c r="FU170" t="s">
        <v>1623</v>
      </c>
      <c r="FV170">
        <f>FW166</f>
        <v>101331.03146378271</v>
      </c>
      <c r="GI170" t="s">
        <v>1623</v>
      </c>
      <c r="GJ170">
        <f>GK166</f>
        <v>127951.20516911848</v>
      </c>
      <c r="GW170" t="s">
        <v>1623</v>
      </c>
      <c r="GX170">
        <f>GY166</f>
        <v>159925.16519962598</v>
      </c>
    </row>
    <row r="171" spans="7:216" x14ac:dyDescent="0.25">
      <c r="H171" t="s">
        <v>589</v>
      </c>
      <c r="I171">
        <f>S167</f>
        <v>2728.8942103278919</v>
      </c>
      <c r="W171" t="s">
        <v>589</v>
      </c>
      <c r="X171">
        <f>AH167</f>
        <v>4427.6836200296002</v>
      </c>
      <c r="AK171" t="s">
        <v>589</v>
      </c>
      <c r="AL171">
        <f>AV167</f>
        <v>7628.1072210340917</v>
      </c>
      <c r="AY171" t="s">
        <v>589</v>
      </c>
      <c r="AZ171">
        <f>BJ167</f>
        <v>11419.629050281783</v>
      </c>
      <c r="BM171" t="s">
        <v>589</v>
      </c>
      <c r="BN171">
        <f>BX167</f>
        <v>16768.263211907521</v>
      </c>
      <c r="CA171" t="s">
        <v>589</v>
      </c>
      <c r="CB171">
        <f>CL167</f>
        <v>25420.569380745401</v>
      </c>
      <c r="CO171" t="s">
        <v>589</v>
      </c>
      <c r="CP171">
        <f>CZ167</f>
        <v>35774.159017472339</v>
      </c>
      <c r="DC171" t="s">
        <v>589</v>
      </c>
      <c r="DD171">
        <f>DN167</f>
        <v>47883.862595876068</v>
      </c>
      <c r="DQ171" t="s">
        <v>589</v>
      </c>
      <c r="DR171">
        <f>EB167</f>
        <v>24375.835576507543</v>
      </c>
      <c r="EE171" t="s">
        <v>589</v>
      </c>
      <c r="EF171">
        <f>EP167</f>
        <v>91962.65013462858</v>
      </c>
      <c r="ES171" t="s">
        <v>589</v>
      </c>
      <c r="ET171">
        <f>FD167</f>
        <v>117710.00124228337</v>
      </c>
      <c r="FG171" t="s">
        <v>589</v>
      </c>
      <c r="FH171">
        <f>FR167</f>
        <v>153163.69530066289</v>
      </c>
      <c r="FU171" t="s">
        <v>589</v>
      </c>
      <c r="FV171">
        <f>GF167</f>
        <v>180120.22521213361</v>
      </c>
      <c r="GI171" t="s">
        <v>589</v>
      </c>
      <c r="GJ171">
        <f>GT167</f>
        <v>231887.30815016344</v>
      </c>
      <c r="GW171" t="s">
        <v>589</v>
      </c>
      <c r="GX171">
        <f>HH167</f>
        <v>289008.17741336499</v>
      </c>
    </row>
    <row r="174" spans="7:216" x14ac:dyDescent="0.25">
      <c r="G174" t="s">
        <v>463</v>
      </c>
      <c r="V174" t="s">
        <v>463</v>
      </c>
      <c r="AJ174" t="s">
        <v>463</v>
      </c>
      <c r="AX174" t="s">
        <v>463</v>
      </c>
      <c r="BL174" t="s">
        <v>463</v>
      </c>
      <c r="BZ174" t="s">
        <v>463</v>
      </c>
      <c r="CN174" t="s">
        <v>463</v>
      </c>
      <c r="DB174" t="s">
        <v>463</v>
      </c>
      <c r="DP174" t="s">
        <v>463</v>
      </c>
      <c r="ED174" t="s">
        <v>463</v>
      </c>
      <c r="ER174" t="s">
        <v>463</v>
      </c>
      <c r="FF174" t="s">
        <v>463</v>
      </c>
      <c r="FT174" t="s">
        <v>463</v>
      </c>
      <c r="GH174" t="s">
        <v>463</v>
      </c>
      <c r="GV174" t="s">
        <v>463</v>
      </c>
    </row>
    <row r="175" spans="7:216" x14ac:dyDescent="0.25">
      <c r="H175" t="s">
        <v>1622</v>
      </c>
      <c r="I175">
        <f>J154</f>
        <v>7117.721574197416</v>
      </c>
      <c r="W175" t="s">
        <v>1622</v>
      </c>
      <c r="X175">
        <f>X154</f>
        <v>7787.1920271710214</v>
      </c>
      <c r="AK175" t="s">
        <v>1622</v>
      </c>
      <c r="AL175">
        <f>AL154</f>
        <v>7787.1920271710214</v>
      </c>
      <c r="AY175" t="s">
        <v>1622</v>
      </c>
      <c r="AZ175">
        <f>AZ154</f>
        <v>7787.1920271710214</v>
      </c>
      <c r="BM175" t="s">
        <v>1622</v>
      </c>
      <c r="BN175">
        <f>BN154</f>
        <v>12289.564743872645</v>
      </c>
      <c r="CA175" t="s">
        <v>1622</v>
      </c>
      <c r="CB175">
        <f>CB154</f>
        <v>17917.530639749668</v>
      </c>
      <c r="CO175" t="s">
        <v>1622</v>
      </c>
      <c r="CP175">
        <f>CP154</f>
        <v>23545.496535626702</v>
      </c>
      <c r="DC175" t="s">
        <v>1622</v>
      </c>
      <c r="DD175">
        <f>DD154</f>
        <v>34801.428327380752</v>
      </c>
      <c r="DQ175" t="s">
        <v>1622</v>
      </c>
      <c r="DR175">
        <f>DR154</f>
        <v>46057.360119134806</v>
      </c>
      <c r="EE175" t="s">
        <v>1622</v>
      </c>
      <c r="EF175">
        <f>EF154</f>
        <v>68569.223702642921</v>
      </c>
      <c r="ES175" t="s">
        <v>1622</v>
      </c>
      <c r="ET175">
        <f>ET154</f>
        <v>91081.087286151</v>
      </c>
      <c r="FG175" t="s">
        <v>1622</v>
      </c>
      <c r="FH175">
        <f>FH154</f>
        <v>113592.95086965911</v>
      </c>
      <c r="FU175" t="s">
        <v>1622</v>
      </c>
      <c r="FV175">
        <f>FV154</f>
        <v>136104.81445316723</v>
      </c>
      <c r="GI175" t="s">
        <v>1622</v>
      </c>
      <c r="GJ175">
        <f>GJ154</f>
        <v>181128.5416201835</v>
      </c>
      <c r="GW175" t="s">
        <v>1622</v>
      </c>
      <c r="GX175">
        <f>GX154</f>
        <v>226152.26878719963</v>
      </c>
    </row>
    <row r="176" spans="7:216" x14ac:dyDescent="0.25">
      <c r="H176" t="s">
        <v>1623</v>
      </c>
      <c r="I176">
        <f>P154</f>
        <v>2663.4948278132028</v>
      </c>
      <c r="W176" t="s">
        <v>1623</v>
      </c>
      <c r="X176">
        <f>AD154</f>
        <v>2663.4948278132028</v>
      </c>
      <c r="AK176" t="s">
        <v>1623</v>
      </c>
      <c r="AL176">
        <f>AR154</f>
        <v>2663.4948278132028</v>
      </c>
      <c r="AY176" t="s">
        <v>1623</v>
      </c>
      <c r="AZ176">
        <f>BF154</f>
        <v>2663.4948278132028</v>
      </c>
      <c r="BM176" t="s">
        <v>1623</v>
      </c>
      <c r="BN176">
        <f>BT154</f>
        <v>2663.4948278132028</v>
      </c>
      <c r="CA176" t="s">
        <v>1623</v>
      </c>
      <c r="CB176">
        <f>CH154</f>
        <v>2663.4948278132028</v>
      </c>
      <c r="CO176" t="s">
        <v>1623</v>
      </c>
      <c r="CP176">
        <f>CV154</f>
        <v>2663.4948278132028</v>
      </c>
      <c r="DC176" t="s">
        <v>1623</v>
      </c>
      <c r="DD176">
        <f>DJ154</f>
        <v>2663.4948278132028</v>
      </c>
      <c r="DQ176" t="s">
        <v>1623</v>
      </c>
      <c r="DR176">
        <f>DX154</f>
        <v>2663.4948278132028</v>
      </c>
      <c r="EE176" t="s">
        <v>1623</v>
      </c>
      <c r="EF176">
        <f>EL154</f>
        <v>2663.4948278132028</v>
      </c>
      <c r="ES176" t="s">
        <v>1623</v>
      </c>
      <c r="ET176">
        <f>EZ154</f>
        <v>2663.4948278132028</v>
      </c>
      <c r="FG176" t="s">
        <v>1623</v>
      </c>
      <c r="FH176">
        <f>FN154</f>
        <v>2663.4948278132028</v>
      </c>
      <c r="FU176" t="s">
        <v>1623</v>
      </c>
      <c r="FV176">
        <f>GB154</f>
        <v>2663.4948278132028</v>
      </c>
      <c r="GI176" t="s">
        <v>1623</v>
      </c>
      <c r="GJ176">
        <f>GP154</f>
        <v>2663.4948278132028</v>
      </c>
      <c r="GW176" t="s">
        <v>1623</v>
      </c>
      <c r="GX176">
        <f>HD154</f>
        <v>2663.4948278132028</v>
      </c>
    </row>
    <row r="177" spans="7:208" x14ac:dyDescent="0.25">
      <c r="H177" t="s">
        <v>589</v>
      </c>
      <c r="I177">
        <f>S154</f>
        <v>23220</v>
      </c>
      <c r="W177" t="s">
        <v>589</v>
      </c>
      <c r="X177">
        <f>AG154</f>
        <v>25403.999999999985</v>
      </c>
      <c r="AK177" t="s">
        <v>589</v>
      </c>
      <c r="AL177">
        <f>AU154</f>
        <v>25403.999999999985</v>
      </c>
      <c r="AY177" t="s">
        <v>589</v>
      </c>
      <c r="AZ177">
        <f>BI154</f>
        <v>25403.999999999985</v>
      </c>
      <c r="BM177" t="s">
        <v>589</v>
      </c>
      <c r="BN177">
        <f>BW154</f>
        <v>40092.000000000022</v>
      </c>
      <c r="CA177" t="s">
        <v>589</v>
      </c>
      <c r="CB177">
        <f>CK154</f>
        <v>58452.000000000029</v>
      </c>
      <c r="CO177" t="s">
        <v>589</v>
      </c>
      <c r="CP177">
        <f>CY154</f>
        <v>76812</v>
      </c>
      <c r="DC177" t="s">
        <v>589</v>
      </c>
      <c r="DD177">
        <f>DM154</f>
        <v>113531.99999999994</v>
      </c>
      <c r="DQ177" t="s">
        <v>589</v>
      </c>
      <c r="DR177">
        <f>EA154</f>
        <v>150251.99999999991</v>
      </c>
      <c r="EE177" t="s">
        <v>589</v>
      </c>
      <c r="EF177">
        <f>EO154</f>
        <v>223691.99999999988</v>
      </c>
      <c r="ES177" t="s">
        <v>589</v>
      </c>
      <c r="ET177">
        <f>FC154</f>
        <v>297131.99999999994</v>
      </c>
      <c r="FG177" t="s">
        <v>589</v>
      </c>
      <c r="FH177">
        <f>FQ154</f>
        <v>370572.00000000012</v>
      </c>
      <c r="FU177" t="s">
        <v>589</v>
      </c>
      <c r="FV177">
        <f>GE154</f>
        <v>444012.00000000023</v>
      </c>
      <c r="GI177" t="s">
        <v>589</v>
      </c>
      <c r="GJ177">
        <f>GS154</f>
        <v>590892.00000000035</v>
      </c>
      <c r="GW177" t="s">
        <v>589</v>
      </c>
      <c r="GX177">
        <f>HG154</f>
        <v>737772.00000000035</v>
      </c>
    </row>
    <row r="179" spans="7:208" x14ac:dyDescent="0.25">
      <c r="G179" t="s">
        <v>625</v>
      </c>
      <c r="V179" t="s">
        <v>625</v>
      </c>
      <c r="AJ179" t="s">
        <v>625</v>
      </c>
      <c r="AX179" t="s">
        <v>625</v>
      </c>
      <c r="BL179" t="s">
        <v>625</v>
      </c>
      <c r="BZ179" t="s">
        <v>625</v>
      </c>
      <c r="CN179" t="s">
        <v>625</v>
      </c>
      <c r="DB179" t="s">
        <v>625</v>
      </c>
      <c r="DP179" t="s">
        <v>625</v>
      </c>
      <c r="ED179" t="s">
        <v>625</v>
      </c>
      <c r="ER179" t="s">
        <v>625</v>
      </c>
      <c r="FF179" t="s">
        <v>625</v>
      </c>
      <c r="FT179" t="s">
        <v>625</v>
      </c>
      <c r="GH179" t="s">
        <v>625</v>
      </c>
      <c r="GV179" t="s">
        <v>625</v>
      </c>
    </row>
    <row r="180" spans="7:208" x14ac:dyDescent="0.25">
      <c r="H180" t="s">
        <v>1622</v>
      </c>
      <c r="I180">
        <f>I175+I169</f>
        <v>8982.191979105517</v>
      </c>
      <c r="W180" t="s">
        <v>1622</v>
      </c>
      <c r="X180">
        <f>X175+X169</f>
        <v>10927.611929901865</v>
      </c>
      <c r="AK180" t="s">
        <v>1622</v>
      </c>
      <c r="AL180">
        <f>AL175+AL169</f>
        <v>12717.573448073352</v>
      </c>
      <c r="AY180" t="s">
        <v>1622</v>
      </c>
      <c r="AZ180">
        <f>AZ175+AZ169</f>
        <v>15643.747078560153</v>
      </c>
      <c r="BM180" t="s">
        <v>1622</v>
      </c>
      <c r="BN180">
        <f>BN175+BN169</f>
        <v>22632.433297388161</v>
      </c>
      <c r="CA180" t="s">
        <v>1622</v>
      </c>
      <c r="CB180">
        <f>CB175+CB169</f>
        <v>33584.372944566247</v>
      </c>
      <c r="CO180" t="s">
        <v>1622</v>
      </c>
      <c r="CP180">
        <f>CP175+CP169</f>
        <v>46005.137346654024</v>
      </c>
      <c r="DC180" t="s">
        <v>1622</v>
      </c>
      <c r="DD180">
        <f>DD175+DD169</f>
        <v>62581.591582125344</v>
      </c>
      <c r="DQ180" t="s">
        <v>1622</v>
      </c>
      <c r="DR180">
        <f>DR175+DR169</f>
        <v>91449.977601873426</v>
      </c>
      <c r="EE180" t="s">
        <v>1622</v>
      </c>
      <c r="EF180">
        <f>EF175+EF169</f>
        <v>136222.52338028303</v>
      </c>
      <c r="ES180" t="s">
        <v>1622</v>
      </c>
      <c r="ET180">
        <f>ET175+ET169</f>
        <v>177012.80042863701</v>
      </c>
      <c r="FG180" t="s">
        <v>1622</v>
      </c>
      <c r="FH180">
        <f>FH175+FH169</f>
        <v>227509.42042771576</v>
      </c>
      <c r="FU180" t="s">
        <v>1622</v>
      </c>
      <c r="FV180">
        <f>FV175+FV169</f>
        <v>269508.87627988571</v>
      </c>
      <c r="GI180" t="s">
        <v>1622</v>
      </c>
      <c r="GJ180">
        <f>GJ175+GJ169</f>
        <v>351361.81109931401</v>
      </c>
      <c r="GW180" t="s">
        <v>1622</v>
      </c>
      <c r="GX180">
        <f>GX175+GX169</f>
        <v>438568.53224391391</v>
      </c>
    </row>
    <row r="181" spans="7:208" x14ac:dyDescent="0.25">
      <c r="H181" t="s">
        <v>1623</v>
      </c>
      <c r="I181">
        <f t="shared" ref="I181:I182" si="364">I176+I170</f>
        <v>4050.0085064738373</v>
      </c>
      <c r="K181">
        <f>I181/I180</f>
        <v>0.45089311338424026</v>
      </c>
      <c r="W181" t="s">
        <v>1623</v>
      </c>
      <c r="X181">
        <f t="shared" ref="X181:X182" si="365">X176+X170</f>
        <v>4978.1320709534566</v>
      </c>
      <c r="Z181">
        <f>X181/X180</f>
        <v>0.45555534941092685</v>
      </c>
      <c r="AK181" t="s">
        <v>1623</v>
      </c>
      <c r="AL181">
        <f t="shared" ref="AL181:AL182" si="366">AL176+AL170</f>
        <v>6196.1810988667858</v>
      </c>
      <c r="AN181">
        <f>AL181/AL180</f>
        <v>0.48721409977824631</v>
      </c>
      <c r="AY181" t="s">
        <v>1623</v>
      </c>
      <c r="AZ181">
        <f t="shared" ref="AZ181:AZ182" si="367">AZ176+AZ170</f>
        <v>8587.7684996787066</v>
      </c>
      <c r="BB181">
        <f>AZ181/AZ180</f>
        <v>0.54895853637574421</v>
      </c>
      <c r="BM181" t="s">
        <v>1623</v>
      </c>
      <c r="BN181">
        <f t="shared" ref="BN181:BN182" si="368">BN176+BN170</f>
        <v>9773.9963984917667</v>
      </c>
      <c r="BP181">
        <f>BN181/BN180</f>
        <v>0.4318579566793514</v>
      </c>
      <c r="CA181" t="s">
        <v>1623</v>
      </c>
      <c r="CB181">
        <f t="shared" ref="CB181:CB182" si="369">CB176+CB170</f>
        <v>13412.106141133931</v>
      </c>
      <c r="CD181">
        <f>CB181/CB180</f>
        <v>0.39935556228105579</v>
      </c>
      <c r="CO181" t="s">
        <v>1623</v>
      </c>
      <c r="CP181">
        <f t="shared" ref="CP181:CP182" si="370">CP176+CP170</f>
        <v>18572.690143595439</v>
      </c>
      <c r="CR181">
        <f>CP181/CP180</f>
        <v>0.40370904674510749</v>
      </c>
      <c r="DC181" t="s">
        <v>1623</v>
      </c>
      <c r="DD181">
        <f t="shared" ref="DD181:DD182" si="371">DD176+DD170</f>
        <v>21340.954100543637</v>
      </c>
      <c r="DF181">
        <f>DD181/DD180</f>
        <v>0.34101008876608813</v>
      </c>
      <c r="DQ181" t="s">
        <v>1623</v>
      </c>
      <c r="DR181">
        <f t="shared" ref="DR181:DR182" si="372">DR176+DR170</f>
        <v>34583.782059208163</v>
      </c>
      <c r="DT181">
        <f>DR181/DR180</f>
        <v>0.37817157495399634</v>
      </c>
      <c r="EE181" t="s">
        <v>1623</v>
      </c>
      <c r="EF181">
        <f t="shared" ref="EF181:EF182" si="373">EF176+EF170</f>
        <v>53557.315063131966</v>
      </c>
      <c r="EH181">
        <f>EF181/EF180</f>
        <v>0.3931604975017215</v>
      </c>
      <c r="ES181" t="s">
        <v>1623</v>
      </c>
      <c r="ET181">
        <f t="shared" ref="ET181:ET182" si="374">ET176+ET170</f>
        <v>66731.211554439738</v>
      </c>
      <c r="EV181">
        <f>ET181/ET180</f>
        <v>0.37698523153608055</v>
      </c>
      <c r="FG181" t="s">
        <v>1623</v>
      </c>
      <c r="FH181">
        <f t="shared" ref="FH181:FH182" si="375">FH176+FH170</f>
        <v>89611.450996472224</v>
      </c>
      <c r="FJ181">
        <f>FH181/FH180</f>
        <v>0.39388017791968116</v>
      </c>
      <c r="FU181" t="s">
        <v>1623</v>
      </c>
      <c r="FV181">
        <f t="shared" ref="FV181:FV182" si="376">FV176+FV170</f>
        <v>103994.52629159592</v>
      </c>
      <c r="FX181">
        <f>FV181/FV180</f>
        <v>0.38586679491623616</v>
      </c>
      <c r="GI181" t="s">
        <v>1623</v>
      </c>
      <c r="GJ181">
        <f t="shared" ref="GJ181:GJ182" si="377">GJ176+GJ170</f>
        <v>130614.69999693168</v>
      </c>
      <c r="GL181">
        <f>GJ181/GJ180</f>
        <v>0.37173846408713107</v>
      </c>
      <c r="GW181" t="s">
        <v>1623</v>
      </c>
      <c r="GX181">
        <f t="shared" ref="GX181:GX182" si="378">GX176+GX170</f>
        <v>162588.66002743918</v>
      </c>
      <c r="GZ181">
        <f>GX181/GX180</f>
        <v>0.37072577732734824</v>
      </c>
    </row>
    <row r="182" spans="7:208" x14ac:dyDescent="0.25">
      <c r="H182" t="s">
        <v>589</v>
      </c>
      <c r="I182">
        <f t="shared" si="364"/>
        <v>25948.894210327893</v>
      </c>
      <c r="K182">
        <f>I182/I180</f>
        <v>2.8889266974799162</v>
      </c>
      <c r="W182" t="s">
        <v>589</v>
      </c>
      <c r="X182">
        <f t="shared" si="365"/>
        <v>29831.683620029587</v>
      </c>
      <c r="Z182">
        <f>X182/X180</f>
        <v>2.7299362213256679</v>
      </c>
      <c r="AK182" t="s">
        <v>589</v>
      </c>
      <c r="AL182">
        <f t="shared" si="366"/>
        <v>33032.107221034079</v>
      </c>
      <c r="AN182">
        <f>AL182/AL180</f>
        <v>2.5973592647926305</v>
      </c>
      <c r="AY182" t="s">
        <v>589</v>
      </c>
      <c r="AZ182">
        <f t="shared" si="367"/>
        <v>36823.629050281772</v>
      </c>
      <c r="BB182">
        <f>AZ182/AZ180</f>
        <v>2.3538880336891137</v>
      </c>
      <c r="BM182" t="s">
        <v>589</v>
      </c>
      <c r="BN182">
        <f t="shared" si="368"/>
        <v>56860.263211907542</v>
      </c>
      <c r="BP182">
        <f>BN182/BN180</f>
        <v>2.5123353934050634</v>
      </c>
      <c r="CA182" t="s">
        <v>589</v>
      </c>
      <c r="CB182">
        <f t="shared" si="369"/>
        <v>83872.569380745437</v>
      </c>
      <c r="CD182">
        <f>CB182/CB180</f>
        <v>2.4973689256960068</v>
      </c>
      <c r="CO182" t="s">
        <v>589</v>
      </c>
      <c r="CP182">
        <f t="shared" si="370"/>
        <v>112586.15901747234</v>
      </c>
      <c r="CR182">
        <f>CP182/CP180</f>
        <v>2.4472518833956003</v>
      </c>
      <c r="DC182" t="s">
        <v>589</v>
      </c>
      <c r="DD182">
        <f t="shared" si="371"/>
        <v>161415.86259587601</v>
      </c>
      <c r="DF182">
        <f>DD182/DD180</f>
        <v>2.5792866323006693</v>
      </c>
      <c r="DQ182" t="s">
        <v>589</v>
      </c>
      <c r="DR182">
        <f t="shared" si="372"/>
        <v>174627.83557650747</v>
      </c>
      <c r="DT182">
        <f>DR182/DR180</f>
        <v>1.9095448698385473</v>
      </c>
      <c r="EE182" t="s">
        <v>589</v>
      </c>
      <c r="EF182">
        <f t="shared" si="373"/>
        <v>315654.65013462846</v>
      </c>
      <c r="EH182">
        <f>EF182/EF180</f>
        <v>2.317198670982163</v>
      </c>
      <c r="ES182" t="s">
        <v>589</v>
      </c>
      <c r="ET182">
        <f t="shared" si="374"/>
        <v>414842.00124228332</v>
      </c>
      <c r="EV182">
        <f>ET182/ET180</f>
        <v>2.3435706357830743</v>
      </c>
      <c r="FG182" t="s">
        <v>589</v>
      </c>
      <c r="FH182">
        <f t="shared" si="375"/>
        <v>523735.69530066301</v>
      </c>
      <c r="FJ182">
        <f>FH182/FH180</f>
        <v>2.3020396004527832</v>
      </c>
      <c r="FU182" t="s">
        <v>589</v>
      </c>
      <c r="FV182">
        <f t="shared" si="376"/>
        <v>624132.22521213384</v>
      </c>
      <c r="FX182">
        <f>FV182/FV180</f>
        <v>2.315813244547726</v>
      </c>
      <c r="GI182" t="s">
        <v>589</v>
      </c>
      <c r="GJ182">
        <f t="shared" si="377"/>
        <v>822779.30815016385</v>
      </c>
      <c r="GL182">
        <f>GJ182/GJ180</f>
        <v>2.3416867802904213</v>
      </c>
      <c r="GW182" t="s">
        <v>589</v>
      </c>
      <c r="GX182">
        <f t="shared" si="378"/>
        <v>1026780.1774133653</v>
      </c>
      <c r="GZ182">
        <f>GX182/GX180</f>
        <v>2.341208048283574</v>
      </c>
    </row>
    <row r="184" spans="7:208" x14ac:dyDescent="0.25">
      <c r="H184" t="s">
        <v>1626</v>
      </c>
      <c r="W184" t="s">
        <v>1626</v>
      </c>
      <c r="CO184" t="s">
        <v>1626</v>
      </c>
    </row>
    <row r="185" spans="7:208" x14ac:dyDescent="0.25">
      <c r="G185" t="s">
        <v>1614</v>
      </c>
      <c r="V185" t="s">
        <v>1614</v>
      </c>
      <c r="CN185" t="s">
        <v>1614</v>
      </c>
      <c r="GW185" t="s">
        <v>1626</v>
      </c>
    </row>
    <row r="186" spans="7:208" x14ac:dyDescent="0.25">
      <c r="G186">
        <v>0</v>
      </c>
      <c r="H186">
        <f>I169+I154</f>
        <v>13474.470404908101</v>
      </c>
      <c r="V186">
        <v>0</v>
      </c>
      <c r="W186">
        <f>X169+W154</f>
        <v>15842.419902730837</v>
      </c>
      <c r="CN186">
        <v>0</v>
      </c>
      <c r="CO186">
        <f>CP169+CO154</f>
        <v>60865.640811027319</v>
      </c>
      <c r="GV186" t="s">
        <v>1614</v>
      </c>
    </row>
    <row r="187" spans="7:208" x14ac:dyDescent="0.25">
      <c r="G187">
        <v>3.5000000000000003E-2</v>
      </c>
      <c r="H187">
        <f>I169+J154</f>
        <v>8982.191979105517</v>
      </c>
      <c r="V187">
        <v>3.5000000000000003E-2</v>
      </c>
      <c r="W187">
        <f>X169+X154</f>
        <v>10927.611929901865</v>
      </c>
      <c r="CN187">
        <v>3.5000000000000003E-2</v>
      </c>
      <c r="CO187">
        <f>CP169+CP154</f>
        <v>46005.137346654024</v>
      </c>
      <c r="GV187">
        <v>0</v>
      </c>
      <c r="GW187">
        <f>GX169+GW154</f>
        <v>581302.26345671446</v>
      </c>
    </row>
    <row r="188" spans="7:208" x14ac:dyDescent="0.25">
      <c r="G188">
        <v>0.06</v>
      </c>
      <c r="H188">
        <f>I169+K154</f>
        <v>7191.4600605345067</v>
      </c>
      <c r="V188">
        <v>0.06</v>
      </c>
      <c r="W188">
        <f>X169+Y154</f>
        <v>8968.4494122714623</v>
      </c>
      <c r="CN188">
        <v>0.06</v>
      </c>
      <c r="CO188">
        <f>CP169+CQ154</f>
        <v>40081.377651164075</v>
      </c>
      <c r="GV188">
        <v>3.5000000000000003E-2</v>
      </c>
      <c r="GW188">
        <f>GX169+GX154</f>
        <v>438568.53224391391</v>
      </c>
    </row>
    <row r="189" spans="7:208" x14ac:dyDescent="0.25">
      <c r="GV189">
        <v>0.06</v>
      </c>
      <c r="GW189">
        <f>GX169+GY154</f>
        <v>381671.38026165846</v>
      </c>
    </row>
  </sheetData>
  <mergeCells count="33">
    <mergeCell ref="A97:F97"/>
    <mergeCell ref="FT1:GG1"/>
    <mergeCell ref="GH1:GU1"/>
    <mergeCell ref="GV1:HI1"/>
    <mergeCell ref="DB1:DO1"/>
    <mergeCell ref="DP1:EC1"/>
    <mergeCell ref="ED1:EQ1"/>
    <mergeCell ref="ER1:FE1"/>
    <mergeCell ref="FF1:FS1"/>
    <mergeCell ref="G1:U1"/>
    <mergeCell ref="BL1:BY1"/>
    <mergeCell ref="BZ1:CM1"/>
    <mergeCell ref="CN1:DA1"/>
    <mergeCell ref="V1:AI1"/>
    <mergeCell ref="AJ1:AW1"/>
    <mergeCell ref="AX1:BK1"/>
    <mergeCell ref="A117:F117"/>
    <mergeCell ref="A157:F157"/>
    <mergeCell ref="H161:I161"/>
    <mergeCell ref="W161:X161"/>
    <mergeCell ref="AK161:AL161"/>
    <mergeCell ref="AY161:AZ161"/>
    <mergeCell ref="BM161:BN161"/>
    <mergeCell ref="CA161:CB161"/>
    <mergeCell ref="CO161:CP161"/>
    <mergeCell ref="DC161:DD161"/>
    <mergeCell ref="GI161:GJ161"/>
    <mergeCell ref="GW161:GX161"/>
    <mergeCell ref="DQ161:DR161"/>
    <mergeCell ref="EE161:EF161"/>
    <mergeCell ref="ES161:ET161"/>
    <mergeCell ref="FG161:FH161"/>
    <mergeCell ref="FU161:FV16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9A3F1-7259-4D65-AEDF-160998199D8A}">
  <sheetPr>
    <tabColor rgb="FFFFC000"/>
  </sheetPr>
  <dimension ref="A1:HC183"/>
  <sheetViews>
    <sheetView topLeftCell="GF1" zoomScale="80" zoomScaleNormal="80" workbookViewId="0">
      <pane ySplit="1" topLeftCell="A144" activePane="bottomLeft" state="frozen"/>
      <selection activeCell="AU1" sqref="AU1"/>
      <selection pane="bottomLeft" activeCell="GU158" sqref="GU158"/>
    </sheetView>
  </sheetViews>
  <sheetFormatPr defaultRowHeight="15" x14ac:dyDescent="0.25"/>
  <cols>
    <col min="12" max="12" width="12" bestFit="1" customWidth="1"/>
    <col min="15" max="15" width="9.140625" style="18"/>
    <col min="29" max="29" width="9.140625" style="18"/>
    <col min="31" max="31" width="18.42578125" customWidth="1"/>
    <col min="43" max="43" width="9.140625" style="18"/>
    <col min="45" max="45" width="21.85546875" bestFit="1" customWidth="1"/>
    <col min="46" max="46" width="14.85546875" bestFit="1" customWidth="1"/>
    <col min="47" max="47" width="14.7109375" bestFit="1" customWidth="1"/>
    <col min="56" max="56" width="9.140625" style="18"/>
    <col min="58" max="58" width="21.85546875" bestFit="1" customWidth="1"/>
    <col min="69" max="69" width="9.140625" style="18"/>
    <col min="82" max="82" width="9.140625" style="18"/>
    <col min="95" max="95" width="9.140625" style="18"/>
    <col min="108" max="108" width="12.140625" bestFit="1" customWidth="1"/>
    <col min="109" max="109" width="9.140625" style="18"/>
    <col min="111" max="111" width="13.140625" customWidth="1"/>
    <col min="123" max="123" width="9.140625" style="18"/>
    <col min="137" max="137" width="9.140625" style="18"/>
    <col min="151" max="151" width="9.140625" style="18"/>
    <col min="165" max="165" width="9.140625" style="18"/>
    <col min="179" max="179" width="9.140625" style="18"/>
    <col min="193" max="193" width="9.140625" style="18"/>
    <col min="195" max="195" width="15.7109375" customWidth="1"/>
  </cols>
  <sheetData>
    <row r="1" spans="1:207" s="39" customFormat="1" ht="19.5" thickBot="1" x14ac:dyDescent="0.35">
      <c r="A1" s="41" t="s">
        <v>464</v>
      </c>
      <c r="D1" s="135" t="s">
        <v>55</v>
      </c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6"/>
      <c r="P1" s="134" t="s">
        <v>135</v>
      </c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6"/>
      <c r="AD1" s="134" t="s">
        <v>165</v>
      </c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6"/>
      <c r="AR1" s="134" t="s">
        <v>275</v>
      </c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6"/>
      <c r="BE1" s="134" t="s">
        <v>294</v>
      </c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6"/>
      <c r="BR1" s="134" t="s">
        <v>303</v>
      </c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6"/>
      <c r="CE1" s="134" t="s">
        <v>311</v>
      </c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6"/>
      <c r="CR1" s="132" t="s">
        <v>740</v>
      </c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6"/>
      <c r="DF1" s="132" t="s">
        <v>741</v>
      </c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6"/>
      <c r="DT1" s="132" t="s">
        <v>742</v>
      </c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6"/>
      <c r="EH1" s="132" t="s">
        <v>743</v>
      </c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6"/>
      <c r="EV1" s="132" t="s">
        <v>744</v>
      </c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6"/>
      <c r="FJ1" s="132" t="s">
        <v>745</v>
      </c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6"/>
      <c r="FX1" s="132" t="s">
        <v>746</v>
      </c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6"/>
      <c r="GL1" s="132" t="s">
        <v>747</v>
      </c>
      <c r="GM1" s="125"/>
      <c r="GN1" s="125"/>
      <c r="GO1" s="125"/>
      <c r="GP1" s="125"/>
      <c r="GQ1" s="125"/>
      <c r="GR1" s="125"/>
      <c r="GS1" s="125"/>
      <c r="GT1" s="125"/>
      <c r="GU1" s="125"/>
      <c r="GV1" s="125"/>
      <c r="GW1" s="125"/>
      <c r="GX1" s="125"/>
      <c r="GY1" s="126"/>
    </row>
    <row r="2" spans="1:207" x14ac:dyDescent="0.25">
      <c r="D2" t="s">
        <v>23</v>
      </c>
      <c r="K2" t="s">
        <v>61</v>
      </c>
      <c r="Q2" t="s">
        <v>23</v>
      </c>
      <c r="X2" t="s">
        <v>61</v>
      </c>
      <c r="AE2" t="s">
        <v>23</v>
      </c>
      <c r="AL2" t="s">
        <v>61</v>
      </c>
      <c r="AS2" t="s">
        <v>23</v>
      </c>
      <c r="AZ2" t="s">
        <v>61</v>
      </c>
      <c r="BF2" t="s">
        <v>23</v>
      </c>
      <c r="BM2" t="s">
        <v>61</v>
      </c>
      <c r="BS2" t="s">
        <v>23</v>
      </c>
      <c r="BZ2" t="s">
        <v>61</v>
      </c>
      <c r="CF2" t="s">
        <v>23</v>
      </c>
      <c r="CM2" t="s">
        <v>61</v>
      </c>
      <c r="GY2" s="18"/>
    </row>
    <row r="3" spans="1:207" x14ac:dyDescent="0.25">
      <c r="D3" s="10" t="s">
        <v>55</v>
      </c>
      <c r="E3" t="s">
        <v>60</v>
      </c>
      <c r="G3" t="s">
        <v>83</v>
      </c>
      <c r="H3">
        <v>0.02</v>
      </c>
      <c r="K3" t="s">
        <v>62</v>
      </c>
      <c r="Q3" s="10" t="s">
        <v>135</v>
      </c>
      <c r="R3" t="s">
        <v>60</v>
      </c>
      <c r="T3" t="s">
        <v>83</v>
      </c>
      <c r="U3">
        <v>0.02</v>
      </c>
      <c r="X3" t="s">
        <v>62</v>
      </c>
      <c r="AE3" s="10" t="s">
        <v>165</v>
      </c>
      <c r="AF3" t="s">
        <v>60</v>
      </c>
      <c r="AH3" t="s">
        <v>83</v>
      </c>
      <c r="AI3">
        <v>0.02</v>
      </c>
      <c r="AL3" t="s">
        <v>62</v>
      </c>
      <c r="AM3" t="s">
        <v>481</v>
      </c>
      <c r="AO3" t="s">
        <v>62</v>
      </c>
      <c r="AP3" t="s">
        <v>482</v>
      </c>
      <c r="AS3" s="10" t="s">
        <v>275</v>
      </c>
      <c r="AT3" t="s">
        <v>60</v>
      </c>
      <c r="AV3" t="s">
        <v>83</v>
      </c>
      <c r="AW3">
        <v>0.02</v>
      </c>
      <c r="AZ3" t="s">
        <v>62</v>
      </c>
      <c r="BF3" s="10" t="s">
        <v>294</v>
      </c>
      <c r="BG3" t="s">
        <v>60</v>
      </c>
      <c r="BI3" t="s">
        <v>83</v>
      </c>
      <c r="BJ3">
        <v>0.02</v>
      </c>
      <c r="BM3" t="s">
        <v>62</v>
      </c>
      <c r="BS3" s="10" t="s">
        <v>303</v>
      </c>
      <c r="BT3" t="s">
        <v>60</v>
      </c>
      <c r="BV3" t="s">
        <v>83</v>
      </c>
      <c r="BW3">
        <v>0.02</v>
      </c>
      <c r="BZ3" t="s">
        <v>62</v>
      </c>
      <c r="CF3" s="10" t="s">
        <v>311</v>
      </c>
      <c r="CG3" t="s">
        <v>60</v>
      </c>
      <c r="CI3" t="s">
        <v>83</v>
      </c>
      <c r="CJ3">
        <v>0.02</v>
      </c>
      <c r="CM3" t="s">
        <v>62</v>
      </c>
      <c r="DC3" t="s">
        <v>1420</v>
      </c>
      <c r="DQ3" t="s">
        <v>1420</v>
      </c>
      <c r="EE3" t="s">
        <v>1420</v>
      </c>
      <c r="ES3" t="s">
        <v>1420</v>
      </c>
      <c r="FG3" t="s">
        <v>1420</v>
      </c>
      <c r="FU3" t="s">
        <v>1420</v>
      </c>
      <c r="GI3" t="s">
        <v>1420</v>
      </c>
      <c r="GW3" t="s">
        <v>1420</v>
      </c>
      <c r="GY3" s="18"/>
    </row>
    <row r="4" spans="1:207" x14ac:dyDescent="0.25">
      <c r="K4" t="s">
        <v>128</v>
      </c>
      <c r="X4" t="s">
        <v>128</v>
      </c>
      <c r="AL4" t="s">
        <v>128</v>
      </c>
      <c r="AO4" t="s">
        <v>128</v>
      </c>
      <c r="AZ4" t="s">
        <v>128</v>
      </c>
      <c r="BM4" t="s">
        <v>128</v>
      </c>
      <c r="BZ4" t="s">
        <v>128</v>
      </c>
      <c r="CM4" t="s">
        <v>128</v>
      </c>
      <c r="DC4" t="s">
        <v>150</v>
      </c>
      <c r="DD4">
        <f>'SAF - Design'!$AZ$174</f>
        <v>4.5399999999999991</v>
      </c>
      <c r="DE4" s="18" t="s">
        <v>191</v>
      </c>
      <c r="DQ4" t="s">
        <v>150</v>
      </c>
      <c r="DR4">
        <f>'SAF - Design'!$BA$174</f>
        <v>5.16</v>
      </c>
      <c r="DS4" s="18" t="s">
        <v>191</v>
      </c>
      <c r="EE4" t="s">
        <v>150</v>
      </c>
      <c r="EF4">
        <f>'SAF - Design'!$BB$174</f>
        <v>6.3</v>
      </c>
      <c r="EG4" s="18" t="s">
        <v>191</v>
      </c>
      <c r="ES4" t="s">
        <v>150</v>
      </c>
      <c r="ET4">
        <f>'SAF - Design'!$BC$174</f>
        <v>7.37</v>
      </c>
      <c r="EU4" s="18" t="s">
        <v>191</v>
      </c>
      <c r="FG4" t="s">
        <v>150</v>
      </c>
      <c r="FH4">
        <f>'SAF - Design'!$BD$174</f>
        <v>8.26</v>
      </c>
      <c r="FI4" s="18" t="s">
        <v>191</v>
      </c>
      <c r="FU4" t="s">
        <v>150</v>
      </c>
      <c r="FV4">
        <f>'SAF - Design'!$BE$174</f>
        <v>9.0300000000000011</v>
      </c>
      <c r="FW4" s="18" t="s">
        <v>191</v>
      </c>
      <c r="GI4" t="s">
        <v>150</v>
      </c>
      <c r="GJ4">
        <f>'SAF - Design'!$BF$174</f>
        <v>10.51</v>
      </c>
      <c r="GK4" s="18" t="s">
        <v>191</v>
      </c>
      <c r="GW4" t="s">
        <v>150</v>
      </c>
      <c r="GX4">
        <f>'SAF - Design'!$BG$174</f>
        <v>11.74</v>
      </c>
      <c r="GY4" s="18" t="s">
        <v>191</v>
      </c>
    </row>
    <row r="5" spans="1:207" x14ac:dyDescent="0.25">
      <c r="D5" t="s">
        <v>22</v>
      </c>
      <c r="K5" t="s">
        <v>150</v>
      </c>
      <c r="L5">
        <v>3100</v>
      </c>
      <c r="Q5" t="s">
        <v>22</v>
      </c>
      <c r="X5" t="s">
        <v>150</v>
      </c>
      <c r="Y5">
        <v>5600</v>
      </c>
      <c r="AE5" t="s">
        <v>22</v>
      </c>
      <c r="AL5" t="s">
        <v>150</v>
      </c>
      <c r="AO5" t="s">
        <v>150</v>
      </c>
      <c r="AP5">
        <v>5600</v>
      </c>
      <c r="AS5" t="s">
        <v>22</v>
      </c>
      <c r="AZ5" t="s">
        <v>150</v>
      </c>
      <c r="BA5">
        <v>7500</v>
      </c>
      <c r="BF5" t="s">
        <v>22</v>
      </c>
      <c r="BM5" t="s">
        <v>150</v>
      </c>
      <c r="BN5">
        <v>10500</v>
      </c>
      <c r="BS5" t="s">
        <v>22</v>
      </c>
      <c r="BZ5" t="s">
        <v>150</v>
      </c>
      <c r="CA5">
        <v>10770</v>
      </c>
      <c r="CF5" t="s">
        <v>22</v>
      </c>
      <c r="CM5" t="s">
        <v>150</v>
      </c>
      <c r="CN5">
        <v>13000</v>
      </c>
      <c r="CS5" t="s">
        <v>22</v>
      </c>
      <c r="DC5" t="s">
        <v>454</v>
      </c>
      <c r="DD5">
        <f>'SAF - Design'!$AZ$175</f>
        <v>1.1000000000000001</v>
      </c>
      <c r="DE5" s="18" t="s">
        <v>191</v>
      </c>
      <c r="DG5" t="s">
        <v>22</v>
      </c>
      <c r="DQ5" t="s">
        <v>454</v>
      </c>
      <c r="DR5">
        <f>'SAF - Design'!$BA$175</f>
        <v>1.3</v>
      </c>
      <c r="DS5" s="18" t="s">
        <v>191</v>
      </c>
      <c r="DU5" t="s">
        <v>22</v>
      </c>
      <c r="EE5" t="s">
        <v>454</v>
      </c>
      <c r="EF5">
        <f>'SAF - Design'!$BB$175</f>
        <v>1.6</v>
      </c>
      <c r="EG5" s="18" t="s">
        <v>191</v>
      </c>
      <c r="EI5" t="s">
        <v>22</v>
      </c>
      <c r="ES5" t="s">
        <v>454</v>
      </c>
      <c r="ET5">
        <f>'SAF - Design'!$BC$175</f>
        <v>1.8</v>
      </c>
      <c r="EU5" s="18" t="s">
        <v>191</v>
      </c>
      <c r="EW5" t="s">
        <v>22</v>
      </c>
      <c r="FG5" t="s">
        <v>454</v>
      </c>
      <c r="FH5">
        <f>'SAF - Design'!$BD$175</f>
        <v>2</v>
      </c>
      <c r="FI5" s="18" t="s">
        <v>191</v>
      </c>
      <c r="FK5" t="s">
        <v>22</v>
      </c>
      <c r="FU5" t="s">
        <v>454</v>
      </c>
      <c r="FV5">
        <f>'SAF - Design'!$BE$175</f>
        <v>2.2000000000000002</v>
      </c>
      <c r="FW5" s="18" t="s">
        <v>191</v>
      </c>
      <c r="FY5" t="s">
        <v>22</v>
      </c>
      <c r="GI5" t="s">
        <v>454</v>
      </c>
      <c r="GJ5">
        <f>'SAF - Design'!$BF$175</f>
        <v>2.5</v>
      </c>
      <c r="GK5" s="18" t="s">
        <v>191</v>
      </c>
      <c r="GM5" t="s">
        <v>22</v>
      </c>
      <c r="GW5" t="s">
        <v>454</v>
      </c>
      <c r="GX5">
        <f>'SAF - Design'!$BG$175</f>
        <v>2.8000000000000003</v>
      </c>
      <c r="GY5" s="18" t="s">
        <v>191</v>
      </c>
    </row>
    <row r="6" spans="1:207" x14ac:dyDescent="0.25">
      <c r="D6" t="s">
        <v>80</v>
      </c>
      <c r="E6" t="s">
        <v>2</v>
      </c>
      <c r="F6" t="s">
        <v>81</v>
      </c>
      <c r="G6" t="s">
        <v>82</v>
      </c>
      <c r="H6" t="s">
        <v>59</v>
      </c>
      <c r="K6" t="s">
        <v>454</v>
      </c>
      <c r="L6">
        <v>1640</v>
      </c>
      <c r="Q6" t="s">
        <v>80</v>
      </c>
      <c r="R6" t="s">
        <v>2</v>
      </c>
      <c r="S6" t="s">
        <v>81</v>
      </c>
      <c r="T6" t="s">
        <v>82</v>
      </c>
      <c r="U6" t="s">
        <v>59</v>
      </c>
      <c r="X6" t="s">
        <v>454</v>
      </c>
      <c r="Y6">
        <v>1640</v>
      </c>
      <c r="AE6" t="s">
        <v>80</v>
      </c>
      <c r="AF6" t="s">
        <v>2</v>
      </c>
      <c r="AG6" t="s">
        <v>81</v>
      </c>
      <c r="AH6" t="s">
        <v>82</v>
      </c>
      <c r="AI6" t="s">
        <v>59</v>
      </c>
      <c r="AL6" t="s">
        <v>454</v>
      </c>
      <c r="AO6" t="s">
        <v>454</v>
      </c>
      <c r="AP6">
        <v>1640</v>
      </c>
      <c r="AS6" t="s">
        <v>80</v>
      </c>
      <c r="AT6" t="s">
        <v>2</v>
      </c>
      <c r="AU6" t="s">
        <v>81</v>
      </c>
      <c r="AV6" t="s">
        <v>82</v>
      </c>
      <c r="AW6" t="s">
        <v>59</v>
      </c>
      <c r="AZ6" t="s">
        <v>454</v>
      </c>
      <c r="BA6">
        <v>2124</v>
      </c>
      <c r="BF6" t="s">
        <v>80</v>
      </c>
      <c r="BG6" t="s">
        <v>2</v>
      </c>
      <c r="BH6" t="s">
        <v>81</v>
      </c>
      <c r="BI6" t="s">
        <v>82</v>
      </c>
      <c r="BJ6" t="s">
        <v>59</v>
      </c>
      <c r="BM6" t="s">
        <v>454</v>
      </c>
      <c r="BN6">
        <v>2524</v>
      </c>
      <c r="BS6" t="s">
        <v>80</v>
      </c>
      <c r="BT6" t="s">
        <v>2</v>
      </c>
      <c r="BU6" t="s">
        <v>81</v>
      </c>
      <c r="BV6" t="s">
        <v>82</v>
      </c>
      <c r="BW6" t="s">
        <v>59</v>
      </c>
      <c r="BZ6" t="s">
        <v>454</v>
      </c>
      <c r="CA6">
        <v>2500</v>
      </c>
      <c r="CF6" t="s">
        <v>80</v>
      </c>
      <c r="CG6" t="s">
        <v>2</v>
      </c>
      <c r="CH6" t="s">
        <v>81</v>
      </c>
      <c r="CI6" t="s">
        <v>82</v>
      </c>
      <c r="CJ6" t="s">
        <v>59</v>
      </c>
      <c r="CM6" t="s">
        <v>454</v>
      </c>
      <c r="CN6">
        <v>2500</v>
      </c>
      <c r="CS6" t="s">
        <v>80</v>
      </c>
      <c r="CT6" t="s">
        <v>2</v>
      </c>
      <c r="CU6" t="s">
        <v>81</v>
      </c>
      <c r="CV6" t="s">
        <v>82</v>
      </c>
      <c r="CW6" t="s">
        <v>59</v>
      </c>
      <c r="DC6" t="s">
        <v>63</v>
      </c>
      <c r="DD6">
        <v>600</v>
      </c>
      <c r="DE6" s="18" t="s">
        <v>64</v>
      </c>
      <c r="DG6" t="s">
        <v>80</v>
      </c>
      <c r="DH6" t="s">
        <v>2</v>
      </c>
      <c r="DI6" t="s">
        <v>81</v>
      </c>
      <c r="DJ6" t="s">
        <v>82</v>
      </c>
      <c r="DK6" t="s">
        <v>59</v>
      </c>
      <c r="DQ6" t="s">
        <v>63</v>
      </c>
      <c r="DR6">
        <v>600</v>
      </c>
      <c r="DS6" s="18" t="s">
        <v>64</v>
      </c>
      <c r="DU6" t="s">
        <v>80</v>
      </c>
      <c r="DV6" t="s">
        <v>2</v>
      </c>
      <c r="DW6" t="s">
        <v>81</v>
      </c>
      <c r="DX6" t="s">
        <v>82</v>
      </c>
      <c r="DY6" t="s">
        <v>59</v>
      </c>
      <c r="EE6" t="s">
        <v>63</v>
      </c>
      <c r="EF6">
        <v>600</v>
      </c>
      <c r="EG6" s="18" t="s">
        <v>64</v>
      </c>
      <c r="EI6" t="s">
        <v>80</v>
      </c>
      <c r="EJ6" t="s">
        <v>2</v>
      </c>
      <c r="EK6" t="s">
        <v>81</v>
      </c>
      <c r="EL6" t="s">
        <v>82</v>
      </c>
      <c r="EM6" t="s">
        <v>59</v>
      </c>
      <c r="ES6" t="s">
        <v>63</v>
      </c>
      <c r="ET6">
        <v>600</v>
      </c>
      <c r="EU6" s="18" t="s">
        <v>64</v>
      </c>
      <c r="EW6" t="s">
        <v>80</v>
      </c>
      <c r="EX6" t="s">
        <v>2</v>
      </c>
      <c r="EY6" t="s">
        <v>81</v>
      </c>
      <c r="EZ6" t="s">
        <v>82</v>
      </c>
      <c r="FA6" t="s">
        <v>59</v>
      </c>
      <c r="FG6" t="s">
        <v>63</v>
      </c>
      <c r="FH6">
        <v>600</v>
      </c>
      <c r="FI6" s="18" t="s">
        <v>64</v>
      </c>
      <c r="FK6" t="s">
        <v>80</v>
      </c>
      <c r="FL6" t="s">
        <v>2</v>
      </c>
      <c r="FM6" t="s">
        <v>81</v>
      </c>
      <c r="FN6" t="s">
        <v>82</v>
      </c>
      <c r="FO6" t="s">
        <v>59</v>
      </c>
      <c r="FU6" t="s">
        <v>63</v>
      </c>
      <c r="FV6">
        <v>600</v>
      </c>
      <c r="FW6" s="18" t="s">
        <v>64</v>
      </c>
      <c r="FY6" t="s">
        <v>80</v>
      </c>
      <c r="FZ6" t="s">
        <v>2</v>
      </c>
      <c r="GA6" t="s">
        <v>81</v>
      </c>
      <c r="GB6" t="s">
        <v>82</v>
      </c>
      <c r="GC6" t="s">
        <v>59</v>
      </c>
      <c r="GI6" t="s">
        <v>63</v>
      </c>
      <c r="GJ6">
        <v>600</v>
      </c>
      <c r="GK6" s="18" t="s">
        <v>64</v>
      </c>
      <c r="GM6" t="s">
        <v>80</v>
      </c>
      <c r="GN6" t="s">
        <v>2</v>
      </c>
      <c r="GO6" t="s">
        <v>81</v>
      </c>
      <c r="GP6" t="s">
        <v>82</v>
      </c>
      <c r="GQ6" t="s">
        <v>59</v>
      </c>
      <c r="GW6" t="s">
        <v>63</v>
      </c>
      <c r="GX6">
        <v>600</v>
      </c>
      <c r="GY6" s="18" t="s">
        <v>64</v>
      </c>
    </row>
    <row r="7" spans="1:207" x14ac:dyDescent="0.25">
      <c r="D7" s="25" t="s">
        <v>378</v>
      </c>
      <c r="E7">
        <v>1</v>
      </c>
      <c r="F7">
        <f>Index!$C$77</f>
        <v>2970</v>
      </c>
      <c r="G7">
        <f>F7</f>
        <v>2970</v>
      </c>
      <c r="H7" s="5">
        <f>E7*F7</f>
        <v>2970</v>
      </c>
      <c r="K7" t="s">
        <v>145</v>
      </c>
      <c r="L7">
        <v>1910</v>
      </c>
      <c r="Q7" s="25" t="s">
        <v>378</v>
      </c>
      <c r="R7">
        <v>1</v>
      </c>
      <c r="S7">
        <f>Index!$C$78</f>
        <v>5604</v>
      </c>
      <c r="T7">
        <f>S7</f>
        <v>5604</v>
      </c>
      <c r="U7" s="5">
        <f>R7*S7</f>
        <v>5604</v>
      </c>
      <c r="X7" t="s">
        <v>145</v>
      </c>
      <c r="Y7">
        <v>1910</v>
      </c>
      <c r="AE7" s="25" t="s">
        <v>384</v>
      </c>
      <c r="AF7">
        <v>1</v>
      </c>
      <c r="AG7">
        <f>Index!$C$79</f>
        <v>8852.4</v>
      </c>
      <c r="AH7">
        <f>AG7</f>
        <v>8852.4</v>
      </c>
      <c r="AI7" s="5">
        <f>AF7*AG7</f>
        <v>8852.4</v>
      </c>
      <c r="AL7" t="s">
        <v>145</v>
      </c>
      <c r="AM7">
        <v>1990</v>
      </c>
      <c r="AO7" t="s">
        <v>145</v>
      </c>
      <c r="AP7">
        <v>2270</v>
      </c>
      <c r="AS7" s="25" t="s">
        <v>430</v>
      </c>
      <c r="AT7">
        <v>1</v>
      </c>
      <c r="AU7">
        <f>Index!C80</f>
        <v>15930</v>
      </c>
      <c r="AV7">
        <f>AU7</f>
        <v>15930</v>
      </c>
      <c r="AW7">
        <f>AT7*AV7</f>
        <v>15930</v>
      </c>
      <c r="AZ7" t="s">
        <v>145</v>
      </c>
      <c r="BA7">
        <v>1912</v>
      </c>
      <c r="BF7" s="25" t="s">
        <v>433</v>
      </c>
      <c r="BG7">
        <v>1</v>
      </c>
      <c r="BH7">
        <f>Index!C81</f>
        <v>24834</v>
      </c>
      <c r="BI7">
        <f>BH7</f>
        <v>24834</v>
      </c>
      <c r="BJ7">
        <f>BG7*BI7</f>
        <v>24834</v>
      </c>
      <c r="BM7" t="s">
        <v>145</v>
      </c>
      <c r="BN7">
        <v>1912</v>
      </c>
      <c r="BS7" s="25" t="s">
        <v>355</v>
      </c>
      <c r="BT7">
        <v>1</v>
      </c>
      <c r="BU7">
        <f>Index!C82</f>
        <v>26935.200000000001</v>
      </c>
      <c r="BV7">
        <f>BU7</f>
        <v>26935.200000000001</v>
      </c>
      <c r="BW7">
        <f>BT7*BV7</f>
        <v>26935.200000000001</v>
      </c>
      <c r="BZ7" t="s">
        <v>145</v>
      </c>
      <c r="CA7">
        <v>3290</v>
      </c>
      <c r="CF7" s="25" t="s">
        <v>391</v>
      </c>
      <c r="CG7">
        <v>1</v>
      </c>
      <c r="CH7">
        <f>Index!C83</f>
        <v>29478</v>
      </c>
      <c r="CI7">
        <f>CH7</f>
        <v>29478</v>
      </c>
      <c r="CJ7">
        <f>CG7*CI7</f>
        <v>29478</v>
      </c>
      <c r="CM7" t="s">
        <v>145</v>
      </c>
      <c r="CN7">
        <v>3290</v>
      </c>
      <c r="CS7" t="s">
        <v>1422</v>
      </c>
      <c r="CT7">
        <f>'SAF - Design'!$AZ$177</f>
        <v>17.478999999999999</v>
      </c>
      <c r="CW7">
        <f>940*CT7^0.6353</f>
        <v>5787.6017378623119</v>
      </c>
      <c r="DG7" t="s">
        <v>1422</v>
      </c>
      <c r="DH7">
        <f>'SAF - Design'!$BA$177</f>
        <v>23.478000000000005</v>
      </c>
      <c r="DK7">
        <f>940*DH7^0.6353</f>
        <v>6980.8587293559167</v>
      </c>
      <c r="DU7" t="s">
        <v>1422</v>
      </c>
      <c r="DV7">
        <f>'SAF - Design'!$BB$177</f>
        <v>35.28</v>
      </c>
      <c r="DY7">
        <f>940*DV7^0.6353</f>
        <v>9042.1718814804335</v>
      </c>
      <c r="EI7" t="s">
        <v>1422</v>
      </c>
      <c r="EJ7">
        <f>'SAF - Design'!$BC$177</f>
        <v>46.431000000000004</v>
      </c>
      <c r="EM7">
        <f>940*EJ7^0.6353</f>
        <v>10765.916316101964</v>
      </c>
      <c r="EW7" t="s">
        <v>1422</v>
      </c>
      <c r="EX7">
        <f>'SAF - Design'!$BD$177</f>
        <v>57.82</v>
      </c>
      <c r="FA7">
        <f>940*EX7^0.6353</f>
        <v>12375.879225255159</v>
      </c>
      <c r="FK7" t="s">
        <v>1422</v>
      </c>
      <c r="FL7">
        <f>'SAF - Design'!$BE$177</f>
        <v>69.53100000000002</v>
      </c>
      <c r="FO7">
        <f>940*FL7^0.6353</f>
        <v>13914.379338831826</v>
      </c>
      <c r="FY7" t="s">
        <v>1422</v>
      </c>
      <c r="FZ7">
        <f>'SAF - Design'!$BF$177</f>
        <v>91.962499999999991</v>
      </c>
      <c r="GC7">
        <f>940*FZ7^0.6353</f>
        <v>16619.18702365315</v>
      </c>
      <c r="GM7" t="s">
        <v>1422</v>
      </c>
      <c r="GN7">
        <f>'SAF - Design'!$BG$177</f>
        <v>115.05200000000002</v>
      </c>
      <c r="GQ7">
        <f>940*GN7^0.6353</f>
        <v>19160.812517103226</v>
      </c>
      <c r="GY7" s="18"/>
    </row>
    <row r="8" spans="1:207" x14ac:dyDescent="0.25">
      <c r="D8" t="s">
        <v>14</v>
      </c>
      <c r="E8">
        <f>L11</f>
        <v>16.640640000000001</v>
      </c>
      <c r="F8">
        <v>11.38</v>
      </c>
      <c r="G8">
        <f>F8*(1+$H$3)^3</f>
        <v>12.076547039999999</v>
      </c>
      <c r="H8" s="5">
        <f>E8*F8</f>
        <v>189.37048320000002</v>
      </c>
      <c r="Q8" t="s">
        <v>14</v>
      </c>
      <c r="R8">
        <f>Y11</f>
        <v>28.196639999999999</v>
      </c>
      <c r="S8">
        <f>Index!$C$69</f>
        <v>11.9580460758</v>
      </c>
      <c r="T8">
        <f>S8</f>
        <v>11.9580460758</v>
      </c>
      <c r="U8" s="5">
        <f>R8*S8</f>
        <v>337.17672030274531</v>
      </c>
      <c r="AE8" t="s">
        <v>14</v>
      </c>
      <c r="AF8">
        <f>AP12</f>
        <v>52.257039999999996</v>
      </c>
      <c r="AG8">
        <f>Index!$C$69</f>
        <v>11.9580460758</v>
      </c>
      <c r="AH8">
        <f>AG8</f>
        <v>11.9580460758</v>
      </c>
      <c r="AI8" s="5">
        <f>AF8*AG8</f>
        <v>624.89209210492356</v>
      </c>
      <c r="AS8" t="s">
        <v>14</v>
      </c>
      <c r="AT8">
        <f>BA11</f>
        <v>38.986646399999998</v>
      </c>
      <c r="AU8">
        <f>Index!$C$69</f>
        <v>11.9580460758</v>
      </c>
      <c r="AV8">
        <f>AU8</f>
        <v>11.9580460758</v>
      </c>
      <c r="AW8">
        <f>AT8*AV8</f>
        <v>466.20411399212219</v>
      </c>
      <c r="BF8" t="s">
        <v>14</v>
      </c>
      <c r="BG8">
        <f>BN11</f>
        <v>62.889350399999998</v>
      </c>
      <c r="BH8">
        <f>Index!$C$69</f>
        <v>11.9580460758</v>
      </c>
      <c r="BI8">
        <f>BH8</f>
        <v>11.9580460758</v>
      </c>
      <c r="BJ8">
        <f>BG8*BI8</f>
        <v>752.03374976033115</v>
      </c>
      <c r="BS8" t="s">
        <v>14</v>
      </c>
      <c r="BT8">
        <f>CA11</f>
        <v>126.53673000000001</v>
      </c>
      <c r="BU8">
        <f>Index!$C$69</f>
        <v>11.9580460758</v>
      </c>
      <c r="BV8">
        <f>BU8</f>
        <v>11.9580460758</v>
      </c>
      <c r="BW8">
        <f>BT8*BV8</f>
        <v>1513.1320476210642</v>
      </c>
      <c r="CF8" t="s">
        <v>14</v>
      </c>
      <c r="CG8">
        <f>CN11</f>
        <v>151.3544</v>
      </c>
      <c r="CH8">
        <f>Index!$C$69</f>
        <v>11.9580460758</v>
      </c>
      <c r="CI8">
        <f>CH8</f>
        <v>11.9580460758</v>
      </c>
      <c r="CJ8">
        <f>CG8*CI8</f>
        <v>1809.9028889750637</v>
      </c>
      <c r="CS8" t="s">
        <v>1453</v>
      </c>
      <c r="CW8">
        <f>CW7*0.2</f>
        <v>1157.5203475724625</v>
      </c>
      <c r="DC8" t="s">
        <v>67</v>
      </c>
      <c r="DD8">
        <v>0.5</v>
      </c>
      <c r="DE8" s="18" t="s">
        <v>191</v>
      </c>
      <c r="DG8" t="s">
        <v>1453</v>
      </c>
      <c r="DK8">
        <f>DK7*0.2</f>
        <v>1396.1717458711835</v>
      </c>
      <c r="DQ8" t="s">
        <v>67</v>
      </c>
      <c r="DR8">
        <v>0.5</v>
      </c>
      <c r="DS8" s="18" t="s">
        <v>191</v>
      </c>
      <c r="DU8" t="s">
        <v>1453</v>
      </c>
      <c r="DY8">
        <f>DY7*0.2</f>
        <v>1808.4343762960868</v>
      </c>
      <c r="EE8" t="s">
        <v>67</v>
      </c>
      <c r="EF8">
        <v>0.5</v>
      </c>
      <c r="EG8" s="18" t="s">
        <v>191</v>
      </c>
      <c r="EI8" t="s">
        <v>1453</v>
      </c>
      <c r="EM8">
        <f>EM7*0.2</f>
        <v>2153.1832632203927</v>
      </c>
      <c r="ES8" t="s">
        <v>67</v>
      </c>
      <c r="ET8">
        <v>0.5</v>
      </c>
      <c r="EU8" s="18" t="s">
        <v>191</v>
      </c>
      <c r="EW8" t="s">
        <v>1453</v>
      </c>
      <c r="FA8">
        <f>FA7*0.2</f>
        <v>2475.175845051032</v>
      </c>
      <c r="FG8" t="s">
        <v>67</v>
      </c>
      <c r="FH8">
        <v>0.5</v>
      </c>
      <c r="FI8" s="18" t="s">
        <v>191</v>
      </c>
      <c r="FK8" t="s">
        <v>1453</v>
      </c>
      <c r="FO8">
        <f>FO7*0.2</f>
        <v>2782.8758677663654</v>
      </c>
      <c r="FU8" t="s">
        <v>67</v>
      </c>
      <c r="FV8">
        <v>0.5</v>
      </c>
      <c r="FW8" s="18" t="s">
        <v>191</v>
      </c>
      <c r="FY8" t="s">
        <v>1453</v>
      </c>
      <c r="GC8">
        <f>GC7*0.2</f>
        <v>3323.8374047306302</v>
      </c>
      <c r="GI8" t="s">
        <v>67</v>
      </c>
      <c r="GJ8">
        <v>0.5</v>
      </c>
      <c r="GK8" s="18" t="s">
        <v>191</v>
      </c>
      <c r="GM8" t="s">
        <v>1453</v>
      </c>
      <c r="GQ8">
        <f>GQ7*0.2</f>
        <v>3832.1625034206454</v>
      </c>
      <c r="GW8" t="s">
        <v>67</v>
      </c>
      <c r="GX8">
        <v>0.5</v>
      </c>
      <c r="GY8" s="18" t="s">
        <v>191</v>
      </c>
    </row>
    <row r="9" spans="1:207" x14ac:dyDescent="0.25">
      <c r="D9" t="s">
        <v>459</v>
      </c>
      <c r="E9">
        <f>ROUNDUP(L22,1)</f>
        <v>10</v>
      </c>
      <c r="F9">
        <v>36.718627421191144</v>
      </c>
      <c r="G9">
        <f>F9</f>
        <v>36.718627421191144</v>
      </c>
      <c r="H9" s="5">
        <f>E9*F9</f>
        <v>367.18627421191144</v>
      </c>
      <c r="K9" t="s">
        <v>67</v>
      </c>
      <c r="L9">
        <v>250</v>
      </c>
      <c r="M9" t="s">
        <v>64</v>
      </c>
      <c r="Q9" t="s">
        <v>459</v>
      </c>
      <c r="R9">
        <f>ROUNDUP(Y22,1)</f>
        <v>16.200000000000003</v>
      </c>
      <c r="S9">
        <v>36.718627421191144</v>
      </c>
      <c r="T9">
        <f>S9</f>
        <v>36.718627421191144</v>
      </c>
      <c r="U9" s="5">
        <f>R9*S9</f>
        <v>594.84176422329665</v>
      </c>
      <c r="X9" t="s">
        <v>67</v>
      </c>
      <c r="Y9">
        <v>250</v>
      </c>
      <c r="Z9" t="s">
        <v>64</v>
      </c>
      <c r="AE9" t="s">
        <v>459</v>
      </c>
      <c r="AF9">
        <f>ROUNDUP(AM22,1)</f>
        <v>38.700000000000003</v>
      </c>
      <c r="AG9">
        <v>36.718627421191144</v>
      </c>
      <c r="AH9">
        <f>AG9</f>
        <v>36.718627421191144</v>
      </c>
      <c r="AI9" s="5">
        <f>AF9*AG9</f>
        <v>1421.0108812000974</v>
      </c>
      <c r="AL9" t="s">
        <v>67</v>
      </c>
      <c r="AM9">
        <v>250</v>
      </c>
      <c r="AN9" t="s">
        <v>64</v>
      </c>
      <c r="AO9" t="s">
        <v>67</v>
      </c>
      <c r="AP9">
        <v>250</v>
      </c>
      <c r="AQ9" s="18" t="s">
        <v>64</v>
      </c>
      <c r="AS9" t="s">
        <v>151</v>
      </c>
      <c r="AT9">
        <f>BA11-((BA5-200)*(BA6-200)*BA7)/10^9</f>
        <v>12.132223999999997</v>
      </c>
      <c r="AU9">
        <f>Index!$C$53</f>
        <v>99.508928571428555</v>
      </c>
      <c r="AV9">
        <f>AU9</f>
        <v>99.508928571428555</v>
      </c>
      <c r="AW9">
        <f>AT9*AV9</f>
        <v>1207.264611428571</v>
      </c>
      <c r="AZ9" t="s">
        <v>67</v>
      </c>
      <c r="BA9">
        <v>150</v>
      </c>
      <c r="BB9" t="s">
        <v>64</v>
      </c>
      <c r="BF9" t="s">
        <v>151</v>
      </c>
      <c r="BG9">
        <f>BN11-((BN5-200)*(BN6-200)*BN7)/10^9</f>
        <v>17.121423999999998</v>
      </c>
      <c r="BH9">
        <f>Index!$C$53</f>
        <v>99.508928571428555</v>
      </c>
      <c r="BI9">
        <f>BH9</f>
        <v>99.508928571428555</v>
      </c>
      <c r="BJ9">
        <f>BG9*BI9</f>
        <v>1703.7345578571424</v>
      </c>
      <c r="BM9" t="s">
        <v>67</v>
      </c>
      <c r="BN9">
        <v>150</v>
      </c>
      <c r="BO9" t="s">
        <v>64</v>
      </c>
      <c r="BS9" t="s">
        <v>151</v>
      </c>
      <c r="BT9">
        <f>CA11-(CA5*PI()*(CA6/2)^2)/10^9</f>
        <v>73.669616126309279</v>
      </c>
      <c r="BU9">
        <f>Index!$C$53</f>
        <v>99.508928571428555</v>
      </c>
      <c r="BV9">
        <f>BU9</f>
        <v>99.508928571428555</v>
      </c>
      <c r="BW9">
        <f>BT9*BV9</f>
        <v>7330.7845689974711</v>
      </c>
      <c r="BZ9" t="s">
        <v>67</v>
      </c>
      <c r="CA9">
        <v>300</v>
      </c>
      <c r="CB9" t="s">
        <v>64</v>
      </c>
      <c r="CF9" t="s">
        <v>151</v>
      </c>
      <c r="CG9">
        <f>CN11-(CN5*PI()*(CN6/2)^2)/10^9</f>
        <v>87.540799223957322</v>
      </c>
      <c r="CH9">
        <f>Index!$C$53</f>
        <v>99.508928571428555</v>
      </c>
      <c r="CI9">
        <f>CH9</f>
        <v>99.508928571428555</v>
      </c>
      <c r="CJ9">
        <f>CG9*CI9</f>
        <v>8711.0911370625381</v>
      </c>
      <c r="CM9" t="s">
        <v>67</v>
      </c>
      <c r="CN9">
        <v>300</v>
      </c>
      <c r="CO9" t="s">
        <v>64</v>
      </c>
      <c r="CS9" t="s">
        <v>1421</v>
      </c>
      <c r="CT9">
        <f>DD10</f>
        <v>4.8383999999999991</v>
      </c>
      <c r="CU9">
        <f>Index!$C$53</f>
        <v>99.508928571428555</v>
      </c>
      <c r="CV9">
        <f>CU9</f>
        <v>99.508928571428555</v>
      </c>
      <c r="CW9">
        <f>CT9*CV9</f>
        <v>481.46399999999983</v>
      </c>
      <c r="DG9" t="s">
        <v>1421</v>
      </c>
      <c r="DH9">
        <f>DR10</f>
        <v>6.1128</v>
      </c>
      <c r="DI9">
        <f>Index!$C$53</f>
        <v>99.508928571428555</v>
      </c>
      <c r="DJ9">
        <f>DI9</f>
        <v>99.508928571428555</v>
      </c>
      <c r="DK9">
        <f>DH9*DJ9</f>
        <v>608.2781785714285</v>
      </c>
      <c r="DU9" t="s">
        <v>1421</v>
      </c>
      <c r="DV9">
        <f>EF10</f>
        <v>8.5679999999999996</v>
      </c>
      <c r="DW9">
        <f>Index!$C$53</f>
        <v>99.508928571428555</v>
      </c>
      <c r="DX9">
        <f>DW9</f>
        <v>99.508928571428555</v>
      </c>
      <c r="DY9">
        <f>DV9*DX9</f>
        <v>852.59249999999986</v>
      </c>
      <c r="EI9" t="s">
        <v>1421</v>
      </c>
      <c r="EJ9">
        <f>ET10</f>
        <v>10.8606</v>
      </c>
      <c r="EK9">
        <f>Index!$C$53</f>
        <v>99.508928571428555</v>
      </c>
      <c r="EL9">
        <f>EK9</f>
        <v>99.508928571428555</v>
      </c>
      <c r="EM9">
        <f>EJ9*EL9</f>
        <v>1080.7266696428569</v>
      </c>
      <c r="EW9" t="s">
        <v>1421</v>
      </c>
      <c r="EX9">
        <f>FH10</f>
        <v>13.139999999999999</v>
      </c>
      <c r="EY9">
        <f>Index!$C$53</f>
        <v>99.508928571428555</v>
      </c>
      <c r="EZ9">
        <f>EY9</f>
        <v>99.508928571428555</v>
      </c>
      <c r="FA9">
        <f>EX9*EZ9</f>
        <v>1307.5473214285712</v>
      </c>
      <c r="FK9" t="s">
        <v>1421</v>
      </c>
      <c r="FL9">
        <f>FV10</f>
        <v>15.438600000000003</v>
      </c>
      <c r="FM9">
        <f>Index!$C$53</f>
        <v>99.508928571428555</v>
      </c>
      <c r="FN9">
        <f>FM9</f>
        <v>99.508928571428555</v>
      </c>
      <c r="FO9">
        <f>FL9*FN9</f>
        <v>1536.2785446428572</v>
      </c>
      <c r="FY9" t="s">
        <v>1421</v>
      </c>
      <c r="FZ9">
        <f>GJ10</f>
        <v>19.818000000000001</v>
      </c>
      <c r="GA9">
        <f>Index!$C$53</f>
        <v>99.508928571428555</v>
      </c>
      <c r="GB9">
        <f>GA9</f>
        <v>99.508928571428555</v>
      </c>
      <c r="GC9">
        <f>FZ9*GB9</f>
        <v>1972.0679464285713</v>
      </c>
      <c r="GM9" t="s">
        <v>1421</v>
      </c>
      <c r="GN9">
        <f>GX10</f>
        <v>24.235200000000003</v>
      </c>
      <c r="GO9">
        <f>Index!$C$53</f>
        <v>99.508928571428555</v>
      </c>
      <c r="GP9">
        <f>GO9</f>
        <v>99.508928571428555</v>
      </c>
      <c r="GQ9">
        <f>GN9*GP9</f>
        <v>2411.6187857142854</v>
      </c>
      <c r="GY9" s="18"/>
    </row>
    <row r="10" spans="1:207" x14ac:dyDescent="0.25">
      <c r="D10" t="s">
        <v>112</v>
      </c>
      <c r="E10">
        <f>L11/((L7+L9)/1000)</f>
        <v>7.7039999999999997</v>
      </c>
      <c r="F10">
        <f>Index!$C$57</f>
        <v>2.0490500744999993</v>
      </c>
      <c r="G10">
        <f>F10</f>
        <v>2.0490500744999993</v>
      </c>
      <c r="H10" s="5">
        <f>E10*F10</f>
        <v>15.785881773947994</v>
      </c>
      <c r="Q10" t="s">
        <v>112</v>
      </c>
      <c r="R10">
        <f>Y11/((Y7+Y9)/1000)</f>
        <v>13.053999999999998</v>
      </c>
      <c r="S10">
        <f>Index!$C$57</f>
        <v>2.0490500744999993</v>
      </c>
      <c r="T10">
        <f>S10</f>
        <v>2.0490500744999993</v>
      </c>
      <c r="U10" s="5">
        <f>R10*S10</f>
        <v>26.74829967252299</v>
      </c>
      <c r="AE10" t="s">
        <v>112</v>
      </c>
      <c r="AF10">
        <f>AM11/((AM7+AM9)/1000)</f>
        <v>8.7739999999999991</v>
      </c>
      <c r="AG10">
        <f>Index!$C$57</f>
        <v>2.0490500744999993</v>
      </c>
      <c r="AH10">
        <f>AG10</f>
        <v>2.0490500744999993</v>
      </c>
      <c r="AI10" s="5">
        <f>AF10*AG10</f>
        <v>17.978365353662991</v>
      </c>
      <c r="CS10" t="s">
        <v>627</v>
      </c>
      <c r="CT10">
        <f>'SAF - Design'!$AZ$182</f>
        <v>2.2666666666666666</v>
      </c>
      <c r="CV10">
        <f>Index!$C$146</f>
        <v>115</v>
      </c>
      <c r="CW10">
        <f t="shared" ref="CW10:CW16" si="0">CV10*CT10</f>
        <v>260.66666666666669</v>
      </c>
      <c r="DC10" t="s">
        <v>625</v>
      </c>
      <c r="DD10">
        <f>(DD4+DD8)*(DD5+DD8)*(DD6/1000)</f>
        <v>4.8383999999999991</v>
      </c>
      <c r="DE10" s="18" t="s">
        <v>71</v>
      </c>
      <c r="DG10" t="s">
        <v>627</v>
      </c>
      <c r="DH10">
        <f>'SAF - Design'!$BA$182</f>
        <v>3</v>
      </c>
      <c r="DJ10">
        <f>Index!$C$146</f>
        <v>115</v>
      </c>
      <c r="DK10">
        <f t="shared" ref="DK10:DK16" si="1">DJ10*DH10</f>
        <v>345</v>
      </c>
      <c r="DQ10" t="s">
        <v>625</v>
      </c>
      <c r="DR10">
        <f>(DR4+DR8)*(DR5+DR8)*(DR6/1000)</f>
        <v>6.1128</v>
      </c>
      <c r="DS10" s="18" t="s">
        <v>71</v>
      </c>
      <c r="DU10" t="s">
        <v>627</v>
      </c>
      <c r="DV10">
        <f>'SAF - Design'!$BB$182</f>
        <v>4.5333333333333332</v>
      </c>
      <c r="DX10">
        <f>Index!$C$146</f>
        <v>115</v>
      </c>
      <c r="DY10">
        <f t="shared" ref="DY10:DY16" si="2">DX10*DV10</f>
        <v>521.33333333333337</v>
      </c>
      <c r="EE10" t="s">
        <v>625</v>
      </c>
      <c r="EF10">
        <f>(EF4+EF8)*(EF5+EF8)*(EF6/1000)</f>
        <v>8.5679999999999996</v>
      </c>
      <c r="EG10" s="18" t="s">
        <v>71</v>
      </c>
      <c r="EI10" t="s">
        <v>627</v>
      </c>
      <c r="EJ10">
        <f>'SAF - Design'!$BC$182</f>
        <v>6</v>
      </c>
      <c r="EL10">
        <f>Index!$C$146</f>
        <v>115</v>
      </c>
      <c r="EM10">
        <f t="shared" ref="EM10:EM16" si="3">EL10*EJ10</f>
        <v>690</v>
      </c>
      <c r="ES10" t="s">
        <v>625</v>
      </c>
      <c r="ET10">
        <f>(ET4+ET8)*(ET5+ET8)*(ET6/1000)</f>
        <v>10.8606</v>
      </c>
      <c r="EU10" s="18" t="s">
        <v>71</v>
      </c>
      <c r="EW10" t="s">
        <v>627</v>
      </c>
      <c r="EX10">
        <f>'SAF - Design'!$BD$182</f>
        <v>7.5333333333333323</v>
      </c>
      <c r="EZ10">
        <f>Index!$C$146</f>
        <v>115</v>
      </c>
      <c r="FA10">
        <f t="shared" ref="FA10:FA16" si="4">EZ10*EX10</f>
        <v>866.33333333333326</v>
      </c>
      <c r="FG10" t="s">
        <v>625</v>
      </c>
      <c r="FH10">
        <f>(FH4+FH8)*(FH5+FH8)*(FH6/1000)</f>
        <v>13.139999999999999</v>
      </c>
      <c r="FI10" s="18" t="s">
        <v>71</v>
      </c>
      <c r="FK10" t="s">
        <v>627</v>
      </c>
      <c r="FL10">
        <f>'SAF - Design'!$BE$182</f>
        <v>9</v>
      </c>
      <c r="FN10">
        <f>Index!$C$146</f>
        <v>115</v>
      </c>
      <c r="FO10">
        <f t="shared" ref="FO10:FO16" si="5">FN10*FL10</f>
        <v>1035</v>
      </c>
      <c r="FU10" t="s">
        <v>625</v>
      </c>
      <c r="FV10">
        <f>(FV4+FV8)*(FV5+FV8)*(FV6/1000)</f>
        <v>15.438600000000003</v>
      </c>
      <c r="FW10" s="18" t="s">
        <v>71</v>
      </c>
      <c r="FY10" t="s">
        <v>627</v>
      </c>
      <c r="FZ10">
        <f>'SAF - Design'!$BF$182</f>
        <v>12</v>
      </c>
      <c r="GB10">
        <f>Index!$C$146</f>
        <v>115</v>
      </c>
      <c r="GC10">
        <f t="shared" ref="GC10:GC16" si="6">GB10*FZ10</f>
        <v>1380</v>
      </c>
      <c r="GI10" t="s">
        <v>625</v>
      </c>
      <c r="GJ10">
        <f>(GJ4+GJ8)*(GJ5+GJ8)*(GJ6/1000)</f>
        <v>19.818000000000001</v>
      </c>
      <c r="GK10" s="18" t="s">
        <v>71</v>
      </c>
      <c r="GM10" t="s">
        <v>627</v>
      </c>
      <c r="GN10">
        <f>'SAF - Design'!$BG$182</f>
        <v>15</v>
      </c>
      <c r="GP10">
        <f>Index!$C$146</f>
        <v>115</v>
      </c>
      <c r="GQ10">
        <f t="shared" ref="GQ10:GQ16" si="7">GP10*GN10</f>
        <v>1725</v>
      </c>
      <c r="GW10" t="s">
        <v>625</v>
      </c>
      <c r="GX10">
        <f>(GX4+GX8)*(GX5+GX8)*(GX6/1000)</f>
        <v>24.235200000000003</v>
      </c>
      <c r="GY10" s="18" t="s">
        <v>71</v>
      </c>
    </row>
    <row r="11" spans="1:207" x14ac:dyDescent="0.25">
      <c r="K11" t="s">
        <v>125</v>
      </c>
      <c r="L11">
        <f>((L5+L9*2)*(L6+L9*2)*(L7+L9))/10^9</f>
        <v>16.640640000000001</v>
      </c>
      <c r="M11" t="s">
        <v>71</v>
      </c>
      <c r="X11" t="s">
        <v>125</v>
      </c>
      <c r="Y11">
        <f>((Y5+Y9*2)*(Y6+Y9*2)*(Y7+Y9))/10^9</f>
        <v>28.196639999999999</v>
      </c>
      <c r="Z11" t="s">
        <v>71</v>
      </c>
      <c r="AL11" t="s">
        <v>483</v>
      </c>
      <c r="AM11">
        <f>(([2]SAF!D69+AM9*2)*([2]SAF!E69+AM9*2)*(AM7+AM9))/10^9</f>
        <v>19.653759999999998</v>
      </c>
      <c r="AN11" t="s">
        <v>71</v>
      </c>
      <c r="AO11" t="s">
        <v>483</v>
      </c>
      <c r="AP11">
        <f>((AP5+AP9*2)*(AP6+AP9*2-100)*(AP7+AP9+100))/10^9</f>
        <v>32.603279999999998</v>
      </c>
      <c r="AQ11" s="18" t="s">
        <v>71</v>
      </c>
      <c r="AS11" s="3" t="s">
        <v>58</v>
      </c>
      <c r="AT11" s="3"/>
      <c r="AU11" s="3"/>
      <c r="AV11" s="3"/>
      <c r="AW11" s="3">
        <f>SUM(AW6:AW9)</f>
        <v>17603.468725420695</v>
      </c>
      <c r="AZ11" t="s">
        <v>483</v>
      </c>
      <c r="BA11">
        <f>((BA5+BA9*2)*(BA6+BA9*2)*(BA7+BA9))/10^9</f>
        <v>38.986646399999998</v>
      </c>
      <c r="BB11" t="s">
        <v>71</v>
      </c>
      <c r="BF11" s="3" t="s">
        <v>58</v>
      </c>
      <c r="BG11" s="3"/>
      <c r="BH11" s="3"/>
      <c r="BI11" s="3"/>
      <c r="BJ11" s="3">
        <f>SUM(BJ6:BJ9)</f>
        <v>27289.768307617476</v>
      </c>
      <c r="BM11" t="s">
        <v>483</v>
      </c>
      <c r="BN11">
        <f>((BN5+BN9*2)*(BN6+BN9*2)*(BN7+BN9))/10^9</f>
        <v>62.889350399999998</v>
      </c>
      <c r="BO11" t="s">
        <v>71</v>
      </c>
      <c r="BS11" s="3" t="s">
        <v>58</v>
      </c>
      <c r="BT11" s="3"/>
      <c r="BU11" s="3"/>
      <c r="BV11" s="3"/>
      <c r="BW11" s="3">
        <f>SUM(BW6:BW9)</f>
        <v>35779.116616618536</v>
      </c>
      <c r="BZ11" t="s">
        <v>483</v>
      </c>
      <c r="CA11">
        <f>((CA5+CA9*2)*(CA6+CA9*2)*(CA7+CA9))/10^9</f>
        <v>126.53673000000001</v>
      </c>
      <c r="CB11" t="s">
        <v>71</v>
      </c>
      <c r="CF11" s="3" t="s">
        <v>58</v>
      </c>
      <c r="CG11" s="3"/>
      <c r="CH11" s="3"/>
      <c r="CI11" s="3"/>
      <c r="CJ11" s="3">
        <f>SUM(CJ6:CJ9)</f>
        <v>39998.994026037602</v>
      </c>
      <c r="CM11" t="s">
        <v>483</v>
      </c>
      <c r="CN11">
        <f>((CN5+CN9*2)*(CN6+CN9*2)*(CN7+CN9))/10^9</f>
        <v>151.3544</v>
      </c>
      <c r="CO11" t="s">
        <v>71</v>
      </c>
      <c r="CS11" t="str">
        <f>'SAF - Design'!$AO$177</f>
        <v>SCB4-87</v>
      </c>
      <c r="CT11">
        <f>'SAF - Design'!$AO$180</f>
        <v>1</v>
      </c>
      <c r="CV11">
        <v>600</v>
      </c>
      <c r="CW11">
        <f t="shared" si="0"/>
        <v>600</v>
      </c>
      <c r="DG11" t="str">
        <f>'SAF - Design'!$AP$177</f>
        <v>VBS-2200G</v>
      </c>
      <c r="DH11">
        <f>'SAF - Design'!$AP$180</f>
        <v>1</v>
      </c>
      <c r="DJ11">
        <f>Index!$C$127</f>
        <v>396.29</v>
      </c>
      <c r="DK11">
        <f t="shared" si="1"/>
        <v>396.29</v>
      </c>
      <c r="DU11" t="str">
        <f>'SAF - Design'!$AQ$177</f>
        <v>SCB2-210</v>
      </c>
      <c r="DV11">
        <f>'SAF - Design'!$AQ$180</f>
        <v>1</v>
      </c>
      <c r="DX11">
        <v>700</v>
      </c>
      <c r="DY11">
        <f t="shared" si="2"/>
        <v>700</v>
      </c>
      <c r="EI11" s="72" t="str">
        <f>'SAF - Design'!$AR$177</f>
        <v>SCB2-265</v>
      </c>
      <c r="EJ11" s="72">
        <f>'SAF - Design'!$AR$180</f>
        <v>1</v>
      </c>
      <c r="EK11" s="72"/>
      <c r="EL11" s="72">
        <v>900</v>
      </c>
      <c r="EM11" s="72">
        <f t="shared" si="3"/>
        <v>900</v>
      </c>
      <c r="EW11" s="72" t="str">
        <f>'SAF - Design'!$AS$177</f>
        <v>SCB2-318</v>
      </c>
      <c r="EX11" s="72">
        <f>'SAF - Design'!$AS$180</f>
        <v>1</v>
      </c>
      <c r="EY11" s="72"/>
      <c r="EZ11" s="72">
        <v>900</v>
      </c>
      <c r="FA11" s="72">
        <f t="shared" si="4"/>
        <v>900</v>
      </c>
      <c r="FK11" s="72" t="str">
        <f>'SAF - Design'!$AT$177</f>
        <v>SCB2-210</v>
      </c>
      <c r="FL11" s="72">
        <f>'SAF - Design'!$AT$180</f>
        <v>2</v>
      </c>
      <c r="FM11" s="72"/>
      <c r="FN11" s="72">
        <v>700</v>
      </c>
      <c r="FO11" s="72">
        <f t="shared" si="5"/>
        <v>1400</v>
      </c>
      <c r="FY11" s="72" t="str">
        <f>'SAF - Design'!$AU$177</f>
        <v>SCB2-265</v>
      </c>
      <c r="FZ11" s="72">
        <f>'SAF - Design'!$AU$180</f>
        <v>2</v>
      </c>
      <c r="GA11" s="72"/>
      <c r="GB11" s="72">
        <v>900</v>
      </c>
      <c r="GC11" s="72">
        <f t="shared" si="6"/>
        <v>1800</v>
      </c>
      <c r="GM11" s="72" t="str">
        <f>'SAF - Design'!$AV$177</f>
        <v>SCB2-318</v>
      </c>
      <c r="GN11" s="72">
        <f>'SAF - Design'!$AV$180</f>
        <v>2</v>
      </c>
      <c r="GO11" s="72"/>
      <c r="GP11" s="72">
        <v>900</v>
      </c>
      <c r="GQ11" s="72">
        <f t="shared" si="7"/>
        <v>1800</v>
      </c>
      <c r="GY11" s="18"/>
    </row>
    <row r="12" spans="1:207" x14ac:dyDescent="0.25">
      <c r="D12" s="3" t="s">
        <v>58</v>
      </c>
      <c r="E12" s="3"/>
      <c r="F12" s="3"/>
      <c r="G12" s="3"/>
      <c r="H12" s="38">
        <f>SUM(H7:H10)</f>
        <v>3542.3426391858593</v>
      </c>
      <c r="Q12" s="3" t="s">
        <v>58</v>
      </c>
      <c r="R12" s="3"/>
      <c r="S12" s="3"/>
      <c r="T12" s="3"/>
      <c r="U12" s="38">
        <f>SUM(U7:U10)</f>
        <v>6562.7667841985658</v>
      </c>
      <c r="AE12" s="3" t="s">
        <v>58</v>
      </c>
      <c r="AF12" s="3"/>
      <c r="AG12" s="3"/>
      <c r="AH12" s="3"/>
      <c r="AI12" s="38">
        <f>SUM(AI7:AI10)</f>
        <v>10916.281338658684</v>
      </c>
      <c r="AO12" t="s">
        <v>125</v>
      </c>
      <c r="AP12">
        <f>AP11+AM11</f>
        <v>52.257039999999996</v>
      </c>
      <c r="CS12" t="s">
        <v>836</v>
      </c>
      <c r="CT12">
        <f>'SAF - Design'!$Z$227</f>
        <v>12.100000000000001</v>
      </c>
      <c r="CV12">
        <f>Index!$C$129</f>
        <v>0.65</v>
      </c>
      <c r="CW12">
        <f t="shared" si="0"/>
        <v>7.8650000000000011</v>
      </c>
      <c r="DG12" t="s">
        <v>836</v>
      </c>
      <c r="DH12">
        <f>'SAF - Design'!$AA$227</f>
        <v>16.900000000000002</v>
      </c>
      <c r="DJ12">
        <f>Index!$C$129</f>
        <v>0.65</v>
      </c>
      <c r="DK12">
        <f t="shared" si="1"/>
        <v>10.985000000000001</v>
      </c>
      <c r="DU12" t="s">
        <v>836</v>
      </c>
      <c r="DV12">
        <f>'SAF - Design'!$AB$227</f>
        <v>25.6</v>
      </c>
      <c r="DX12">
        <f>Index!$C$129</f>
        <v>0.65</v>
      </c>
      <c r="DY12">
        <f t="shared" si="2"/>
        <v>16.64</v>
      </c>
      <c r="EI12" t="s">
        <v>836</v>
      </c>
      <c r="EJ12">
        <f>'SAF - Design'!$AC$227</f>
        <v>32.4</v>
      </c>
      <c r="EL12">
        <f>Index!$C$129</f>
        <v>0.65</v>
      </c>
      <c r="EM12">
        <f t="shared" si="3"/>
        <v>21.06</v>
      </c>
      <c r="EW12" s="6" t="s">
        <v>836</v>
      </c>
      <c r="EX12" s="6">
        <f>'SAF - Design'!$AD$227</f>
        <v>40</v>
      </c>
      <c r="EY12" s="6"/>
      <c r="EZ12" s="6">
        <f>Index!$C$129</f>
        <v>0.65</v>
      </c>
      <c r="FA12" s="6">
        <f t="shared" si="4"/>
        <v>26</v>
      </c>
      <c r="FB12" t="s">
        <v>1454</v>
      </c>
      <c r="FK12" s="6" t="s">
        <v>836</v>
      </c>
      <c r="FL12" s="6">
        <f>'SAF - Design'!$AD$227</f>
        <v>40</v>
      </c>
      <c r="FM12" s="6"/>
      <c r="FN12" s="6">
        <f>Index!$C$129</f>
        <v>0.65</v>
      </c>
      <c r="FO12" s="6">
        <f t="shared" si="5"/>
        <v>26</v>
      </c>
      <c r="FP12" t="s">
        <v>1454</v>
      </c>
      <c r="FY12" s="6" t="s">
        <v>836</v>
      </c>
      <c r="FZ12" s="6">
        <f>'SAF - Design'!$AD$227</f>
        <v>40</v>
      </c>
      <c r="GA12" s="6"/>
      <c r="GB12" s="6">
        <f>Index!$C$129</f>
        <v>0.65</v>
      </c>
      <c r="GC12" s="6">
        <f t="shared" si="6"/>
        <v>26</v>
      </c>
      <c r="GD12" t="s">
        <v>1454</v>
      </c>
      <c r="GM12" s="6" t="s">
        <v>836</v>
      </c>
      <c r="GN12" s="6">
        <f>'SAF - Design'!$AD$227</f>
        <v>40</v>
      </c>
      <c r="GO12" s="6"/>
      <c r="GP12" s="6">
        <f>Index!$C$129</f>
        <v>0.65</v>
      </c>
      <c r="GQ12" s="6">
        <f t="shared" si="7"/>
        <v>26</v>
      </c>
      <c r="GR12" t="s">
        <v>1454</v>
      </c>
      <c r="GY12" s="18"/>
    </row>
    <row r="13" spans="1:207" x14ac:dyDescent="0.25">
      <c r="CS13" t="s">
        <v>1435</v>
      </c>
      <c r="CT13">
        <v>1</v>
      </c>
      <c r="CV13">
        <f>Index!$C$153</f>
        <v>138</v>
      </c>
      <c r="CW13">
        <f t="shared" si="0"/>
        <v>138</v>
      </c>
      <c r="DC13" t="s">
        <v>1158</v>
      </c>
      <c r="DG13" t="s">
        <v>1435</v>
      </c>
      <c r="DH13">
        <v>1</v>
      </c>
      <c r="DJ13">
        <f>Index!$C$153</f>
        <v>138</v>
      </c>
      <c r="DK13">
        <f t="shared" si="1"/>
        <v>138</v>
      </c>
      <c r="DQ13" t="s">
        <v>1158</v>
      </c>
      <c r="DU13" t="s">
        <v>1435</v>
      </c>
      <c r="DV13">
        <v>1</v>
      </c>
      <c r="DX13">
        <f>Index!$C$153</f>
        <v>138</v>
      </c>
      <c r="DY13">
        <f t="shared" si="2"/>
        <v>138</v>
      </c>
      <c r="EE13" t="s">
        <v>1158</v>
      </c>
      <c r="EI13" t="s">
        <v>1435</v>
      </c>
      <c r="EJ13">
        <v>1</v>
      </c>
      <c r="EL13">
        <f>Index!$C$153</f>
        <v>138</v>
      </c>
      <c r="EM13">
        <f t="shared" si="3"/>
        <v>138</v>
      </c>
      <c r="ES13" t="s">
        <v>1158</v>
      </c>
      <c r="EW13" t="s">
        <v>1435</v>
      </c>
      <c r="EX13">
        <v>1</v>
      </c>
      <c r="EZ13">
        <f>Index!$C$153</f>
        <v>138</v>
      </c>
      <c r="FA13">
        <f t="shared" si="4"/>
        <v>138</v>
      </c>
      <c r="FG13" t="s">
        <v>1158</v>
      </c>
      <c r="FK13" t="s">
        <v>1435</v>
      </c>
      <c r="FL13">
        <v>1</v>
      </c>
      <c r="FN13">
        <f>Index!$C$153</f>
        <v>138</v>
      </c>
      <c r="FO13">
        <f t="shared" si="5"/>
        <v>138</v>
      </c>
      <c r="FU13" t="s">
        <v>1158</v>
      </c>
      <c r="FY13" t="s">
        <v>1435</v>
      </c>
      <c r="FZ13">
        <v>1</v>
      </c>
      <c r="GB13">
        <f>Index!$C$153</f>
        <v>138</v>
      </c>
      <c r="GC13">
        <f t="shared" si="6"/>
        <v>138</v>
      </c>
      <c r="GI13" t="s">
        <v>1158</v>
      </c>
      <c r="GM13" t="s">
        <v>1435</v>
      </c>
      <c r="GN13">
        <v>1</v>
      </c>
      <c r="GP13">
        <f>Index!$C$153</f>
        <v>138</v>
      </c>
      <c r="GQ13">
        <f t="shared" si="7"/>
        <v>138</v>
      </c>
      <c r="GW13" t="s">
        <v>1158</v>
      </c>
      <c r="GY13" s="18"/>
    </row>
    <row r="14" spans="1:207" x14ac:dyDescent="0.25">
      <c r="K14" t="s">
        <v>179</v>
      </c>
      <c r="X14" t="s">
        <v>179</v>
      </c>
      <c r="AL14" t="s">
        <v>179</v>
      </c>
      <c r="CS14" t="s">
        <v>1436</v>
      </c>
      <c r="CT14">
        <v>2</v>
      </c>
      <c r="CV14">
        <f>Index!$C$149</f>
        <v>194.63</v>
      </c>
      <c r="CW14">
        <f t="shared" si="0"/>
        <v>389.26</v>
      </c>
      <c r="DG14" t="s">
        <v>1436</v>
      </c>
      <c r="DH14">
        <v>2</v>
      </c>
      <c r="DJ14">
        <f>Index!$C$149</f>
        <v>194.63</v>
      </c>
      <c r="DK14">
        <f t="shared" si="1"/>
        <v>389.26</v>
      </c>
      <c r="DU14" t="s">
        <v>1436</v>
      </c>
      <c r="DV14">
        <v>2</v>
      </c>
      <c r="DX14">
        <f>Index!$C$149</f>
        <v>194.63</v>
      </c>
      <c r="DY14">
        <f t="shared" si="2"/>
        <v>389.26</v>
      </c>
      <c r="EI14" t="s">
        <v>1436</v>
      </c>
      <c r="EJ14">
        <v>2</v>
      </c>
      <c r="EL14">
        <f>Index!$C$149</f>
        <v>194.63</v>
      </c>
      <c r="EM14">
        <f t="shared" si="3"/>
        <v>389.26</v>
      </c>
      <c r="EW14" t="s">
        <v>1436</v>
      </c>
      <c r="EX14">
        <v>2</v>
      </c>
      <c r="EZ14">
        <f>Index!$C$149</f>
        <v>194.63</v>
      </c>
      <c r="FA14">
        <f t="shared" si="4"/>
        <v>389.26</v>
      </c>
      <c r="FK14" t="s">
        <v>1436</v>
      </c>
      <c r="FL14">
        <v>2</v>
      </c>
      <c r="FN14">
        <f>Index!$C$149</f>
        <v>194.63</v>
      </c>
      <c r="FO14">
        <f t="shared" si="5"/>
        <v>389.26</v>
      </c>
      <c r="FY14" t="s">
        <v>1436</v>
      </c>
      <c r="FZ14">
        <v>2</v>
      </c>
      <c r="GB14">
        <f>Index!$C$149</f>
        <v>194.63</v>
      </c>
      <c r="GC14">
        <f t="shared" si="6"/>
        <v>389.26</v>
      </c>
      <c r="GM14" t="s">
        <v>1436</v>
      </c>
      <c r="GN14">
        <v>2</v>
      </c>
      <c r="GP14">
        <f>Index!$C$149</f>
        <v>194.63</v>
      </c>
      <c r="GQ14">
        <f t="shared" si="7"/>
        <v>389.26</v>
      </c>
      <c r="GY14" s="18"/>
    </row>
    <row r="15" spans="1:207" x14ac:dyDescent="0.25">
      <c r="K15" t="s">
        <v>456</v>
      </c>
      <c r="L15">
        <f>L7-250+L9</f>
        <v>1910</v>
      </c>
      <c r="X15" t="s">
        <v>456</v>
      </c>
      <c r="Y15">
        <f>Y7-250+Y9</f>
        <v>1910</v>
      </c>
      <c r="AL15" t="s">
        <v>456</v>
      </c>
      <c r="AM15">
        <f>AP7-250+AP9</f>
        <v>2270</v>
      </c>
      <c r="CS15" t="s">
        <v>1437</v>
      </c>
      <c r="CT15">
        <v>2</v>
      </c>
      <c r="CV15">
        <f>Index!$C$152</f>
        <v>597.6</v>
      </c>
      <c r="CW15">
        <f t="shared" si="0"/>
        <v>1195.2</v>
      </c>
      <c r="DC15" t="s">
        <v>150</v>
      </c>
      <c r="DD15">
        <v>2090</v>
      </c>
      <c r="DG15" t="s">
        <v>1437</v>
      </c>
      <c r="DH15">
        <v>2</v>
      </c>
      <c r="DJ15">
        <f>Index!$C$152</f>
        <v>597.6</v>
      </c>
      <c r="DK15">
        <f t="shared" si="1"/>
        <v>1195.2</v>
      </c>
      <c r="DQ15" t="s">
        <v>150</v>
      </c>
      <c r="DR15">
        <v>2090</v>
      </c>
      <c r="DU15" t="s">
        <v>1437</v>
      </c>
      <c r="DV15">
        <v>2</v>
      </c>
      <c r="DX15">
        <f>Index!$C$152</f>
        <v>597.6</v>
      </c>
      <c r="DY15">
        <f t="shared" si="2"/>
        <v>1195.2</v>
      </c>
      <c r="EE15" t="s">
        <v>150</v>
      </c>
      <c r="EF15">
        <f>EF16</f>
        <v>2075</v>
      </c>
      <c r="EI15" t="s">
        <v>1437</v>
      </c>
      <c r="EJ15">
        <v>2</v>
      </c>
      <c r="EL15">
        <f>Index!$C$152</f>
        <v>597.6</v>
      </c>
      <c r="EM15">
        <f t="shared" si="3"/>
        <v>1195.2</v>
      </c>
      <c r="ES15" t="s">
        <v>150</v>
      </c>
      <c r="ET15">
        <f>ET16</f>
        <v>2075</v>
      </c>
      <c r="EW15" t="s">
        <v>1437</v>
      </c>
      <c r="EX15">
        <v>2</v>
      </c>
      <c r="EZ15">
        <f>Index!$C$152</f>
        <v>597.6</v>
      </c>
      <c r="FA15">
        <f t="shared" si="4"/>
        <v>1195.2</v>
      </c>
      <c r="FG15" t="s">
        <v>150</v>
      </c>
      <c r="FH15">
        <f>FH16</f>
        <v>2075</v>
      </c>
      <c r="FK15" t="s">
        <v>1437</v>
      </c>
      <c r="FL15">
        <v>2</v>
      </c>
      <c r="FN15">
        <f>Index!$C$152</f>
        <v>597.6</v>
      </c>
      <c r="FO15">
        <f t="shared" si="5"/>
        <v>1195.2</v>
      </c>
      <c r="FU15" t="s">
        <v>150</v>
      </c>
      <c r="FV15">
        <f>FV16</f>
        <v>2084</v>
      </c>
      <c r="FY15" t="s">
        <v>1437</v>
      </c>
      <c r="FZ15">
        <v>2</v>
      </c>
      <c r="GB15">
        <f>Index!$C$152</f>
        <v>597.6</v>
      </c>
      <c r="GC15">
        <f t="shared" si="6"/>
        <v>1195.2</v>
      </c>
      <c r="GI15" t="s">
        <v>150</v>
      </c>
      <c r="GJ15">
        <f>GJ16</f>
        <v>2710</v>
      </c>
      <c r="GM15" t="s">
        <v>1437</v>
      </c>
      <c r="GN15">
        <v>2</v>
      </c>
      <c r="GP15">
        <f>Index!$C$152</f>
        <v>597.6</v>
      </c>
      <c r="GQ15">
        <f t="shared" si="7"/>
        <v>1195.2</v>
      </c>
      <c r="GW15" t="s">
        <v>150</v>
      </c>
      <c r="GX15">
        <v>1920</v>
      </c>
      <c r="GY15" s="18"/>
    </row>
    <row r="16" spans="1:207" x14ac:dyDescent="0.25">
      <c r="K16" t="s">
        <v>5</v>
      </c>
      <c r="L16" t="s">
        <v>455</v>
      </c>
      <c r="X16" t="s">
        <v>5</v>
      </c>
      <c r="Y16" t="s">
        <v>455</v>
      </c>
      <c r="AL16" t="s">
        <v>5</v>
      </c>
      <c r="AM16" t="s">
        <v>455</v>
      </c>
      <c r="CS16" t="s">
        <v>1438</v>
      </c>
      <c r="CT16">
        <v>2</v>
      </c>
      <c r="CV16">
        <f>Index!$C$151</f>
        <v>154.80000000000001</v>
      </c>
      <c r="CW16">
        <f t="shared" si="0"/>
        <v>309.60000000000002</v>
      </c>
      <c r="DC16" t="s">
        <v>116</v>
      </c>
      <c r="DD16">
        <v>1260</v>
      </c>
      <c r="DG16" t="s">
        <v>1438</v>
      </c>
      <c r="DH16">
        <v>2</v>
      </c>
      <c r="DJ16">
        <f>Index!$C$151</f>
        <v>154.80000000000001</v>
      </c>
      <c r="DK16">
        <f t="shared" si="1"/>
        <v>309.60000000000002</v>
      </c>
      <c r="DQ16" t="s">
        <v>116</v>
      </c>
      <c r="DR16">
        <v>1260</v>
      </c>
      <c r="DU16" t="s">
        <v>1438</v>
      </c>
      <c r="DV16">
        <v>2</v>
      </c>
      <c r="DX16">
        <f>Index!$C$151</f>
        <v>154.80000000000001</v>
      </c>
      <c r="DY16">
        <f t="shared" si="2"/>
        <v>309.60000000000002</v>
      </c>
      <c r="EE16" t="s">
        <v>116</v>
      </c>
      <c r="EF16">
        <v>2075</v>
      </c>
      <c r="EI16" t="s">
        <v>1438</v>
      </c>
      <c r="EJ16">
        <v>2</v>
      </c>
      <c r="EL16">
        <f>Index!$C$151</f>
        <v>154.80000000000001</v>
      </c>
      <c r="EM16">
        <f t="shared" si="3"/>
        <v>309.60000000000002</v>
      </c>
      <c r="ES16" t="s">
        <v>116</v>
      </c>
      <c r="ET16">
        <v>2075</v>
      </c>
      <c r="EW16" t="s">
        <v>1438</v>
      </c>
      <c r="EX16">
        <v>2</v>
      </c>
      <c r="EZ16">
        <f>Index!$C$151</f>
        <v>154.80000000000001</v>
      </c>
      <c r="FA16">
        <f t="shared" si="4"/>
        <v>309.60000000000002</v>
      </c>
      <c r="FG16" t="s">
        <v>116</v>
      </c>
      <c r="FH16">
        <v>2075</v>
      </c>
      <c r="FK16" t="s">
        <v>1438</v>
      </c>
      <c r="FL16">
        <v>2</v>
      </c>
      <c r="FN16">
        <f>Index!$C$151</f>
        <v>154.80000000000001</v>
      </c>
      <c r="FO16">
        <f t="shared" si="5"/>
        <v>309.60000000000002</v>
      </c>
      <c r="FU16" t="s">
        <v>116</v>
      </c>
      <c r="FV16">
        <v>2084</v>
      </c>
      <c r="FY16" t="s">
        <v>1438</v>
      </c>
      <c r="FZ16">
        <v>2</v>
      </c>
      <c r="GB16">
        <f>Index!$C$151</f>
        <v>154.80000000000001</v>
      </c>
      <c r="GC16">
        <f t="shared" si="6"/>
        <v>309.60000000000002</v>
      </c>
      <c r="GI16" t="s">
        <v>116</v>
      </c>
      <c r="GJ16">
        <v>2710</v>
      </c>
      <c r="GM16" t="s">
        <v>1438</v>
      </c>
      <c r="GN16">
        <v>2</v>
      </c>
      <c r="GP16">
        <f>Index!$C$151</f>
        <v>154.80000000000001</v>
      </c>
      <c r="GQ16">
        <f t="shared" si="7"/>
        <v>309.60000000000002</v>
      </c>
      <c r="GW16" t="s">
        <v>116</v>
      </c>
      <c r="GX16">
        <v>3230</v>
      </c>
      <c r="GY16" s="18"/>
    </row>
    <row r="17" spans="4:211" x14ac:dyDescent="0.25">
      <c r="DC17" t="s">
        <v>145</v>
      </c>
      <c r="DD17">
        <v>1360</v>
      </c>
      <c r="DQ17" t="s">
        <v>145</v>
      </c>
      <c r="DR17">
        <v>1360</v>
      </c>
      <c r="EE17" t="s">
        <v>145</v>
      </c>
      <c r="EF17">
        <v>2599</v>
      </c>
      <c r="ES17" t="s">
        <v>145</v>
      </c>
      <c r="ET17">
        <v>2599</v>
      </c>
      <c r="FG17" t="s">
        <v>145</v>
      </c>
      <c r="FH17">
        <v>2810</v>
      </c>
      <c r="FU17" t="s">
        <v>145</v>
      </c>
      <c r="FV17">
        <v>2984</v>
      </c>
      <c r="GI17" t="s">
        <v>145</v>
      </c>
      <c r="GJ17">
        <v>1725</v>
      </c>
      <c r="GW17" t="s">
        <v>145</v>
      </c>
      <c r="GX17">
        <v>2550</v>
      </c>
      <c r="GY17" s="18"/>
    </row>
    <row r="18" spans="4:211" x14ac:dyDescent="0.25">
      <c r="K18" t="s">
        <v>457</v>
      </c>
      <c r="L18" t="s">
        <v>458</v>
      </c>
      <c r="X18" t="s">
        <v>457</v>
      </c>
      <c r="Y18" t="s">
        <v>458</v>
      </c>
      <c r="AL18" t="s">
        <v>457</v>
      </c>
      <c r="AM18" t="s">
        <v>458</v>
      </c>
      <c r="CS18" t="s">
        <v>14</v>
      </c>
      <c r="CT18" s="7">
        <f>ROUND(DD22,1)</f>
        <v>5.3</v>
      </c>
      <c r="CU18">
        <f>Index!$C$69</f>
        <v>11.9580460758</v>
      </c>
      <c r="CV18">
        <f>CU18</f>
        <v>11.9580460758</v>
      </c>
      <c r="CW18">
        <f t="shared" ref="CW18:CW19" si="8">CT18*CV18</f>
        <v>63.377644201739997</v>
      </c>
      <c r="DG18" t="s">
        <v>14</v>
      </c>
      <c r="DH18" s="7">
        <f>ROUND(DR22,1)</f>
        <v>5.3</v>
      </c>
      <c r="DI18">
        <f>Index!$C$69</f>
        <v>11.9580460758</v>
      </c>
      <c r="DJ18">
        <f>DI18</f>
        <v>11.9580460758</v>
      </c>
      <c r="DK18">
        <f t="shared" ref="DK18:DK19" si="9">DH18*DJ18</f>
        <v>63.377644201739997</v>
      </c>
      <c r="DU18" t="s">
        <v>14</v>
      </c>
      <c r="DV18" s="7">
        <f>ROUND(EF22,1)</f>
        <v>14.9</v>
      </c>
      <c r="DW18">
        <f>Index!$C$69</f>
        <v>11.9580460758</v>
      </c>
      <c r="DX18">
        <f>DW18</f>
        <v>11.9580460758</v>
      </c>
      <c r="DY18">
        <f t="shared" ref="DY18:DY19" si="10">DV18*DX18</f>
        <v>178.17488652942001</v>
      </c>
      <c r="EI18" t="s">
        <v>14</v>
      </c>
      <c r="EJ18" s="7">
        <f>ROUND(ET22,1)</f>
        <v>14.9</v>
      </c>
      <c r="EK18">
        <f>Index!$C$69</f>
        <v>11.9580460758</v>
      </c>
      <c r="EL18">
        <f>EK18</f>
        <v>11.9580460758</v>
      </c>
      <c r="EM18">
        <f t="shared" ref="EM18:EM19" si="11">EJ18*EL18</f>
        <v>178.17488652942001</v>
      </c>
      <c r="EW18" t="s">
        <v>14</v>
      </c>
      <c r="EX18" s="7">
        <f>ROUND(FH22,1)</f>
        <v>16.100000000000001</v>
      </c>
      <c r="EY18">
        <f>Index!$C$69</f>
        <v>11.9580460758</v>
      </c>
      <c r="EZ18">
        <f>EY18</f>
        <v>11.9580460758</v>
      </c>
      <c r="FA18">
        <f t="shared" ref="FA18:FA19" si="12">EX18*EZ18</f>
        <v>192.52454182038002</v>
      </c>
      <c r="FK18" t="s">
        <v>14</v>
      </c>
      <c r="FL18" s="7">
        <f>ROUND(FV22,1)</f>
        <v>17.2</v>
      </c>
      <c r="FM18">
        <f>Index!$C$69</f>
        <v>11.9580460758</v>
      </c>
      <c r="FN18">
        <f>FM18</f>
        <v>11.9580460758</v>
      </c>
      <c r="FO18">
        <f t="shared" ref="FO18:FO19" si="13">FL18*FN18</f>
        <v>205.67839250375999</v>
      </c>
      <c r="FY18" t="s">
        <v>14</v>
      </c>
      <c r="FZ18" s="7">
        <f>ROUND(GJ22,1)</f>
        <v>16.100000000000001</v>
      </c>
      <c r="GA18">
        <f>Index!$C$69</f>
        <v>11.9580460758</v>
      </c>
      <c r="GB18">
        <f>GA18</f>
        <v>11.9580460758</v>
      </c>
      <c r="GC18">
        <f t="shared" ref="GC18:GC19" si="14">FZ18*GB18</f>
        <v>192.52454182038002</v>
      </c>
      <c r="GM18" t="s">
        <v>14</v>
      </c>
      <c r="GN18" s="7">
        <f>ROUND(GX22,1)</f>
        <v>20.399999999999999</v>
      </c>
      <c r="GO18">
        <f>Index!$C$69</f>
        <v>11.9580460758</v>
      </c>
      <c r="GP18">
        <f>GO18</f>
        <v>11.9580460758</v>
      </c>
      <c r="GQ18">
        <f t="shared" ref="GQ18:GQ19" si="15">GN18*GP18</f>
        <v>243.94413994631998</v>
      </c>
      <c r="GY18" s="18"/>
    </row>
    <row r="19" spans="4:211" x14ac:dyDescent="0.25">
      <c r="D19" s="10" t="s">
        <v>55</v>
      </c>
      <c r="E19" t="s">
        <v>126</v>
      </c>
      <c r="Q19" s="10" t="s">
        <v>135</v>
      </c>
      <c r="R19" t="s">
        <v>126</v>
      </c>
      <c r="AE19" s="10" t="s">
        <v>165</v>
      </c>
      <c r="AF19" t="s">
        <v>126</v>
      </c>
      <c r="CS19" t="s">
        <v>1148</v>
      </c>
      <c r="CT19" s="7">
        <f>CT18-1.8</f>
        <v>3.5</v>
      </c>
      <c r="CU19">
        <f>Index!$C$36</f>
        <v>36.718627421191144</v>
      </c>
      <c r="CV19">
        <f>CU19*(1+$H$3)^3</f>
        <v>38.966101168387411</v>
      </c>
      <c r="CW19">
        <f t="shared" si="8"/>
        <v>136.38135408935594</v>
      </c>
      <c r="DC19" t="s">
        <v>1430</v>
      </c>
      <c r="DD19">
        <v>150</v>
      </c>
      <c r="DG19" t="s">
        <v>1148</v>
      </c>
      <c r="DH19" s="7">
        <f>DH18-1.8</f>
        <v>3.5</v>
      </c>
      <c r="DI19">
        <f>Index!$C$36</f>
        <v>36.718627421191144</v>
      </c>
      <c r="DJ19">
        <f>DI19*(1+$H$3)^3</f>
        <v>38.966101168387411</v>
      </c>
      <c r="DK19">
        <f t="shared" si="9"/>
        <v>136.38135408935594</v>
      </c>
      <c r="DQ19" t="s">
        <v>1430</v>
      </c>
      <c r="DR19">
        <v>150</v>
      </c>
      <c r="DU19" t="s">
        <v>100</v>
      </c>
      <c r="DV19" s="7">
        <f>DV18-2.8</f>
        <v>12.100000000000001</v>
      </c>
      <c r="DW19">
        <f>Index!$C$53</f>
        <v>99.508928571428555</v>
      </c>
      <c r="DX19">
        <f>DW19</f>
        <v>99.508928571428555</v>
      </c>
      <c r="DY19">
        <f t="shared" si="10"/>
        <v>1204.0580357142856</v>
      </c>
      <c r="EE19" t="s">
        <v>1430</v>
      </c>
      <c r="EF19">
        <v>150</v>
      </c>
      <c r="EI19" t="s">
        <v>100</v>
      </c>
      <c r="EJ19" s="7">
        <f>EJ18-2.8</f>
        <v>12.100000000000001</v>
      </c>
      <c r="EK19">
        <f>Index!$C$53</f>
        <v>99.508928571428555</v>
      </c>
      <c r="EL19">
        <f>EK19</f>
        <v>99.508928571428555</v>
      </c>
      <c r="EM19">
        <f t="shared" si="11"/>
        <v>1204.0580357142856</v>
      </c>
      <c r="ES19" t="s">
        <v>1430</v>
      </c>
      <c r="ET19">
        <v>150</v>
      </c>
      <c r="EW19" t="s">
        <v>100</v>
      </c>
      <c r="EX19" s="7">
        <f>EX18-3.8</f>
        <v>12.3</v>
      </c>
      <c r="EY19">
        <f>Index!$C$53</f>
        <v>99.508928571428555</v>
      </c>
      <c r="EZ19">
        <f>EY19</f>
        <v>99.508928571428555</v>
      </c>
      <c r="FA19">
        <f t="shared" si="12"/>
        <v>1223.9598214285713</v>
      </c>
      <c r="FG19" t="s">
        <v>1430</v>
      </c>
      <c r="FH19">
        <v>150</v>
      </c>
      <c r="FK19" t="s">
        <v>100</v>
      </c>
      <c r="FL19" s="7">
        <f>FL18-4.6</f>
        <v>12.6</v>
      </c>
      <c r="FM19">
        <f>Index!$C$53</f>
        <v>99.508928571428555</v>
      </c>
      <c r="FN19">
        <f>FM19</f>
        <v>99.508928571428555</v>
      </c>
      <c r="FO19">
        <f t="shared" si="13"/>
        <v>1253.8124999999998</v>
      </c>
      <c r="FU19" t="s">
        <v>1430</v>
      </c>
      <c r="FV19">
        <v>150</v>
      </c>
      <c r="FY19" t="s">
        <v>100</v>
      </c>
      <c r="FZ19" s="7">
        <f>FZ18-5.2</f>
        <v>10.900000000000002</v>
      </c>
      <c r="GA19">
        <f>Index!$C$53</f>
        <v>99.508928571428555</v>
      </c>
      <c r="GB19">
        <f>GA19</f>
        <v>99.508928571428555</v>
      </c>
      <c r="GC19">
        <f t="shared" si="14"/>
        <v>1084.6473214285716</v>
      </c>
      <c r="GI19" t="s">
        <v>1430</v>
      </c>
      <c r="GJ19">
        <v>150</v>
      </c>
      <c r="GM19" t="s">
        <v>100</v>
      </c>
      <c r="GN19" s="7">
        <f>GN18-7.15</f>
        <v>13.249999999999998</v>
      </c>
      <c r="GO19">
        <f>Index!$C$53</f>
        <v>99.508928571428555</v>
      </c>
      <c r="GP19">
        <f>GO19</f>
        <v>99.508928571428555</v>
      </c>
      <c r="GQ19">
        <f t="shared" si="15"/>
        <v>1318.4933035714282</v>
      </c>
      <c r="GW19" t="s">
        <v>1430</v>
      </c>
      <c r="GX19">
        <v>150</v>
      </c>
      <c r="GY19" s="18"/>
    </row>
    <row r="20" spans="4:211" x14ac:dyDescent="0.25">
      <c r="D20" s="25" t="s">
        <v>378</v>
      </c>
      <c r="E20">
        <v>1</v>
      </c>
      <c r="F20">
        <f>Index!$C$77</f>
        <v>2970</v>
      </c>
      <c r="G20">
        <f>F20</f>
        <v>2970</v>
      </c>
      <c r="H20" s="5">
        <f>E20*F20</f>
        <v>2970</v>
      </c>
      <c r="K20" t="s">
        <v>460</v>
      </c>
      <c r="L20">
        <v>4.7309999999999999</v>
      </c>
      <c r="M20" t="s">
        <v>71</v>
      </c>
      <c r="Q20" s="25" t="s">
        <v>378</v>
      </c>
      <c r="R20">
        <v>1</v>
      </c>
      <c r="S20">
        <f>Index!$C$78</f>
        <v>5604</v>
      </c>
      <c r="T20">
        <f>S20</f>
        <v>5604</v>
      </c>
      <c r="U20" s="5">
        <f>R20*S20</f>
        <v>5604</v>
      </c>
      <c r="X20" t="s">
        <v>460</v>
      </c>
      <c r="Y20">
        <v>8.8059999999999992</v>
      </c>
      <c r="Z20" t="s">
        <v>71</v>
      </c>
      <c r="AE20" s="25" t="s">
        <v>384</v>
      </c>
      <c r="AF20">
        <v>1</v>
      </c>
      <c r="AG20">
        <f>AG7</f>
        <v>8852.4</v>
      </c>
      <c r="AH20">
        <f>AG20</f>
        <v>8852.4</v>
      </c>
      <c r="AI20" s="5">
        <f>AF20*AG20</f>
        <v>8852.4</v>
      </c>
      <c r="AL20" t="s">
        <v>460</v>
      </c>
      <c r="AM20">
        <v>14.35</v>
      </c>
      <c r="AN20" t="s">
        <v>71</v>
      </c>
      <c r="CS20" t="s">
        <v>1158</v>
      </c>
      <c r="CT20">
        <v>1</v>
      </c>
      <c r="CV20">
        <f>'SAF - Design'!$BF$193</f>
        <v>1104</v>
      </c>
      <c r="CW20">
        <f>CT20*CV20</f>
        <v>1104</v>
      </c>
      <c r="DC20" t="s">
        <v>1431</v>
      </c>
      <c r="DD20">
        <v>50</v>
      </c>
      <c r="DG20" t="s">
        <v>1158</v>
      </c>
      <c r="DH20">
        <v>1</v>
      </c>
      <c r="DJ20">
        <f>'SAF - Design'!$BF$193</f>
        <v>1104</v>
      </c>
      <c r="DK20">
        <f>DH20*DJ20</f>
        <v>1104</v>
      </c>
      <c r="DQ20" t="s">
        <v>1431</v>
      </c>
      <c r="DR20">
        <v>50</v>
      </c>
      <c r="DU20" t="s">
        <v>1158</v>
      </c>
      <c r="DV20">
        <v>1</v>
      </c>
      <c r="DX20">
        <f>'SAF - Design'!$BF$195</f>
        <v>1082.4000000000001</v>
      </c>
      <c r="DY20">
        <f>DV20*DX20</f>
        <v>1082.4000000000001</v>
      </c>
      <c r="EE20" t="s">
        <v>1431</v>
      </c>
      <c r="EF20">
        <v>50</v>
      </c>
      <c r="EI20" t="s">
        <v>1158</v>
      </c>
      <c r="EJ20">
        <v>1</v>
      </c>
      <c r="EL20">
        <f>'SAF - Design'!$BF$196</f>
        <v>1082.4000000000001</v>
      </c>
      <c r="EM20">
        <f>EJ20*EL20</f>
        <v>1082.4000000000001</v>
      </c>
      <c r="ES20" t="s">
        <v>1431</v>
      </c>
      <c r="ET20">
        <v>50</v>
      </c>
      <c r="EW20" t="s">
        <v>1158</v>
      </c>
      <c r="EX20">
        <v>1</v>
      </c>
      <c r="EZ20">
        <f>'SAF - Design'!$BF$197</f>
        <v>1299.5999999999999</v>
      </c>
      <c r="FA20">
        <f>EX20*EZ20</f>
        <v>1299.5999999999999</v>
      </c>
      <c r="FG20" t="s">
        <v>1431</v>
      </c>
      <c r="FH20">
        <v>50</v>
      </c>
      <c r="FK20" t="s">
        <v>1158</v>
      </c>
      <c r="FL20">
        <v>1</v>
      </c>
      <c r="FN20">
        <f>'SAF - Design'!$BF$198</f>
        <v>1444.8</v>
      </c>
      <c r="FO20">
        <f>FL20*FN20</f>
        <v>1444.8</v>
      </c>
      <c r="FU20" t="s">
        <v>1431</v>
      </c>
      <c r="FV20">
        <v>50</v>
      </c>
      <c r="FY20" t="s">
        <v>1158</v>
      </c>
      <c r="FZ20">
        <v>1</v>
      </c>
      <c r="GB20">
        <f>'SAF - Design'!$BF$199</f>
        <v>2641.2000000000003</v>
      </c>
      <c r="GC20">
        <f>FZ20*GB20</f>
        <v>2641.2000000000003</v>
      </c>
      <c r="GI20" t="s">
        <v>1431</v>
      </c>
      <c r="GJ20">
        <v>50</v>
      </c>
      <c r="GM20" t="s">
        <v>1158</v>
      </c>
      <c r="GN20">
        <v>1</v>
      </c>
      <c r="GP20">
        <f>'SAF - Design'!$BF$199</f>
        <v>2641.2000000000003</v>
      </c>
      <c r="GQ20">
        <f>GN20*GP20</f>
        <v>2641.2000000000003</v>
      </c>
      <c r="GW20" t="s">
        <v>1431</v>
      </c>
      <c r="GX20">
        <v>50</v>
      </c>
      <c r="GY20" s="18"/>
    </row>
    <row r="21" spans="4:211" x14ac:dyDescent="0.25">
      <c r="D21" t="s">
        <v>14</v>
      </c>
      <c r="E21">
        <f>L33</f>
        <v>17.025839999999999</v>
      </c>
      <c r="F21" s="7">
        <v>11.38</v>
      </c>
      <c r="G21" s="7">
        <f>F21*(1+$H$3)^3</f>
        <v>12.076547039999999</v>
      </c>
      <c r="H21" s="5">
        <f>E21*F21</f>
        <v>193.7540592</v>
      </c>
      <c r="Q21" t="s">
        <v>14</v>
      </c>
      <c r="R21">
        <f>Y33</f>
        <v>28.849340000000002</v>
      </c>
      <c r="S21">
        <f>Index!$C$69</f>
        <v>11.9580460758</v>
      </c>
      <c r="T21">
        <f>S21</f>
        <v>11.9580460758</v>
      </c>
      <c r="U21" s="5">
        <f>R21*S21</f>
        <v>344.98173697642</v>
      </c>
      <c r="AE21" t="s">
        <v>14</v>
      </c>
      <c r="AF21">
        <f>AP34</f>
        <v>52.616019999999999</v>
      </c>
      <c r="AG21">
        <f>Index!$C$69</f>
        <v>11.9580460758</v>
      </c>
      <c r="AH21">
        <f>AG21</f>
        <v>11.9580460758</v>
      </c>
      <c r="AI21" s="5">
        <f>AF21*AG21</f>
        <v>629.1847914852143</v>
      </c>
      <c r="GY21" s="18"/>
    </row>
    <row r="22" spans="4:211" x14ac:dyDescent="0.25">
      <c r="D22" t="s">
        <v>459</v>
      </c>
      <c r="E22">
        <f>ROUNDUP(L36,1)</f>
        <v>1</v>
      </c>
      <c r="F22" s="7">
        <v>36.718627421191144</v>
      </c>
      <c r="G22" s="7">
        <f>F22</f>
        <v>36.718627421191144</v>
      </c>
      <c r="H22" s="5">
        <f>E22*F22</f>
        <v>36.718627421191144</v>
      </c>
      <c r="K22" t="s">
        <v>461</v>
      </c>
      <c r="L22">
        <f>(L11/(L7+L9))*L15-L20</f>
        <v>9.9836400000000012</v>
      </c>
      <c r="M22" t="s">
        <v>71</v>
      </c>
      <c r="Q22" t="s">
        <v>459</v>
      </c>
      <c r="R22">
        <f>ROUNDUP(Y36,1)</f>
        <v>1.7000000000000002</v>
      </c>
      <c r="S22" s="7">
        <v>36.718627421191144</v>
      </c>
      <c r="T22" s="7">
        <f>S22</f>
        <v>36.718627421191144</v>
      </c>
      <c r="U22" s="5">
        <f>R22*S22</f>
        <v>62.42166661602495</v>
      </c>
      <c r="X22" t="s">
        <v>461</v>
      </c>
      <c r="Y22">
        <f>(Y11/(Y7+Y9))*Y15-Y20</f>
        <v>16.127139999999997</v>
      </c>
      <c r="Z22" t="s">
        <v>71</v>
      </c>
      <c r="AE22" t="s">
        <v>459</v>
      </c>
      <c r="AF22">
        <f>ROUNDUP(AM36,1)</f>
        <v>5.0999999999999996</v>
      </c>
      <c r="AG22" s="7">
        <v>36.718627421191144</v>
      </c>
      <c r="AH22" s="7">
        <f>AG22</f>
        <v>36.718627421191144</v>
      </c>
      <c r="AI22" s="5">
        <f>AF22*AG22</f>
        <v>187.26499984807481</v>
      </c>
      <c r="AL22" t="s">
        <v>461</v>
      </c>
      <c r="AM22">
        <f>(AP12/(AM7+AM9))*AM15-AM20</f>
        <v>38.606911071428563</v>
      </c>
      <c r="AN22" t="s">
        <v>71</v>
      </c>
      <c r="DC22" t="s">
        <v>14</v>
      </c>
      <c r="DD22" s="7">
        <f>((DD15+DD19*2)*(DD16+DD19*2)*(DD17+DD20))/(1000^3)</f>
        <v>5.2570439999999996</v>
      </c>
      <c r="DE22" s="18" t="s">
        <v>71</v>
      </c>
      <c r="DQ22" t="s">
        <v>14</v>
      </c>
      <c r="DR22" s="7">
        <f>((DR15+DR19*2)*(DR16+DR19*2)*(DR17+DR20))/(1000^3)</f>
        <v>5.2570439999999996</v>
      </c>
      <c r="DS22" s="18" t="s">
        <v>71</v>
      </c>
      <c r="EE22" t="s">
        <v>14</v>
      </c>
      <c r="EF22" s="7">
        <f>((EF15+EF19*2)*(EF16+EF19*2)*(EF17+EF20))/(1000^3)</f>
        <v>14.942015625</v>
      </c>
      <c r="EG22" s="18" t="s">
        <v>71</v>
      </c>
      <c r="ES22" t="s">
        <v>14</v>
      </c>
      <c r="ET22" s="7">
        <f>((ET15+ET19*2)*(ET16+ET19*2)*(ET17+ET20))/(1000^3)</f>
        <v>14.942015625</v>
      </c>
      <c r="EU22" s="18" t="s">
        <v>71</v>
      </c>
      <c r="FG22" t="s">
        <v>14</v>
      </c>
      <c r="FH22" s="7">
        <f>((FH15+FH19*2)*(FH16+FH19*2)*(FH17+FH20))/(1000^3)</f>
        <v>16.132187500000001</v>
      </c>
      <c r="FI22" s="18" t="s">
        <v>71</v>
      </c>
      <c r="FU22" t="s">
        <v>14</v>
      </c>
      <c r="FV22" s="7">
        <f>((FV15+FV19*2)*(FV16+FV19*2)*(FV17+FV20))/(1000^3)</f>
        <v>17.243605504000001</v>
      </c>
      <c r="FW22" s="18" t="s">
        <v>71</v>
      </c>
      <c r="GI22" t="s">
        <v>14</v>
      </c>
      <c r="GJ22" s="7">
        <f>((GJ15+GJ19*2)*(GJ16+GJ19*2)*(GJ17+GJ20))/(1000^3)</f>
        <v>16.081677500000001</v>
      </c>
      <c r="GK22" s="18" t="s">
        <v>71</v>
      </c>
      <c r="GW22" t="s">
        <v>14</v>
      </c>
      <c r="GX22" s="7">
        <f>((GX15+GX19*2)*(GX16+GX19*2)*(GX17+GX20))/(1000^3)</f>
        <v>20.375160000000001</v>
      </c>
      <c r="GY22" s="18" t="s">
        <v>71</v>
      </c>
    </row>
    <row r="23" spans="4:211" x14ac:dyDescent="0.25">
      <c r="D23" t="s">
        <v>151</v>
      </c>
      <c r="E23">
        <v>11</v>
      </c>
      <c r="F23">
        <f>Index!$C$53</f>
        <v>99.508928571428555</v>
      </c>
      <c r="G23">
        <f>F23</f>
        <v>99.508928571428555</v>
      </c>
      <c r="H23" s="5">
        <f>E23*F23</f>
        <v>1094.5982142857142</v>
      </c>
      <c r="Q23" t="s">
        <v>151</v>
      </c>
      <c r="R23">
        <f>Y40</f>
        <v>17.694092999999999</v>
      </c>
      <c r="S23">
        <f>Index!$C$53</f>
        <v>99.508928571428555</v>
      </c>
      <c r="T23">
        <f>S23</f>
        <v>99.508928571428555</v>
      </c>
      <c r="U23" s="5">
        <f>R23*S23</f>
        <v>1760.7202364732138</v>
      </c>
      <c r="AE23" t="s">
        <v>151</v>
      </c>
      <c r="AF23">
        <f>AM40</f>
        <v>41.324518285714284</v>
      </c>
      <c r="AG23">
        <f>Index!$C$53</f>
        <v>99.508928571428555</v>
      </c>
      <c r="AH23">
        <f>AG23</f>
        <v>99.508928571428555</v>
      </c>
      <c r="AI23" s="5">
        <f>AF23*AG23</f>
        <v>4112.158538341836</v>
      </c>
      <c r="CS23" s="3" t="s">
        <v>58</v>
      </c>
      <c r="CT23" s="3"/>
      <c r="CU23" s="3"/>
      <c r="CV23" s="3"/>
      <c r="CW23" s="3">
        <f>SUM(CW7:CW20)</f>
        <v>11630.936750392539</v>
      </c>
      <c r="DG23" s="3" t="s">
        <v>58</v>
      </c>
      <c r="DH23" s="3"/>
      <c r="DI23" s="3"/>
      <c r="DJ23" s="3"/>
      <c r="DK23" s="3">
        <f>SUM(DK7:DK20)</f>
        <v>13073.402652089628</v>
      </c>
      <c r="DU23" s="3" t="s">
        <v>58</v>
      </c>
      <c r="DV23" s="3"/>
      <c r="DW23" s="3"/>
      <c r="DX23" s="3"/>
      <c r="DY23" s="3">
        <f>SUM(DY7:DY20)</f>
        <v>17437.865013353563</v>
      </c>
      <c r="EI23" s="3" t="s">
        <v>58</v>
      </c>
      <c r="EJ23" s="3"/>
      <c r="EK23" s="3"/>
      <c r="EL23" s="3"/>
      <c r="EM23" s="3">
        <f>SUM(EM7:EM20)</f>
        <v>20107.579171208923</v>
      </c>
      <c r="EW23" s="3" t="s">
        <v>58</v>
      </c>
      <c r="EX23" s="3"/>
      <c r="EY23" s="3"/>
      <c r="EZ23" s="3"/>
      <c r="FA23" s="3">
        <f>SUM(FA7:FA20)</f>
        <v>22699.080088317045</v>
      </c>
      <c r="FK23" s="3" t="s">
        <v>58</v>
      </c>
      <c r="FL23" s="3"/>
      <c r="FM23" s="3"/>
      <c r="FN23" s="3"/>
      <c r="FO23" s="3">
        <f>SUM(FO7:FO20)</f>
        <v>25630.884643744805</v>
      </c>
      <c r="FY23" s="3" t="s">
        <v>58</v>
      </c>
      <c r="FZ23" s="3"/>
      <c r="GA23" s="3"/>
      <c r="GB23" s="3"/>
      <c r="GC23" s="3">
        <f>SUM(GC7:GC20)</f>
        <v>31071.524238061305</v>
      </c>
      <c r="GM23" s="3" t="s">
        <v>58</v>
      </c>
      <c r="GN23" s="3"/>
      <c r="GO23" s="3"/>
      <c r="GP23" s="3"/>
      <c r="GQ23" s="3">
        <f>SUM(GQ7:GQ20)</f>
        <v>35191.291249755901</v>
      </c>
      <c r="GY23" s="18"/>
    </row>
    <row r="24" spans="4:211" x14ac:dyDescent="0.25">
      <c r="D24" t="s">
        <v>112</v>
      </c>
      <c r="E24">
        <f>E10</f>
        <v>7.7039999999999997</v>
      </c>
      <c r="F24">
        <f>Index!$C$57</f>
        <v>2.0490500744999993</v>
      </c>
      <c r="G24">
        <f>F24</f>
        <v>2.0490500744999993</v>
      </c>
      <c r="H24" s="5">
        <f>E24*F24</f>
        <v>15.785881773947994</v>
      </c>
      <c r="K24" t="s">
        <v>62</v>
      </c>
      <c r="Q24" t="s">
        <v>112</v>
      </c>
      <c r="R24">
        <f>R10</f>
        <v>13.053999999999998</v>
      </c>
      <c r="S24">
        <f>Index!$C$57</f>
        <v>2.0490500744999993</v>
      </c>
      <c r="T24">
        <f>S24</f>
        <v>2.0490500744999993</v>
      </c>
      <c r="U24" s="5">
        <f>R24*S24</f>
        <v>26.74829967252299</v>
      </c>
      <c r="X24" t="s">
        <v>62</v>
      </c>
      <c r="AE24" t="s">
        <v>112</v>
      </c>
      <c r="AF24">
        <f>AF10</f>
        <v>8.7739999999999991</v>
      </c>
      <c r="AG24">
        <f>Index!$C$57</f>
        <v>2.0490500744999993</v>
      </c>
      <c r="AH24">
        <f>AG24</f>
        <v>2.0490500744999993</v>
      </c>
      <c r="AI24" s="5">
        <f>AF24*AG24</f>
        <v>17.978365353662991</v>
      </c>
      <c r="AL24" t="s">
        <v>62</v>
      </c>
      <c r="AO24" t="s">
        <v>62</v>
      </c>
      <c r="AP24" t="s">
        <v>482</v>
      </c>
      <c r="DC24" t="s">
        <v>1429</v>
      </c>
      <c r="DD24">
        <v>88</v>
      </c>
      <c r="DE24" s="18" t="s">
        <v>895</v>
      </c>
      <c r="DQ24" t="s">
        <v>1429</v>
      </c>
      <c r="DR24">
        <v>88</v>
      </c>
      <c r="DS24" s="18" t="s">
        <v>895</v>
      </c>
      <c r="EE24" t="s">
        <v>1429</v>
      </c>
      <c r="EF24">
        <v>88</v>
      </c>
      <c r="EG24" s="18" t="s">
        <v>895</v>
      </c>
      <c r="ES24" t="s">
        <v>1429</v>
      </c>
      <c r="ET24">
        <v>88</v>
      </c>
      <c r="EU24" s="18" t="s">
        <v>895</v>
      </c>
      <c r="FG24" t="s">
        <v>1429</v>
      </c>
      <c r="FH24">
        <v>88</v>
      </c>
      <c r="FI24" s="18" t="s">
        <v>895</v>
      </c>
      <c r="FU24" t="s">
        <v>1429</v>
      </c>
      <c r="FV24">
        <v>88</v>
      </c>
      <c r="FW24" s="18" t="s">
        <v>895</v>
      </c>
      <c r="GI24" t="s">
        <v>1429</v>
      </c>
      <c r="GJ24">
        <v>88</v>
      </c>
      <c r="GK24" s="18" t="s">
        <v>895</v>
      </c>
      <c r="GW24" t="s">
        <v>1429</v>
      </c>
      <c r="GX24">
        <v>88</v>
      </c>
      <c r="GY24" s="18" t="s">
        <v>895</v>
      </c>
    </row>
    <row r="25" spans="4:211" x14ac:dyDescent="0.25">
      <c r="K25" t="s">
        <v>129</v>
      </c>
      <c r="X25" t="s">
        <v>129</v>
      </c>
      <c r="AL25" t="s">
        <v>129</v>
      </c>
      <c r="AO25" t="s">
        <v>128</v>
      </c>
      <c r="CS25" t="s">
        <v>875</v>
      </c>
      <c r="DG25" t="s">
        <v>875</v>
      </c>
      <c r="DU25" t="s">
        <v>875</v>
      </c>
      <c r="EI25" t="s">
        <v>875</v>
      </c>
      <c r="EW25" t="s">
        <v>875</v>
      </c>
      <c r="FK25" t="s">
        <v>875</v>
      </c>
      <c r="FY25" t="s">
        <v>875</v>
      </c>
      <c r="GM25" t="s">
        <v>875</v>
      </c>
    </row>
    <row r="26" spans="4:211" x14ac:dyDescent="0.25">
      <c r="D26" s="3" t="s">
        <v>58</v>
      </c>
      <c r="E26" s="3"/>
      <c r="F26" s="3"/>
      <c r="G26" s="3"/>
      <c r="H26" s="38">
        <f>SUM(H20:H24)</f>
        <v>4310.856782680853</v>
      </c>
      <c r="K26" t="s">
        <v>150</v>
      </c>
      <c r="L26">
        <v>3100</v>
      </c>
      <c r="Q26" s="3" t="s">
        <v>58</v>
      </c>
      <c r="R26" s="3"/>
      <c r="S26" s="3"/>
      <c r="T26" s="3"/>
      <c r="U26" s="38">
        <f>SUM(U20:U24)</f>
        <v>7798.871939738181</v>
      </c>
      <c r="X26" t="s">
        <v>150</v>
      </c>
      <c r="Y26">
        <f>Y5</f>
        <v>5600</v>
      </c>
      <c r="AE26" s="3" t="s">
        <v>58</v>
      </c>
      <c r="AF26" s="3"/>
      <c r="AG26" s="3"/>
      <c r="AH26" s="3"/>
      <c r="AI26" s="38">
        <f>SUM(AI20:AI24)</f>
        <v>13798.986695028789</v>
      </c>
      <c r="AL26" t="s">
        <v>150</v>
      </c>
      <c r="AM26">
        <f>[2]SAF!D69</f>
        <v>3600</v>
      </c>
      <c r="AO26" t="s">
        <v>150</v>
      </c>
      <c r="AP26">
        <v>5600</v>
      </c>
      <c r="CT26" t="s">
        <v>2</v>
      </c>
      <c r="CU26" t="s">
        <v>81</v>
      </c>
      <c r="CV26" t="s">
        <v>82</v>
      </c>
      <c r="CW26" t="s">
        <v>59</v>
      </c>
      <c r="DH26" t="s">
        <v>2</v>
      </c>
      <c r="DI26" t="s">
        <v>81</v>
      </c>
      <c r="DJ26" t="s">
        <v>82</v>
      </c>
      <c r="DK26" t="s">
        <v>59</v>
      </c>
      <c r="DV26" t="s">
        <v>2</v>
      </c>
      <c r="DW26" t="s">
        <v>81</v>
      </c>
      <c r="DX26" t="s">
        <v>82</v>
      </c>
      <c r="DY26" t="s">
        <v>59</v>
      </c>
      <c r="EJ26" t="s">
        <v>2</v>
      </c>
      <c r="EK26" t="s">
        <v>81</v>
      </c>
      <c r="EL26" t="s">
        <v>82</v>
      </c>
      <c r="EM26" t="s">
        <v>59</v>
      </c>
      <c r="EX26" t="s">
        <v>2</v>
      </c>
      <c r="EY26" t="s">
        <v>81</v>
      </c>
      <c r="EZ26" t="s">
        <v>82</v>
      </c>
      <c r="FA26" t="s">
        <v>59</v>
      </c>
      <c r="FL26" t="s">
        <v>2</v>
      </c>
      <c r="FM26" t="s">
        <v>81</v>
      </c>
      <c r="FN26" t="s">
        <v>82</v>
      </c>
      <c r="FO26" t="s">
        <v>59</v>
      </c>
      <c r="FZ26" t="s">
        <v>2</v>
      </c>
      <c r="GA26" t="s">
        <v>81</v>
      </c>
      <c r="GB26" t="s">
        <v>82</v>
      </c>
      <c r="GC26" t="s">
        <v>59</v>
      </c>
      <c r="GN26" t="s">
        <v>2</v>
      </c>
      <c r="GO26" t="s">
        <v>81</v>
      </c>
      <c r="GP26" t="s">
        <v>82</v>
      </c>
      <c r="GQ26" t="s">
        <v>59</v>
      </c>
      <c r="HC26">
        <v>4245.1869418195101</v>
      </c>
    </row>
    <row r="27" spans="4:211" x14ac:dyDescent="0.25">
      <c r="K27" t="s">
        <v>454</v>
      </c>
      <c r="L27">
        <v>1640</v>
      </c>
      <c r="X27" t="s">
        <v>454</v>
      </c>
      <c r="Y27">
        <v>1640</v>
      </c>
      <c r="AL27" t="s">
        <v>454</v>
      </c>
      <c r="AM27">
        <v>1640</v>
      </c>
      <c r="AO27" t="s">
        <v>454</v>
      </c>
      <c r="AP27">
        <v>1640</v>
      </c>
      <c r="CS27" t="s">
        <v>1572</v>
      </c>
      <c r="CT27">
        <f>'SAF - Design'!$I$257</f>
        <v>13.279999999999998</v>
      </c>
      <c r="CU27">
        <f>Index!$C$179</f>
        <v>47.51</v>
      </c>
      <c r="CV27">
        <f>CU27</f>
        <v>47.51</v>
      </c>
      <c r="CW27">
        <f>CT27*CV27</f>
        <v>630.93279999999982</v>
      </c>
      <c r="DG27" t="s">
        <v>1572</v>
      </c>
      <c r="DH27">
        <f>'SAF - Design'!$J$257</f>
        <v>14.92</v>
      </c>
      <c r="DI27">
        <f>Index!$C$179</f>
        <v>47.51</v>
      </c>
      <c r="DJ27">
        <f>DI27</f>
        <v>47.51</v>
      </c>
      <c r="DK27">
        <f>DH27*DJ27</f>
        <v>708.8492</v>
      </c>
      <c r="DU27" t="s">
        <v>1572</v>
      </c>
      <c r="DV27">
        <f>'SAF - Design'!$K$257</f>
        <v>17.8</v>
      </c>
      <c r="DW27">
        <f>Index!$C$179</f>
        <v>47.51</v>
      </c>
      <c r="DX27">
        <f>DW27</f>
        <v>47.51</v>
      </c>
      <c r="DY27">
        <f>DV27*DX27</f>
        <v>845.678</v>
      </c>
      <c r="EI27" t="s">
        <v>1572</v>
      </c>
      <c r="EJ27">
        <f>'SAF - Design'!$L$257</f>
        <v>20.34</v>
      </c>
      <c r="EK27">
        <f>Index!$C$179</f>
        <v>47.51</v>
      </c>
      <c r="EL27">
        <f>EK27</f>
        <v>47.51</v>
      </c>
      <c r="EM27">
        <f>EJ27*EL27</f>
        <v>966.35339999999997</v>
      </c>
      <c r="EW27" t="s">
        <v>1572</v>
      </c>
      <c r="EX27">
        <f>'SAF - Design'!$M$257</f>
        <v>22.52</v>
      </c>
      <c r="EY27">
        <f>Index!$C$179</f>
        <v>47.51</v>
      </c>
      <c r="EZ27">
        <f>EY27</f>
        <v>47.51</v>
      </c>
      <c r="FA27">
        <f>EX27*EZ27</f>
        <v>1069.9251999999999</v>
      </c>
      <c r="FK27" t="s">
        <v>1572</v>
      </c>
      <c r="FL27">
        <f>'SAF - Design'!$N$257</f>
        <v>24.46</v>
      </c>
      <c r="FM27">
        <f>Index!$C$179</f>
        <v>47.51</v>
      </c>
      <c r="FN27">
        <f>FM27</f>
        <v>47.51</v>
      </c>
      <c r="FO27">
        <f>FL27*FN27</f>
        <v>1162.0945999999999</v>
      </c>
      <c r="FY27" t="s">
        <v>1572</v>
      </c>
      <c r="FZ27">
        <f>'SAF - Design'!$O$257</f>
        <v>28.02</v>
      </c>
      <c r="GA27">
        <f>Index!$C$179</f>
        <v>47.51</v>
      </c>
      <c r="GB27">
        <f>GA27</f>
        <v>47.51</v>
      </c>
      <c r="GC27">
        <f>FZ27*GB27</f>
        <v>1331.2302</v>
      </c>
      <c r="GM27" t="s">
        <v>1572</v>
      </c>
      <c r="GN27">
        <f>'SAF - Design'!$P$257</f>
        <v>31.080000000000002</v>
      </c>
      <c r="GO27">
        <f>Index!$C$179</f>
        <v>47.51</v>
      </c>
      <c r="GP27">
        <f>GO27</f>
        <v>47.51</v>
      </c>
      <c r="GQ27">
        <f>GN27*GP27</f>
        <v>1476.6107999999999</v>
      </c>
      <c r="HC27">
        <v>5631.727546687036</v>
      </c>
    </row>
    <row r="28" spans="4:211" x14ac:dyDescent="0.25">
      <c r="K28" t="s">
        <v>145</v>
      </c>
      <c r="L28">
        <v>1910</v>
      </c>
      <c r="X28" t="s">
        <v>145</v>
      </c>
      <c r="Y28">
        <v>1910</v>
      </c>
      <c r="AL28" t="s">
        <v>145</v>
      </c>
      <c r="AM28">
        <v>1910</v>
      </c>
      <c r="AO28" t="s">
        <v>145</v>
      </c>
      <c r="AP28">
        <v>2270</v>
      </c>
      <c r="CS28" t="s">
        <v>14</v>
      </c>
      <c r="CT28">
        <f>'SAF - Design'!$I$259</f>
        <v>5.9759999999999991</v>
      </c>
      <c r="CU28">
        <f>Index!$C$69</f>
        <v>11.9580460758</v>
      </c>
      <c r="CV28">
        <f>CU28</f>
        <v>11.9580460758</v>
      </c>
      <c r="CW28">
        <f>CT28*CV28</f>
        <v>71.461283348980785</v>
      </c>
      <c r="DG28" t="s">
        <v>14</v>
      </c>
      <c r="DH28">
        <f>'SAF - Design'!$J$259</f>
        <v>8.952</v>
      </c>
      <c r="DI28">
        <f>Index!$C$69</f>
        <v>11.9580460758</v>
      </c>
      <c r="DJ28">
        <f>DI28</f>
        <v>11.9580460758</v>
      </c>
      <c r="DK28">
        <f>DH28*DJ28</f>
        <v>107.0484284705616</v>
      </c>
      <c r="DU28" t="s">
        <v>14</v>
      </c>
      <c r="DV28">
        <f>'SAF - Design'!$K$259</f>
        <v>10.68</v>
      </c>
      <c r="DW28">
        <f>Index!$C$69</f>
        <v>11.9580460758</v>
      </c>
      <c r="DX28">
        <f>DW28</f>
        <v>11.9580460758</v>
      </c>
      <c r="DY28">
        <f>DV28*DX28</f>
        <v>127.71193208954401</v>
      </c>
      <c r="EI28" t="s">
        <v>14</v>
      </c>
      <c r="EJ28">
        <f>'SAF - Design'!$L$259</f>
        <v>12.203999999999999</v>
      </c>
      <c r="EK28">
        <f>Index!$C$69</f>
        <v>11.9580460758</v>
      </c>
      <c r="EL28">
        <f>EK28</f>
        <v>11.9580460758</v>
      </c>
      <c r="EM28">
        <f>EJ28*EL28</f>
        <v>145.9359943090632</v>
      </c>
      <c r="EW28" t="s">
        <v>14</v>
      </c>
      <c r="EX28">
        <f>'SAF - Design'!$M$259</f>
        <v>13.511999999999999</v>
      </c>
      <c r="EY28">
        <f>Index!$C$69</f>
        <v>11.9580460758</v>
      </c>
      <c r="EZ28">
        <f>EY28</f>
        <v>11.9580460758</v>
      </c>
      <c r="FA28">
        <f>EX28*EZ28</f>
        <v>161.57711857620959</v>
      </c>
      <c r="FK28" t="s">
        <v>14</v>
      </c>
      <c r="FL28">
        <f>'SAF - Design'!$N$259</f>
        <v>14.676</v>
      </c>
      <c r="FM28">
        <f>Index!$C$69</f>
        <v>11.9580460758</v>
      </c>
      <c r="FN28">
        <f>FM28</f>
        <v>11.9580460758</v>
      </c>
      <c r="FO28">
        <f>FL28*FN28</f>
        <v>175.49628420844081</v>
      </c>
      <c r="FY28" t="s">
        <v>14</v>
      </c>
      <c r="FZ28">
        <f>'SAF - Design'!$O$259</f>
        <v>16.811999999999998</v>
      </c>
      <c r="GA28">
        <f>Index!$C$69</f>
        <v>11.9580460758</v>
      </c>
      <c r="GB28">
        <f>GA28</f>
        <v>11.9580460758</v>
      </c>
      <c r="GC28">
        <f>FZ28*GB28</f>
        <v>201.03867062634959</v>
      </c>
      <c r="GM28" t="s">
        <v>14</v>
      </c>
      <c r="GN28">
        <f>'SAF - Design'!$P$259</f>
        <v>18.648</v>
      </c>
      <c r="GO28">
        <f>Index!$C$69</f>
        <v>11.9580460758</v>
      </c>
      <c r="GP28">
        <f>GO28</f>
        <v>11.9580460758</v>
      </c>
      <c r="GQ28">
        <f>GN28*GP28</f>
        <v>222.9936432215184</v>
      </c>
      <c r="HC28">
        <v>9414.1358495039858</v>
      </c>
    </row>
    <row r="29" spans="4:211" x14ac:dyDescent="0.25">
      <c r="CS29" t="s">
        <v>100</v>
      </c>
      <c r="CT29">
        <f>'SAF - Design'!$I$261</f>
        <v>1.9919999999999995</v>
      </c>
      <c r="CU29">
        <f>Index!$C$53</f>
        <v>99.508928571428555</v>
      </c>
      <c r="CV29">
        <f>CU29</f>
        <v>99.508928571428555</v>
      </c>
      <c r="CW29">
        <f>CT29*CV29</f>
        <v>198.22178571428563</v>
      </c>
      <c r="DG29" t="s">
        <v>100</v>
      </c>
      <c r="DH29">
        <f>'SAF - Design'!$J$261</f>
        <v>2.238</v>
      </c>
      <c r="DI29">
        <f>Index!$C$53</f>
        <v>99.508928571428555</v>
      </c>
      <c r="DJ29">
        <f>DI29</f>
        <v>99.508928571428555</v>
      </c>
      <c r="DK29">
        <f>DH29*DJ29</f>
        <v>222.7009821428571</v>
      </c>
      <c r="DU29" t="s">
        <v>100</v>
      </c>
      <c r="DV29">
        <f>'SAF - Design'!$K$261</f>
        <v>2.67</v>
      </c>
      <c r="DW29">
        <f>Index!$C$53</f>
        <v>99.508928571428555</v>
      </c>
      <c r="DX29">
        <f>DW29</f>
        <v>99.508928571428555</v>
      </c>
      <c r="DY29">
        <f>DV29*DX29</f>
        <v>265.68883928571421</v>
      </c>
      <c r="EI29" t="s">
        <v>100</v>
      </c>
      <c r="EJ29">
        <f>'SAF - Design'!$L$261</f>
        <v>3.0509999999999997</v>
      </c>
      <c r="EK29">
        <f>Index!$C$53</f>
        <v>99.508928571428555</v>
      </c>
      <c r="EL29">
        <f>EK29</f>
        <v>99.508928571428555</v>
      </c>
      <c r="EM29">
        <f>EJ29*EL29</f>
        <v>303.60174107142848</v>
      </c>
      <c r="EW29" t="s">
        <v>100</v>
      </c>
      <c r="EX29">
        <f>'SAF - Design'!$M$261</f>
        <v>3.3779999999999997</v>
      </c>
      <c r="EY29">
        <f>Index!$C$53</f>
        <v>99.508928571428555</v>
      </c>
      <c r="EZ29">
        <f>EY29</f>
        <v>99.508928571428555</v>
      </c>
      <c r="FA29">
        <f>EX29*EZ29</f>
        <v>336.1411607142856</v>
      </c>
      <c r="FK29" t="s">
        <v>100</v>
      </c>
      <c r="FL29">
        <f>'SAF - Design'!$N$261</f>
        <v>3.669</v>
      </c>
      <c r="FM29">
        <f>Index!$C$53</f>
        <v>99.508928571428555</v>
      </c>
      <c r="FN29">
        <f>FM29</f>
        <v>99.508928571428555</v>
      </c>
      <c r="FO29">
        <f>FL29*FN29</f>
        <v>365.0982589285714</v>
      </c>
      <c r="FY29" t="s">
        <v>100</v>
      </c>
      <c r="FZ29">
        <f>'SAF - Design'!$O$261</f>
        <v>4.2029999999999994</v>
      </c>
      <c r="GA29">
        <f>Index!$C$53</f>
        <v>99.508928571428555</v>
      </c>
      <c r="GB29">
        <f>GA29</f>
        <v>99.508928571428555</v>
      </c>
      <c r="GC29">
        <f>FZ29*GB29</f>
        <v>418.23602678571416</v>
      </c>
      <c r="GM29" t="s">
        <v>100</v>
      </c>
      <c r="GN29">
        <f>'SAF - Design'!$P$261</f>
        <v>4.6619999999999999</v>
      </c>
      <c r="GO29">
        <f>Index!$C$53</f>
        <v>99.508928571428555</v>
      </c>
      <c r="GP29">
        <f>GO29</f>
        <v>99.508928571428555</v>
      </c>
      <c r="GQ29">
        <f>GN29*GP29</f>
        <v>463.91062499999992</v>
      </c>
      <c r="HC29">
        <v>11147.893550054849</v>
      </c>
    </row>
    <row r="30" spans="4:211" x14ac:dyDescent="0.25">
      <c r="K30" t="s">
        <v>67</v>
      </c>
      <c r="L30">
        <v>250</v>
      </c>
      <c r="M30" t="s">
        <v>64</v>
      </c>
      <c r="X30" t="s">
        <v>67</v>
      </c>
      <c r="Y30">
        <v>250</v>
      </c>
      <c r="Z30" t="s">
        <v>64</v>
      </c>
      <c r="AL30" t="s">
        <v>67</v>
      </c>
      <c r="AM30">
        <v>250</v>
      </c>
      <c r="AN30" t="s">
        <v>64</v>
      </c>
      <c r="AO30" t="s">
        <v>67</v>
      </c>
      <c r="AP30">
        <v>250</v>
      </c>
      <c r="AQ30" s="18" t="s">
        <v>64</v>
      </c>
      <c r="CO30">
        <f>Pumping!K11</f>
        <v>65040.546823070064</v>
      </c>
      <c r="HC30">
        <v>14890.228116863669</v>
      </c>
    </row>
    <row r="31" spans="4:211" x14ac:dyDescent="0.25">
      <c r="K31" t="s">
        <v>462</v>
      </c>
      <c r="L31">
        <v>300</v>
      </c>
      <c r="M31" t="s">
        <v>64</v>
      </c>
      <c r="X31" t="s">
        <v>462</v>
      </c>
      <c r="Y31">
        <v>300</v>
      </c>
      <c r="Z31" t="s">
        <v>64</v>
      </c>
      <c r="AL31" t="s">
        <v>462</v>
      </c>
      <c r="AM31">
        <v>300</v>
      </c>
      <c r="AN31" t="s">
        <v>64</v>
      </c>
      <c r="CO31">
        <f>Pumping!K12</f>
        <v>87842.246190886566</v>
      </c>
      <c r="CS31" s="3" t="s">
        <v>58</v>
      </c>
      <c r="CT31" s="3"/>
      <c r="CU31" s="3"/>
      <c r="CV31" s="3"/>
      <c r="CW31" s="3">
        <f>SUM(CW27:CW29)</f>
        <v>900.61586906326625</v>
      </c>
      <c r="DG31" s="3" t="s">
        <v>58</v>
      </c>
      <c r="DH31" s="3"/>
      <c r="DI31" s="3"/>
      <c r="DJ31" s="3"/>
      <c r="DK31" s="3">
        <f>SUM(DK27:DK29)</f>
        <v>1038.5986106134187</v>
      </c>
      <c r="DU31" s="3" t="s">
        <v>58</v>
      </c>
      <c r="DV31" s="3"/>
      <c r="DW31" s="3"/>
      <c r="DX31" s="3"/>
      <c r="DY31" s="3">
        <f>SUM(DY27:DY29)</f>
        <v>1239.0787713752582</v>
      </c>
      <c r="EI31" s="3" t="s">
        <v>58</v>
      </c>
      <c r="EJ31" s="3"/>
      <c r="EK31" s="3"/>
      <c r="EL31" s="3"/>
      <c r="EM31" s="3">
        <f>SUM(EM27:EM29)</f>
        <v>1415.8911353804917</v>
      </c>
      <c r="EW31" s="3" t="s">
        <v>58</v>
      </c>
      <c r="EX31" s="3"/>
      <c r="EY31" s="3"/>
      <c r="EZ31" s="3"/>
      <c r="FA31" s="3">
        <f>SUM(FA27:FA29)</f>
        <v>1567.6434792904952</v>
      </c>
      <c r="FK31" s="3" t="s">
        <v>58</v>
      </c>
      <c r="FL31" s="3"/>
      <c r="FM31" s="3"/>
      <c r="FN31" s="3"/>
      <c r="FO31" s="3">
        <f>SUM(FO27:FO29)</f>
        <v>1702.689143137012</v>
      </c>
      <c r="FY31" s="3" t="s">
        <v>58</v>
      </c>
      <c r="FZ31" s="3"/>
      <c r="GA31" s="3"/>
      <c r="GB31" s="3"/>
      <c r="GC31" s="3">
        <f>SUM(GC27:GC29)</f>
        <v>1950.5048974120637</v>
      </c>
      <c r="GM31" s="3" t="s">
        <v>58</v>
      </c>
      <c r="GN31" s="3"/>
      <c r="GO31" s="3"/>
      <c r="GP31" s="3"/>
      <c r="GQ31" s="3">
        <f>SUM(GQ27:GQ29)</f>
        <v>2163.515068221518</v>
      </c>
      <c r="HC31">
        <v>32520.273411535032</v>
      </c>
    </row>
    <row r="32" spans="4:211" x14ac:dyDescent="0.25">
      <c r="CO32">
        <f>Pumping!K13</f>
        <v>131486.16928632985</v>
      </c>
      <c r="HC32">
        <v>44198.323095443287</v>
      </c>
    </row>
    <row r="33" spans="1:206" x14ac:dyDescent="0.25">
      <c r="K33" t="s">
        <v>125</v>
      </c>
      <c r="L33">
        <f>((L26+L30*2)*(L27+L30*2)*(L28+L31))/10^9</f>
        <v>17.025839999999999</v>
      </c>
      <c r="M33" t="s">
        <v>71</v>
      </c>
      <c r="X33" t="s">
        <v>125</v>
      </c>
      <c r="Y33">
        <f>((Y26+Y30*2)*(Y27+Y30*2)*(Y28+Y31))/10^9</f>
        <v>28.849340000000002</v>
      </c>
      <c r="Z33" t="s">
        <v>71</v>
      </c>
      <c r="AL33" t="s">
        <v>125</v>
      </c>
      <c r="AM33">
        <f>((AM26+AM30*2)*(AM27+AM30*2)*(AM28+AM31))/10^9</f>
        <v>19.390540000000001</v>
      </c>
      <c r="AN33" t="s">
        <v>71</v>
      </c>
      <c r="AO33" t="s">
        <v>483</v>
      </c>
      <c r="AP33">
        <f>((AP26+AP30*2)*(AP27+AP30*2-100)*(AP28+AM31+100))/10^9</f>
        <v>33.225479999999997</v>
      </c>
      <c r="AQ33" s="18" t="s">
        <v>71</v>
      </c>
      <c r="CO33">
        <f>Pumping!K14</f>
        <v>175130.09238177314</v>
      </c>
      <c r="CS33" t="s">
        <v>128</v>
      </c>
      <c r="CZ33" t="s">
        <v>129</v>
      </c>
      <c r="DG33" t="s">
        <v>128</v>
      </c>
      <c r="DN33" t="s">
        <v>129</v>
      </c>
      <c r="DU33" t="s">
        <v>128</v>
      </c>
      <c r="EB33" t="s">
        <v>129</v>
      </c>
      <c r="EI33" t="s">
        <v>128</v>
      </c>
      <c r="EP33" t="s">
        <v>129</v>
      </c>
      <c r="EW33" t="s">
        <v>128</v>
      </c>
      <c r="FD33" t="s">
        <v>129</v>
      </c>
      <c r="FK33" t="s">
        <v>128</v>
      </c>
      <c r="FR33" t="s">
        <v>129</v>
      </c>
      <c r="FY33" t="s">
        <v>128</v>
      </c>
      <c r="GF33" t="s">
        <v>129</v>
      </c>
      <c r="GM33" t="s">
        <v>128</v>
      </c>
      <c r="GT33" t="s">
        <v>129</v>
      </c>
    </row>
    <row r="34" spans="1:206" x14ac:dyDescent="0.25">
      <c r="AO34" t="s">
        <v>125</v>
      </c>
      <c r="AP34">
        <f>AP33+AM33</f>
        <v>52.616019999999999</v>
      </c>
      <c r="CO34">
        <f>Pumping!K15</f>
        <v>218820.81547721644</v>
      </c>
      <c r="CS34" t="s">
        <v>1562</v>
      </c>
      <c r="DG34" t="s">
        <v>1562</v>
      </c>
      <c r="DU34" t="s">
        <v>1562</v>
      </c>
      <c r="EI34" t="s">
        <v>1562</v>
      </c>
      <c r="EW34" t="s">
        <v>1562</v>
      </c>
      <c r="FK34" t="s">
        <v>1562</v>
      </c>
      <c r="FY34" t="s">
        <v>1562</v>
      </c>
      <c r="GM34" t="s">
        <v>1562</v>
      </c>
    </row>
    <row r="35" spans="1:206" x14ac:dyDescent="0.25">
      <c r="K35" t="s">
        <v>179</v>
      </c>
      <c r="X35" t="s">
        <v>179</v>
      </c>
      <c r="AL35" t="s">
        <v>179</v>
      </c>
      <c r="CO35">
        <f>Pumping!K16</f>
        <v>262521.11857265973</v>
      </c>
      <c r="CT35" t="s">
        <v>2</v>
      </c>
      <c r="CU35" t="s">
        <v>81</v>
      </c>
      <c r="CV35" t="s">
        <v>82</v>
      </c>
      <c r="CW35" t="s">
        <v>59</v>
      </c>
      <c r="DA35" t="s">
        <v>2</v>
      </c>
      <c r="DH35" t="s">
        <v>2</v>
      </c>
      <c r="DI35" t="s">
        <v>81</v>
      </c>
      <c r="DJ35" t="s">
        <v>82</v>
      </c>
      <c r="DK35" t="s">
        <v>59</v>
      </c>
      <c r="DO35" t="s">
        <v>2</v>
      </c>
      <c r="DV35" t="s">
        <v>2</v>
      </c>
      <c r="DW35" t="s">
        <v>81</v>
      </c>
      <c r="DX35" t="s">
        <v>82</v>
      </c>
      <c r="DY35" t="s">
        <v>59</v>
      </c>
      <c r="EC35" t="s">
        <v>2</v>
      </c>
      <c r="EJ35" t="s">
        <v>2</v>
      </c>
      <c r="EK35" t="s">
        <v>81</v>
      </c>
      <c r="EL35" t="s">
        <v>82</v>
      </c>
      <c r="EM35" t="s">
        <v>59</v>
      </c>
      <c r="EQ35" t="s">
        <v>2</v>
      </c>
      <c r="EX35" t="s">
        <v>2</v>
      </c>
      <c r="EY35" t="s">
        <v>81</v>
      </c>
      <c r="EZ35" t="s">
        <v>82</v>
      </c>
      <c r="FA35" t="s">
        <v>59</v>
      </c>
      <c r="FE35" t="s">
        <v>2</v>
      </c>
      <c r="FL35" t="s">
        <v>2</v>
      </c>
      <c r="FM35" t="s">
        <v>81</v>
      </c>
      <c r="FN35" t="s">
        <v>82</v>
      </c>
      <c r="FO35" t="s">
        <v>59</v>
      </c>
      <c r="FS35" t="s">
        <v>2</v>
      </c>
      <c r="FZ35" t="s">
        <v>2</v>
      </c>
      <c r="GA35" t="s">
        <v>81</v>
      </c>
      <c r="GB35" t="s">
        <v>82</v>
      </c>
      <c r="GC35" t="s">
        <v>59</v>
      </c>
      <c r="GG35" t="s">
        <v>2</v>
      </c>
      <c r="GN35" t="s">
        <v>2</v>
      </c>
      <c r="GO35" t="s">
        <v>81</v>
      </c>
      <c r="GP35" t="s">
        <v>82</v>
      </c>
      <c r="GQ35" t="s">
        <v>59</v>
      </c>
      <c r="GU35" t="s">
        <v>2</v>
      </c>
    </row>
    <row r="36" spans="1:206" x14ac:dyDescent="0.25">
      <c r="K36" t="s">
        <v>455</v>
      </c>
      <c r="L36">
        <f>(L26+L30)*(L27+L30)*(50+100)/10^9</f>
        <v>0.94972500000000004</v>
      </c>
      <c r="M36" t="s">
        <v>71</v>
      </c>
      <c r="X36" t="s">
        <v>455</v>
      </c>
      <c r="Y36">
        <f>(Y26+Y30)*(Y27+Y30)*(50+100)/10^9</f>
        <v>1.6584749999999999</v>
      </c>
      <c r="Z36" t="s">
        <v>71</v>
      </c>
      <c r="AL36" t="s">
        <v>455</v>
      </c>
      <c r="AM36">
        <f>(AM26+AM30+AP26)*(AM27+AM30+AP27)*(50+100)/10^9</f>
        <v>5.0037750000000001</v>
      </c>
      <c r="AN36" t="s">
        <v>71</v>
      </c>
      <c r="CO36">
        <f>Pumping!K17</f>
        <v>349898.9647635463</v>
      </c>
      <c r="CS36" t="s">
        <v>1158</v>
      </c>
      <c r="CT36">
        <v>1</v>
      </c>
      <c r="CU36">
        <f>'SAF - Design'!$I$273</f>
        <v>6707.8</v>
      </c>
      <c r="CV36">
        <f>CU36</f>
        <v>6707.8</v>
      </c>
      <c r="CW36">
        <f>CT36*CV36</f>
        <v>6707.8</v>
      </c>
      <c r="CZ36" t="s">
        <v>1158</v>
      </c>
      <c r="DA36">
        <v>1</v>
      </c>
      <c r="DB36">
        <f>'SAF - Design'!$T$282</f>
        <v>5944.8</v>
      </c>
      <c r="DC36">
        <f>DB36</f>
        <v>5944.8</v>
      </c>
      <c r="DD36">
        <f>DA36*DC36</f>
        <v>5944.8</v>
      </c>
      <c r="DG36" t="s">
        <v>1158</v>
      </c>
      <c r="DH36">
        <v>1</v>
      </c>
      <c r="DI36">
        <f>'SAF - Design'!$J$273</f>
        <v>7378.8</v>
      </c>
      <c r="DJ36">
        <f>DI36</f>
        <v>7378.8</v>
      </c>
      <c r="DK36">
        <f>DH36*DJ36</f>
        <v>7378.8</v>
      </c>
      <c r="DN36" t="s">
        <v>1158</v>
      </c>
      <c r="DO36">
        <v>1</v>
      </c>
      <c r="DP36">
        <f>'SAF - Design'!$U$282</f>
        <v>7378.8</v>
      </c>
      <c r="DQ36">
        <f>DP36</f>
        <v>7378.8</v>
      </c>
      <c r="DR36">
        <f>DO36*DQ36</f>
        <v>7378.8</v>
      </c>
      <c r="DU36" t="s">
        <v>1158</v>
      </c>
      <c r="DV36">
        <v>1</v>
      </c>
      <c r="DW36">
        <f>'SAF - Design'!$K$273</f>
        <v>9604.7999999999993</v>
      </c>
      <c r="DX36">
        <f>DW36</f>
        <v>9604.7999999999993</v>
      </c>
      <c r="DY36">
        <f>DV36*DX36</f>
        <v>9604.7999999999993</v>
      </c>
      <c r="EB36" t="s">
        <v>1158</v>
      </c>
      <c r="EC36">
        <v>1</v>
      </c>
      <c r="ED36">
        <f>'SAF - Design'!$V$282</f>
        <v>9604.7999999999993</v>
      </c>
      <c r="EE36">
        <f>ED36</f>
        <v>9604.7999999999993</v>
      </c>
      <c r="EF36">
        <f>EC36*EE36</f>
        <v>9604.7999999999993</v>
      </c>
      <c r="EI36" t="s">
        <v>1158</v>
      </c>
      <c r="EJ36">
        <v>1</v>
      </c>
      <c r="EK36">
        <f>'SAF - Design'!$L$273</f>
        <v>13814.399999999998</v>
      </c>
      <c r="EL36">
        <f>EK36</f>
        <v>13814.399999999998</v>
      </c>
      <c r="EM36">
        <f>EJ36*EL36</f>
        <v>13814.399999999998</v>
      </c>
      <c r="EP36" t="s">
        <v>1158</v>
      </c>
      <c r="EQ36">
        <v>1</v>
      </c>
      <c r="ER36">
        <f>'SAF - Design'!$W$282</f>
        <v>11133.599999999999</v>
      </c>
      <c r="ES36">
        <f>ER36</f>
        <v>11133.599999999999</v>
      </c>
      <c r="ET36">
        <f>EQ36*ES36</f>
        <v>11133.599999999999</v>
      </c>
      <c r="EW36" t="s">
        <v>1158</v>
      </c>
      <c r="EX36">
        <v>1</v>
      </c>
      <c r="EY36">
        <f>'SAF - Design'!$M$273</f>
        <v>13955.800000000001</v>
      </c>
      <c r="EZ36">
        <f>EY36</f>
        <v>13955.800000000001</v>
      </c>
      <c r="FA36">
        <f>EX36*EZ36</f>
        <v>13955.800000000001</v>
      </c>
      <c r="FD36" t="s">
        <v>1158</v>
      </c>
      <c r="FE36">
        <v>1</v>
      </c>
      <c r="FF36">
        <f>'SAF - Design'!$X$282</f>
        <v>13955.800000000001</v>
      </c>
      <c r="FG36">
        <f>FF36</f>
        <v>13955.800000000001</v>
      </c>
      <c r="FH36">
        <f>FE36*FG36</f>
        <v>13955.800000000001</v>
      </c>
      <c r="FK36" t="s">
        <v>1158</v>
      </c>
      <c r="FL36">
        <v>1</v>
      </c>
      <c r="FM36">
        <f>'SAF - Design'!$N$273</f>
        <v>20551</v>
      </c>
      <c r="FN36">
        <f>FM36</f>
        <v>20551</v>
      </c>
      <c r="FO36">
        <f>FL36*FN36</f>
        <v>20551</v>
      </c>
      <c r="FR36" t="s">
        <v>1158</v>
      </c>
      <c r="FS36">
        <v>1</v>
      </c>
      <c r="FT36">
        <f>'SAF - Design'!$Y$282</f>
        <v>16521.599999999999</v>
      </c>
      <c r="FU36">
        <f>FT36</f>
        <v>16521.599999999999</v>
      </c>
      <c r="FV36">
        <f>FS36*FU36</f>
        <v>16521.599999999999</v>
      </c>
      <c r="FY36" t="s">
        <v>1158</v>
      </c>
      <c r="FZ36">
        <v>1</v>
      </c>
      <c r="GA36">
        <f>'SAF - Design'!$O$282</f>
        <v>22447.199999999997</v>
      </c>
      <c r="GB36">
        <f>GA36</f>
        <v>22447.199999999997</v>
      </c>
      <c r="GC36">
        <f>FZ36*GB36</f>
        <v>22447.199999999997</v>
      </c>
      <c r="GF36" t="s">
        <v>1158</v>
      </c>
      <c r="GG36">
        <v>1</v>
      </c>
      <c r="GH36">
        <f>'SAF - Design'!$Z$282</f>
        <v>22447.199999999997</v>
      </c>
      <c r="GI36">
        <f>GH36</f>
        <v>22447.199999999997</v>
      </c>
      <c r="GJ36">
        <f>GG36*GI36</f>
        <v>22447.199999999997</v>
      </c>
      <c r="GM36" t="s">
        <v>1158</v>
      </c>
      <c r="GN36">
        <v>1</v>
      </c>
      <c r="GO36">
        <f>'SAF - Design'!$P$282</f>
        <v>27911.600000000002</v>
      </c>
      <c r="GP36">
        <f>GO36</f>
        <v>27911.600000000002</v>
      </c>
      <c r="GQ36">
        <f>GN36*GP36</f>
        <v>27911.600000000002</v>
      </c>
      <c r="GT36" t="s">
        <v>1158</v>
      </c>
      <c r="GU36">
        <v>1</v>
      </c>
      <c r="GV36">
        <f>'SAF - Design'!$Z$282</f>
        <v>22447.199999999997</v>
      </c>
      <c r="GW36">
        <f>GV36</f>
        <v>22447.199999999997</v>
      </c>
      <c r="GX36">
        <f>GU36*GW36</f>
        <v>22447.199999999997</v>
      </c>
    </row>
    <row r="37" spans="1:206" x14ac:dyDescent="0.25">
      <c r="CO37">
        <f>Pumping!K18</f>
        <v>437228.95095443283</v>
      </c>
      <c r="CS37" t="s">
        <v>14</v>
      </c>
      <c r="CT37">
        <f>'SAF - Design'!$I$299</f>
        <v>75.996800000000007</v>
      </c>
      <c r="CU37">
        <f>Index!$C$69</f>
        <v>11.9580460758</v>
      </c>
      <c r="CV37">
        <f t="shared" ref="CV37:CV38" si="16">CU37</f>
        <v>11.9580460758</v>
      </c>
      <c r="CW37">
        <f>CT37*CV37</f>
        <v>908.77323601335752</v>
      </c>
      <c r="CZ37" t="s">
        <v>14</v>
      </c>
      <c r="DA37">
        <f>'SAF - Design'!$T$299</f>
        <v>60.753800000000005</v>
      </c>
      <c r="DC37">
        <f t="shared" ref="DC37:DC38" si="17">CV37</f>
        <v>11.9580460758</v>
      </c>
      <c r="DD37">
        <f>DA37*DC37</f>
        <v>726.49673967993817</v>
      </c>
      <c r="DG37" t="s">
        <v>14</v>
      </c>
      <c r="DH37">
        <f>'SAF - Design'!$J$299</f>
        <v>79.692634800000008</v>
      </c>
      <c r="DI37">
        <f>Index!$C$69</f>
        <v>11.9580460758</v>
      </c>
      <c r="DJ37">
        <f t="shared" ref="DJ37:DJ38" si="18">DI37</f>
        <v>11.9580460758</v>
      </c>
      <c r="DK37">
        <f>DH37*DJ37</f>
        <v>952.96819884030265</v>
      </c>
      <c r="DN37" t="s">
        <v>14</v>
      </c>
      <c r="DO37">
        <f>'SAF - Design'!$U$299</f>
        <v>79.692634800000008</v>
      </c>
      <c r="DQ37">
        <f t="shared" ref="DQ37:DQ38" si="19">DJ37</f>
        <v>11.9580460758</v>
      </c>
      <c r="DR37">
        <f>DO37*DQ37</f>
        <v>952.96819884030265</v>
      </c>
      <c r="DU37" t="s">
        <v>14</v>
      </c>
      <c r="DV37">
        <f>'SAF - Design'!$K$299</f>
        <v>108.32850000000001</v>
      </c>
      <c r="DW37">
        <f>Index!$C$69</f>
        <v>11.9580460758</v>
      </c>
      <c r="DX37">
        <f t="shared" ref="DX37:DX38" si="20">DW37</f>
        <v>11.9580460758</v>
      </c>
      <c r="DY37">
        <f>DV37*DX37</f>
        <v>1295.3971943223005</v>
      </c>
      <c r="EB37" t="s">
        <v>14</v>
      </c>
      <c r="EC37">
        <f>'SAF - Design'!$V$299</f>
        <v>108.32850000000001</v>
      </c>
      <c r="EE37">
        <f t="shared" ref="EE37:EE38" si="21">DX37</f>
        <v>11.9580460758</v>
      </c>
      <c r="EF37">
        <f>EC37*EE37</f>
        <v>1295.3971943223005</v>
      </c>
      <c r="EI37" t="s">
        <v>14</v>
      </c>
      <c r="EJ37">
        <f>'SAF - Design'!$L$299</f>
        <v>172.57856000000001</v>
      </c>
      <c r="EK37">
        <f>Index!$C$69</f>
        <v>11.9580460758</v>
      </c>
      <c r="EL37">
        <f t="shared" ref="EL37:EL38" si="22">EK37</f>
        <v>11.9580460758</v>
      </c>
      <c r="EM37">
        <f>EJ37*EL37</f>
        <v>2063.7023721752153</v>
      </c>
      <c r="EP37" t="s">
        <v>14</v>
      </c>
      <c r="EQ37">
        <f>'SAF - Design'!$W$299</f>
        <v>142.80956</v>
      </c>
      <c r="ES37">
        <f t="shared" ref="ES37:ES38" si="23">EL37</f>
        <v>11.9580460758</v>
      </c>
      <c r="ET37">
        <f>EQ37*ES37</f>
        <v>1707.7232985447247</v>
      </c>
      <c r="EW37" t="s">
        <v>14</v>
      </c>
      <c r="EX37">
        <f>'SAF - Design'!$M$299</f>
        <v>155.88161640000001</v>
      </c>
      <c r="EY37">
        <f>Index!$C$69</f>
        <v>11.9580460758</v>
      </c>
      <c r="EZ37">
        <f t="shared" ref="EZ37:EZ38" si="24">EY37</f>
        <v>11.9580460758</v>
      </c>
      <c r="FA37">
        <f>EX37*EZ37</f>
        <v>1864.0395512813811</v>
      </c>
      <c r="FD37" t="s">
        <v>14</v>
      </c>
      <c r="FE37">
        <f>'SAF - Design'!$X$299</f>
        <v>155.88161640000001</v>
      </c>
      <c r="FG37">
        <f t="shared" ref="FG37:FG38" si="25">EZ37</f>
        <v>11.9580460758</v>
      </c>
      <c r="FH37">
        <f>FE37*FG37</f>
        <v>1864.0395512813811</v>
      </c>
      <c r="FK37" t="s">
        <v>14</v>
      </c>
      <c r="FL37">
        <f>'SAF - Design'!$N$299</f>
        <v>233.52560000000003</v>
      </c>
      <c r="FM37">
        <f>Index!$C$69</f>
        <v>11.9580460758</v>
      </c>
      <c r="FN37">
        <f t="shared" ref="FN37:FN38" si="26">FM37</f>
        <v>11.9580460758</v>
      </c>
      <c r="FO37">
        <f>FL37*FN37</f>
        <v>2792.509884678841</v>
      </c>
      <c r="FR37" t="s">
        <v>14</v>
      </c>
      <c r="FS37">
        <f>'SAF - Design'!$Y$299</f>
        <v>194.59010000000001</v>
      </c>
      <c r="FU37">
        <f t="shared" ref="FU37:FU38" si="27">FN37</f>
        <v>11.9580460758</v>
      </c>
      <c r="FV37">
        <f>FS37*FU37</f>
        <v>2326.9173816945299</v>
      </c>
      <c r="FY37" t="s">
        <v>14</v>
      </c>
      <c r="FZ37">
        <f>'SAF - Design'!$O$299</f>
        <v>254.6400672</v>
      </c>
      <c r="GA37">
        <f>Index!$C$69</f>
        <v>11.9580460758</v>
      </c>
      <c r="GB37">
        <f t="shared" ref="GB37:GB38" si="28">GA37</f>
        <v>11.9580460758</v>
      </c>
      <c r="GC37">
        <f>FZ37*GB37</f>
        <v>3044.9976563224086</v>
      </c>
      <c r="GF37" t="s">
        <v>14</v>
      </c>
      <c r="GG37">
        <f>'SAF - Design'!$Z$299</f>
        <v>254.6400672</v>
      </c>
      <c r="GI37">
        <f t="shared" ref="GI37:GI38" si="29">GB37</f>
        <v>11.9580460758</v>
      </c>
      <c r="GJ37">
        <f>GG37*GI37</f>
        <v>3044.9976563224086</v>
      </c>
      <c r="GM37" t="s">
        <v>14</v>
      </c>
      <c r="GN37">
        <f>'SAF - Design'!$P$299</f>
        <v>311.76323280000003</v>
      </c>
      <c r="GO37">
        <f>Index!$C$69</f>
        <v>11.9580460758</v>
      </c>
      <c r="GP37">
        <f t="shared" ref="GP37:GP38" si="30">GO37</f>
        <v>11.9580460758</v>
      </c>
      <c r="GQ37">
        <f>GN37*GP37</f>
        <v>3728.0791025627623</v>
      </c>
      <c r="GT37" t="s">
        <v>14</v>
      </c>
      <c r="GU37">
        <f>'SAF - Design'!$P$299</f>
        <v>311.76323280000003</v>
      </c>
      <c r="GW37">
        <f t="shared" ref="GW37:GW38" si="31">GP37</f>
        <v>11.9580460758</v>
      </c>
      <c r="GX37">
        <f>GU37*GW37</f>
        <v>3728.0791025627623</v>
      </c>
    </row>
    <row r="38" spans="1:206" x14ac:dyDescent="0.25">
      <c r="K38" t="s">
        <v>461</v>
      </c>
      <c r="L38">
        <f>(L22/250)*300</f>
        <v>11.980368000000002</v>
      </c>
      <c r="X38" t="s">
        <v>461</v>
      </c>
      <c r="Y38">
        <f>(Y22/250)*300</f>
        <v>19.352567999999998</v>
      </c>
      <c r="AL38" t="s">
        <v>461</v>
      </c>
      <c r="AM38">
        <f>(AM22/250)*300</f>
        <v>46.328293285714281</v>
      </c>
      <c r="CS38" t="s">
        <v>179</v>
      </c>
      <c r="CT38">
        <f>'SAF - Design'!$I$301</f>
        <v>57.996800000000007</v>
      </c>
      <c r="CU38">
        <f>Index!$C$36</f>
        <v>36.718627421191144</v>
      </c>
      <c r="CV38">
        <f t="shared" si="16"/>
        <v>36.718627421191144</v>
      </c>
      <c r="CW38">
        <f>CT38*CV38</f>
        <v>2129.5628908213389</v>
      </c>
      <c r="CZ38" t="s">
        <v>179</v>
      </c>
      <c r="DA38">
        <f>'SAF - Design'!$T$301</f>
        <v>42.753800000000005</v>
      </c>
      <c r="DC38">
        <f t="shared" si="17"/>
        <v>36.718627421191144</v>
      </c>
      <c r="DD38">
        <f>DA38*DC38</f>
        <v>1569.860853040122</v>
      </c>
      <c r="DG38" t="s">
        <v>179</v>
      </c>
      <c r="DH38">
        <f>'SAF - Design'!$J$301</f>
        <v>53.692634800000008</v>
      </c>
      <c r="DI38">
        <f>Index!$C$36</f>
        <v>36.718627421191144</v>
      </c>
      <c r="DJ38">
        <f t="shared" si="18"/>
        <v>36.718627421191144</v>
      </c>
      <c r="DK38">
        <f>DH38*DJ38</f>
        <v>1971.5198524832822</v>
      </c>
      <c r="DN38" t="s">
        <v>179</v>
      </c>
      <c r="DO38">
        <f>'SAF - Design'!$U$301</f>
        <v>53.692634800000008</v>
      </c>
      <c r="DQ38">
        <f t="shared" si="19"/>
        <v>36.718627421191144</v>
      </c>
      <c r="DR38">
        <f>DO38*DQ38</f>
        <v>1971.5198524832822</v>
      </c>
      <c r="DU38" t="s">
        <v>179</v>
      </c>
      <c r="DV38">
        <f>'SAF - Design'!$K$301</f>
        <v>70.328500000000005</v>
      </c>
      <c r="DW38">
        <f>Index!$C$36</f>
        <v>36.718627421191144</v>
      </c>
      <c r="DX38">
        <f t="shared" si="20"/>
        <v>36.718627421191144</v>
      </c>
      <c r="DY38">
        <f>DV38*DX38</f>
        <v>2582.3659885912416</v>
      </c>
      <c r="EB38" t="s">
        <v>179</v>
      </c>
      <c r="EC38">
        <f>'SAF - Design'!$V$301</f>
        <v>70.328500000000005</v>
      </c>
      <c r="EE38">
        <f t="shared" si="21"/>
        <v>36.718627421191144</v>
      </c>
      <c r="EF38">
        <f>EC38*EE38</f>
        <v>2582.3659885912416</v>
      </c>
      <c r="EI38" t="s">
        <v>179</v>
      </c>
      <c r="EJ38">
        <f>'SAF - Design'!$L$301</f>
        <v>122.57856000000001</v>
      </c>
      <c r="EK38">
        <f>Index!$C$36</f>
        <v>36.718627421191144</v>
      </c>
      <c r="EL38">
        <f t="shared" si="22"/>
        <v>36.718627421191144</v>
      </c>
      <c r="EM38">
        <f>EJ38*EL38</f>
        <v>4500.9164744661239</v>
      </c>
      <c r="EP38" t="s">
        <v>179</v>
      </c>
      <c r="EQ38">
        <f>'SAF - Design'!$W$301</f>
        <v>92.809560000000005</v>
      </c>
      <c r="ES38">
        <f t="shared" si="23"/>
        <v>36.718627421191144</v>
      </c>
      <c r="ET38">
        <f>EQ38*ES38</f>
        <v>3407.8396547646848</v>
      </c>
      <c r="EW38" t="s">
        <v>179</v>
      </c>
      <c r="EX38">
        <f>'SAF - Design'!$M$301</f>
        <v>96.881616400000013</v>
      </c>
      <c r="EY38">
        <f>Index!$C$36</f>
        <v>36.718627421191144</v>
      </c>
      <c r="EZ38">
        <f t="shared" si="24"/>
        <v>36.718627421191144</v>
      </c>
      <c r="FA38">
        <f>EX38*EZ38</f>
        <v>3557.3599765543622</v>
      </c>
      <c r="FD38" t="s">
        <v>179</v>
      </c>
      <c r="FE38">
        <f>'SAF - Design'!$X$301</f>
        <v>96.881616400000013</v>
      </c>
      <c r="FG38">
        <f t="shared" si="25"/>
        <v>36.718627421191144</v>
      </c>
      <c r="FH38">
        <f>FE38*FG38</f>
        <v>3557.3599765543622</v>
      </c>
      <c r="FK38" t="s">
        <v>179</v>
      </c>
      <c r="FL38">
        <f>'SAF - Design'!$N$301</f>
        <v>163.52560000000003</v>
      </c>
      <c r="FM38">
        <f>Index!$C$36</f>
        <v>36.718627421191144</v>
      </c>
      <c r="FN38">
        <f t="shared" si="26"/>
        <v>36.718627421191144</v>
      </c>
      <c r="FO38">
        <f>FL38*FN38</f>
        <v>6004.4355802267355</v>
      </c>
      <c r="FR38" t="s">
        <v>179</v>
      </c>
      <c r="FS38">
        <f>'SAF - Design'!$Y$301</f>
        <v>124.59010000000001</v>
      </c>
      <c r="FU38">
        <f t="shared" si="27"/>
        <v>36.718627421191144</v>
      </c>
      <c r="FV38">
        <f>FS38*FU38</f>
        <v>4574.7774622689467</v>
      </c>
      <c r="FY38" t="s">
        <v>179</v>
      </c>
      <c r="FZ38">
        <f>'SAF - Design'!$O$301</f>
        <v>162.6400672</v>
      </c>
      <c r="GA38">
        <f>Index!$C$36</f>
        <v>36.718627421191144</v>
      </c>
      <c r="GB38">
        <f t="shared" si="28"/>
        <v>36.718627421191144</v>
      </c>
      <c r="GC38">
        <f>FZ38*GB38</f>
        <v>5971.9200312742905</v>
      </c>
      <c r="GF38" t="s">
        <v>179</v>
      </c>
      <c r="GG38">
        <f>'SAF - Design'!$Z$301</f>
        <v>162.6400672</v>
      </c>
      <c r="GI38">
        <f t="shared" si="29"/>
        <v>36.718627421191144</v>
      </c>
      <c r="GJ38">
        <f>GG38*GI38</f>
        <v>5971.9200312742905</v>
      </c>
      <c r="GM38" t="s">
        <v>179</v>
      </c>
      <c r="GN38">
        <f>'SAF - Design'!$P$301</f>
        <v>193.76323280000003</v>
      </c>
      <c r="GO38">
        <f>Index!$C$36</f>
        <v>36.718627421191144</v>
      </c>
      <c r="GP38">
        <f t="shared" si="30"/>
        <v>36.718627421191144</v>
      </c>
      <c r="GQ38">
        <f>GN38*GP38</f>
        <v>7114.7199531087244</v>
      </c>
      <c r="GT38" t="s">
        <v>179</v>
      </c>
      <c r="GU38">
        <f>'SAF - Design'!$P$301</f>
        <v>193.76323280000003</v>
      </c>
      <c r="GW38">
        <f t="shared" si="31"/>
        <v>36.718627421191144</v>
      </c>
      <c r="GX38">
        <f>GU38*GW38</f>
        <v>7114.7199531087244</v>
      </c>
    </row>
    <row r="40" spans="1:206" x14ac:dyDescent="0.25">
      <c r="K40" t="s">
        <v>100</v>
      </c>
      <c r="L40">
        <f>L38-L36</f>
        <v>11.030643000000001</v>
      </c>
      <c r="M40" t="s">
        <v>71</v>
      </c>
      <c r="X40" t="s">
        <v>100</v>
      </c>
      <c r="Y40">
        <f>Y38-Y36</f>
        <v>17.694092999999999</v>
      </c>
      <c r="Z40" t="s">
        <v>71</v>
      </c>
      <c r="AL40" t="s">
        <v>100</v>
      </c>
      <c r="AM40">
        <f>AM38-AM36</f>
        <v>41.324518285714284</v>
      </c>
      <c r="AN40" t="s">
        <v>71</v>
      </c>
      <c r="CS40" s="3" t="s">
        <v>58</v>
      </c>
      <c r="CT40" s="3"/>
      <c r="CU40" s="3"/>
      <c r="CV40" s="3"/>
      <c r="CW40" s="3">
        <f>SUM(CW36:CW38)</f>
        <v>9746.1361268346973</v>
      </c>
      <c r="CZ40" s="3" t="s">
        <v>58</v>
      </c>
      <c r="DA40" s="3"/>
      <c r="DB40" s="3"/>
      <c r="DC40" s="3"/>
      <c r="DD40" s="3">
        <f>SUM(DD36:DD38)</f>
        <v>8241.1575927200611</v>
      </c>
      <c r="DG40" s="3" t="s">
        <v>58</v>
      </c>
      <c r="DH40" s="3"/>
      <c r="DI40" s="3"/>
      <c r="DJ40" s="3"/>
      <c r="DK40" s="3">
        <f>SUM(DK36:DK38)</f>
        <v>10303.288051323583</v>
      </c>
      <c r="DN40" s="3" t="s">
        <v>58</v>
      </c>
      <c r="DO40" s="3"/>
      <c r="DP40" s="3"/>
      <c r="DQ40" s="3"/>
      <c r="DR40" s="3">
        <f>SUM(DR36:DR38)</f>
        <v>10303.288051323583</v>
      </c>
      <c r="DU40" s="3" t="s">
        <v>58</v>
      </c>
      <c r="DV40" s="3"/>
      <c r="DW40" s="3"/>
      <c r="DX40" s="3"/>
      <c r="DY40" s="3">
        <f>SUM(DY36:DY38)</f>
        <v>13482.563182913542</v>
      </c>
      <c r="EB40" s="3" t="s">
        <v>58</v>
      </c>
      <c r="EC40" s="3"/>
      <c r="ED40" s="3"/>
      <c r="EE40" s="3"/>
      <c r="EF40" s="3">
        <f>SUM(EF36:EF38)</f>
        <v>13482.563182913542</v>
      </c>
      <c r="EI40" s="3" t="s">
        <v>58</v>
      </c>
      <c r="EJ40" s="3"/>
      <c r="EK40" s="3"/>
      <c r="EL40" s="3"/>
      <c r="EM40" s="3">
        <f>SUM(EM36:EM38)</f>
        <v>20379.018846641338</v>
      </c>
      <c r="EP40" s="3" t="s">
        <v>58</v>
      </c>
      <c r="EQ40" s="3"/>
      <c r="ER40" s="3"/>
      <c r="ES40" s="3"/>
      <c r="ET40" s="3">
        <f>SUM(ET36:ET38)</f>
        <v>16249.162953309407</v>
      </c>
      <c r="EW40" s="3" t="s">
        <v>58</v>
      </c>
      <c r="EX40" s="3"/>
      <c r="EY40" s="3"/>
      <c r="EZ40" s="3"/>
      <c r="FA40" s="3">
        <f>SUM(FA36:FA38)</f>
        <v>19377.199527835743</v>
      </c>
      <c r="FD40" s="3" t="s">
        <v>58</v>
      </c>
      <c r="FE40" s="3"/>
      <c r="FF40" s="3"/>
      <c r="FG40" s="3"/>
      <c r="FH40" s="3">
        <f>SUM(FH36:FH38)</f>
        <v>19377.199527835743</v>
      </c>
      <c r="FK40" s="3" t="s">
        <v>58</v>
      </c>
      <c r="FL40" s="3"/>
      <c r="FM40" s="3"/>
      <c r="FN40" s="3"/>
      <c r="FO40" s="3">
        <f>SUM(FO36:FO38)</f>
        <v>29347.945464905577</v>
      </c>
      <c r="FR40" s="3" t="s">
        <v>58</v>
      </c>
      <c r="FS40" s="3"/>
      <c r="FT40" s="3"/>
      <c r="FU40" s="3"/>
      <c r="FV40" s="3">
        <f>SUM(FV36:FV38)</f>
        <v>23423.294843963475</v>
      </c>
      <c r="FY40" s="3" t="s">
        <v>58</v>
      </c>
      <c r="FZ40" s="3"/>
      <c r="GA40" s="3"/>
      <c r="GB40" s="3"/>
      <c r="GC40" s="3">
        <f>SUM(GC36:GC38)</f>
        <v>31464.117687596696</v>
      </c>
      <c r="GF40" s="3" t="s">
        <v>58</v>
      </c>
      <c r="GG40" s="3"/>
      <c r="GH40" s="3"/>
      <c r="GI40" s="3"/>
      <c r="GJ40" s="3">
        <f>SUM(GJ36:GJ38)</f>
        <v>31464.117687596696</v>
      </c>
      <c r="GM40" s="3" t="s">
        <v>58</v>
      </c>
      <c r="GN40" s="3"/>
      <c r="GO40" s="3"/>
      <c r="GP40" s="3"/>
      <c r="GQ40" s="3">
        <f>SUM(GQ36:GQ38)</f>
        <v>38754.399055671485</v>
      </c>
      <c r="GT40" s="3" t="s">
        <v>58</v>
      </c>
      <c r="GU40" s="3"/>
      <c r="GV40" s="3"/>
      <c r="GW40" s="3"/>
      <c r="GX40" s="3">
        <f>SUM(GX36:GX38)</f>
        <v>33289.999055671484</v>
      </c>
    </row>
    <row r="43" spans="1:206" x14ac:dyDescent="0.25">
      <c r="CS43" t="s">
        <v>125</v>
      </c>
      <c r="CW43">
        <f>CW40+CW31+CW23</f>
        <v>22277.6887462905</v>
      </c>
      <c r="CZ43" t="s">
        <v>125</v>
      </c>
      <c r="DD43">
        <f>DD40+CW31+CW23</f>
        <v>20772.710212175865</v>
      </c>
      <c r="DG43" t="s">
        <v>125</v>
      </c>
      <c r="DK43">
        <f>DK40+DK31+DK23</f>
        <v>24415.289314026631</v>
      </c>
      <c r="DN43" t="s">
        <v>125</v>
      </c>
      <c r="DR43">
        <f>DR40+DK31+DK23</f>
        <v>24415.289314026631</v>
      </c>
      <c r="DU43" t="s">
        <v>125</v>
      </c>
      <c r="DY43">
        <f>DY40+DY31+DY23</f>
        <v>32159.506967642363</v>
      </c>
      <c r="EB43" t="s">
        <v>125</v>
      </c>
      <c r="EF43">
        <f>EF40+DY31+DY23</f>
        <v>32159.506967642363</v>
      </c>
      <c r="EI43" t="s">
        <v>125</v>
      </c>
      <c r="EM43">
        <f>EM40+EM31+EM23</f>
        <v>41902.489153230752</v>
      </c>
      <c r="EP43" t="s">
        <v>125</v>
      </c>
      <c r="ET43">
        <f>ET40+EM31+EM23</f>
        <v>37772.633259898823</v>
      </c>
      <c r="EW43" t="s">
        <v>125</v>
      </c>
      <c r="FA43">
        <f>FA40+FA31+FA23</f>
        <v>43643.923095443286</v>
      </c>
      <c r="FD43" t="s">
        <v>125</v>
      </c>
      <c r="FH43">
        <f>FH40+FA31+FA23</f>
        <v>43643.923095443286</v>
      </c>
      <c r="FK43" t="s">
        <v>125</v>
      </c>
      <c r="FO43">
        <f>FO40+FO31+FO23</f>
        <v>56681.519251787395</v>
      </c>
      <c r="FR43" t="s">
        <v>125</v>
      </c>
      <c r="FV43">
        <f>FV40+FO31+FO23</f>
        <v>50756.868630845289</v>
      </c>
      <c r="FY43" t="s">
        <v>125</v>
      </c>
      <c r="GC43">
        <f>GC40+GC31+GC23</f>
        <v>64486.146823070063</v>
      </c>
      <c r="GF43" t="s">
        <v>125</v>
      </c>
      <c r="GJ43">
        <f>GJ40+GC31+GC23</f>
        <v>64486.146823070063</v>
      </c>
      <c r="GM43" t="s">
        <v>125</v>
      </c>
      <c r="GQ43">
        <f>GQ40+GQ31+GQ23</f>
        <v>76109.205373648903</v>
      </c>
      <c r="GT43" t="s">
        <v>125</v>
      </c>
      <c r="GX43">
        <f>GX40+GQ31+GQ23</f>
        <v>70644.805373648909</v>
      </c>
    </row>
    <row r="44" spans="1:206" x14ac:dyDescent="0.25">
      <c r="CW44">
        <v>65040.546823070064</v>
      </c>
      <c r="DK44">
        <v>87842.246190886566</v>
      </c>
      <c r="DY44">
        <v>131486.16928632985</v>
      </c>
      <c r="EM44">
        <v>175130.09238177314</v>
      </c>
      <c r="FA44">
        <v>218820.81547721644</v>
      </c>
      <c r="FO44">
        <v>262521.11857265973</v>
      </c>
      <c r="GC44">
        <v>349898.9647635463</v>
      </c>
      <c r="GP44" t="s">
        <v>731</v>
      </c>
      <c r="GQ44">
        <f>Pumping!$K$18</f>
        <v>437228.95095443283</v>
      </c>
      <c r="GW44" t="s">
        <v>731</v>
      </c>
      <c r="GX44">
        <f>Pumping!$K$18</f>
        <v>437228.95095443283</v>
      </c>
    </row>
    <row r="45" spans="1:206" x14ac:dyDescent="0.25">
      <c r="CW45">
        <f>CW43+CW44</f>
        <v>87318.235569360564</v>
      </c>
      <c r="DK45">
        <f>DK43+DK44</f>
        <v>112257.53550491319</v>
      </c>
      <c r="DY45">
        <f>DY43+DY44</f>
        <v>163645.67625397223</v>
      </c>
      <c r="EM45">
        <f>EM43+EM44</f>
        <v>217032.5815350039</v>
      </c>
      <c r="FA45">
        <f>FA43+FA44</f>
        <v>262464.73857265973</v>
      </c>
      <c r="FO45">
        <f>FO43+FO44</f>
        <v>319202.63782444713</v>
      </c>
      <c r="GC45">
        <f>GC43+GC44</f>
        <v>414385.11158661637</v>
      </c>
      <c r="GQ45">
        <f>GQ44+GQ43</f>
        <v>513338.15632808174</v>
      </c>
      <c r="GX45">
        <f>GX44+GX43</f>
        <v>507873.75632808171</v>
      </c>
    </row>
    <row r="48" spans="1:206" s="3" customFormat="1" ht="18.75" x14ac:dyDescent="0.3">
      <c r="A48" s="17" t="s">
        <v>217</v>
      </c>
      <c r="O48" s="20"/>
      <c r="AC48" s="20"/>
      <c r="AQ48" s="20"/>
      <c r="BD48" s="20"/>
      <c r="BQ48" s="20"/>
      <c r="CD48" s="20"/>
      <c r="CQ48" s="20"/>
      <c r="DE48" s="20"/>
      <c r="DS48" s="20"/>
      <c r="EG48" s="20"/>
      <c r="EU48" s="20"/>
      <c r="FI48" s="20"/>
      <c r="FW48" s="20"/>
      <c r="GK48" s="20"/>
    </row>
    <row r="49" spans="4:85" x14ac:dyDescent="0.25">
      <c r="D49" t="s">
        <v>217</v>
      </c>
      <c r="Q49" t="s">
        <v>217</v>
      </c>
      <c r="AE49" t="s">
        <v>217</v>
      </c>
      <c r="AS49" t="s">
        <v>217</v>
      </c>
      <c r="BF49" t="s">
        <v>217</v>
      </c>
      <c r="BS49" t="s">
        <v>217</v>
      </c>
      <c r="CF49" t="s">
        <v>217</v>
      </c>
    </row>
    <row r="51" spans="4:85" x14ac:dyDescent="0.25">
      <c r="D51" t="s">
        <v>150</v>
      </c>
      <c r="E51">
        <f>(L26+L30*2)/10^3</f>
        <v>3.6</v>
      </c>
      <c r="Q51" t="s">
        <v>150</v>
      </c>
      <c r="R51">
        <f>(Y26+Y30*2)/10^3</f>
        <v>6.1</v>
      </c>
      <c r="AE51" t="s">
        <v>150</v>
      </c>
      <c r="AF51">
        <f>(AM26+AP26+AM30*2)/10^3</f>
        <v>9.6999999999999993</v>
      </c>
      <c r="AS51" t="s">
        <v>150</v>
      </c>
      <c r="AT51">
        <f>(BA5+BA9*2)/10^3</f>
        <v>7.8</v>
      </c>
      <c r="BF51" t="s">
        <v>150</v>
      </c>
      <c r="BG51">
        <f>(BN5+BN9*2)/10^3</f>
        <v>10.8</v>
      </c>
      <c r="BS51" t="s">
        <v>150</v>
      </c>
      <c r="BT51">
        <f>(CA5+CA9*2)/10^3</f>
        <v>11.37</v>
      </c>
      <c r="CF51" t="s">
        <v>150</v>
      </c>
      <c r="CG51">
        <f>(CN5+CN9*2)/10^3</f>
        <v>13.6</v>
      </c>
    </row>
    <row r="52" spans="4:85" x14ac:dyDescent="0.25">
      <c r="D52" t="s">
        <v>116</v>
      </c>
      <c r="E52">
        <f>(L27+L30*2)/10^3</f>
        <v>2.14</v>
      </c>
      <c r="Q52" t="s">
        <v>116</v>
      </c>
      <c r="R52">
        <f>(Y27+Y30*2)/10^3</f>
        <v>2.14</v>
      </c>
      <c r="AE52" t="s">
        <v>116</v>
      </c>
      <c r="AF52">
        <f>(AM27+AP27+AM30*2)/10^3</f>
        <v>3.78</v>
      </c>
      <c r="AS52" t="s">
        <v>116</v>
      </c>
      <c r="AT52">
        <f>(BA6+BA9*2)/10^3</f>
        <v>2.4239999999999999</v>
      </c>
      <c r="BF52" t="s">
        <v>116</v>
      </c>
      <c r="BG52">
        <f>(BN6+BN9*2)/10^3</f>
        <v>2.8239999999999998</v>
      </c>
      <c r="BS52" t="s">
        <v>116</v>
      </c>
      <c r="BT52">
        <f>(CA6+CA9*2)/10^3</f>
        <v>3.1</v>
      </c>
      <c r="CF52" t="s">
        <v>116</v>
      </c>
      <c r="CG52">
        <f>(CN6+CN9*2)/10^3</f>
        <v>3.1</v>
      </c>
    </row>
    <row r="54" spans="4:85" x14ac:dyDescent="0.25">
      <c r="D54" t="s">
        <v>125</v>
      </c>
      <c r="Q54" t="s">
        <v>125</v>
      </c>
      <c r="AE54" t="s">
        <v>125</v>
      </c>
      <c r="AS54" t="s">
        <v>125</v>
      </c>
      <c r="BF54" t="s">
        <v>125</v>
      </c>
      <c r="BS54" t="s">
        <v>125</v>
      </c>
      <c r="CF54" t="s">
        <v>125</v>
      </c>
    </row>
    <row r="55" spans="4:85" x14ac:dyDescent="0.25">
      <c r="D55" t="s">
        <v>245</v>
      </c>
      <c r="E55">
        <f>E51</f>
        <v>3.6</v>
      </c>
      <c r="Q55" t="s">
        <v>245</v>
      </c>
      <c r="R55">
        <f>R51</f>
        <v>6.1</v>
      </c>
      <c r="AE55" t="s">
        <v>245</v>
      </c>
      <c r="AF55">
        <f>AF51</f>
        <v>9.6999999999999993</v>
      </c>
      <c r="AS55" t="s">
        <v>245</v>
      </c>
      <c r="AT55">
        <f>AT51</f>
        <v>7.8</v>
      </c>
      <c r="BF55" t="s">
        <v>245</v>
      </c>
      <c r="BG55">
        <f>BG51</f>
        <v>10.8</v>
      </c>
      <c r="BS55" t="s">
        <v>245</v>
      </c>
      <c r="BT55">
        <f>BT51</f>
        <v>11.37</v>
      </c>
      <c r="CF55" t="s">
        <v>245</v>
      </c>
      <c r="CG55">
        <f>CG51</f>
        <v>13.6</v>
      </c>
    </row>
    <row r="56" spans="4:85" x14ac:dyDescent="0.25">
      <c r="D56" t="s">
        <v>116</v>
      </c>
      <c r="E56">
        <f>E52</f>
        <v>2.14</v>
      </c>
      <c r="Q56" t="s">
        <v>116</v>
      </c>
      <c r="R56">
        <f>R52</f>
        <v>2.14</v>
      </c>
      <c r="AE56" t="s">
        <v>116</v>
      </c>
      <c r="AF56">
        <f>AF52</f>
        <v>3.78</v>
      </c>
      <c r="AS56" t="s">
        <v>116</v>
      </c>
      <c r="AT56">
        <f>AT52</f>
        <v>2.4239999999999999</v>
      </c>
      <c r="BF56" t="s">
        <v>116</v>
      </c>
      <c r="BG56">
        <f>BG52</f>
        <v>2.8239999999999998</v>
      </c>
      <c r="BS56" t="s">
        <v>116</v>
      </c>
      <c r="BT56">
        <f>BT52</f>
        <v>3.1</v>
      </c>
      <c r="CF56" t="s">
        <v>116</v>
      </c>
      <c r="CG56">
        <f>CG52</f>
        <v>3.1</v>
      </c>
    </row>
    <row r="58" spans="4:85" x14ac:dyDescent="0.25">
      <c r="D58" t="s">
        <v>250</v>
      </c>
      <c r="Q58" t="s">
        <v>250</v>
      </c>
      <c r="AE58" t="s">
        <v>250</v>
      </c>
      <c r="AS58" t="s">
        <v>250</v>
      </c>
      <c r="BF58" t="s">
        <v>250</v>
      </c>
      <c r="BS58" t="s">
        <v>250</v>
      </c>
      <c r="CF58" t="s">
        <v>250</v>
      </c>
    </row>
    <row r="59" spans="4:85" x14ac:dyDescent="0.25">
      <c r="D59" t="s">
        <v>245</v>
      </c>
      <c r="E59">
        <f>ROUNDUP((E55/2.75),0)</f>
        <v>2</v>
      </c>
      <c r="Q59" t="s">
        <v>245</v>
      </c>
      <c r="R59">
        <f>ROUNDUP((R55/2.75),0)</f>
        <v>3</v>
      </c>
      <c r="AE59" t="s">
        <v>245</v>
      </c>
      <c r="AF59">
        <f>ROUNDUP((AF55/2.75),0)</f>
        <v>4</v>
      </c>
      <c r="AS59" t="s">
        <v>245</v>
      </c>
      <c r="AT59">
        <f>ROUNDUP((AT55/2.75),0)</f>
        <v>3</v>
      </c>
      <c r="BF59" t="s">
        <v>245</v>
      </c>
      <c r="BG59">
        <f>ROUNDUP((BG55/2.75),0)</f>
        <v>4</v>
      </c>
      <c r="BS59" t="s">
        <v>245</v>
      </c>
      <c r="BT59">
        <f>ROUNDUP((BT55/2.75),0)</f>
        <v>5</v>
      </c>
      <c r="CF59" t="s">
        <v>245</v>
      </c>
      <c r="CG59">
        <f>ROUNDUP((CG55/2.75),0)</f>
        <v>5</v>
      </c>
    </row>
    <row r="60" spans="4:85" x14ac:dyDescent="0.25">
      <c r="D60" t="s">
        <v>116</v>
      </c>
      <c r="E60">
        <f>ROUNDUP((E56/2.75),0)</f>
        <v>1</v>
      </c>
      <c r="Q60" t="s">
        <v>116</v>
      </c>
      <c r="R60">
        <f>ROUNDUP((R56/2.75),0)</f>
        <v>1</v>
      </c>
      <c r="AE60" t="s">
        <v>116</v>
      </c>
      <c r="AF60">
        <f>ROUNDUP((AF56/2.75),0)</f>
        <v>2</v>
      </c>
      <c r="AS60" t="s">
        <v>116</v>
      </c>
      <c r="AT60">
        <f>ROUNDUP((AT56/2.75),0)</f>
        <v>1</v>
      </c>
      <c r="BF60" t="s">
        <v>116</v>
      </c>
      <c r="BG60">
        <f>ROUNDUP((BG56/2.75),0)</f>
        <v>2</v>
      </c>
      <c r="BS60" t="s">
        <v>116</v>
      </c>
      <c r="BT60">
        <f>ROUNDUP((BT56/2.75),0)</f>
        <v>2</v>
      </c>
      <c r="CF60" t="s">
        <v>116</v>
      </c>
      <c r="CG60">
        <f>ROUNDUP((CG56/2.75),0)</f>
        <v>2</v>
      </c>
    </row>
    <row r="62" spans="4:85" x14ac:dyDescent="0.25">
      <c r="D62" t="s">
        <v>251</v>
      </c>
      <c r="Q62" t="s">
        <v>251</v>
      </c>
      <c r="AE62" t="s">
        <v>251</v>
      </c>
      <c r="AS62" t="s">
        <v>251</v>
      </c>
      <c r="BF62" t="s">
        <v>251</v>
      </c>
      <c r="BS62" t="s">
        <v>251</v>
      </c>
      <c r="CF62" t="s">
        <v>251</v>
      </c>
    </row>
    <row r="63" spans="4:85" x14ac:dyDescent="0.25">
      <c r="D63" t="s">
        <v>245</v>
      </c>
      <c r="E63">
        <f>(E59*2.75)-E55</f>
        <v>1.9</v>
      </c>
      <c r="Q63" t="s">
        <v>245</v>
      </c>
      <c r="R63">
        <f>(R59*2.75)-R55</f>
        <v>2.1500000000000004</v>
      </c>
      <c r="AE63" t="s">
        <v>245</v>
      </c>
      <c r="AF63">
        <f>(AF59*2.75)-AF55</f>
        <v>1.3000000000000007</v>
      </c>
      <c r="AS63" t="s">
        <v>245</v>
      </c>
      <c r="AT63">
        <f>(AT59*2.75)-AT55</f>
        <v>0.45000000000000018</v>
      </c>
      <c r="BF63" t="s">
        <v>245</v>
      </c>
      <c r="BG63">
        <f>(BG59*2.75)-BG55</f>
        <v>0.19999999999999929</v>
      </c>
      <c r="BS63" t="s">
        <v>245</v>
      </c>
      <c r="BT63">
        <f>(BT59*2.75)-BT55</f>
        <v>2.3800000000000008</v>
      </c>
      <c r="CF63" t="s">
        <v>245</v>
      </c>
      <c r="CG63">
        <f>(CG59*2.75)-CG55</f>
        <v>0.15000000000000036</v>
      </c>
    </row>
    <row r="64" spans="4:85" x14ac:dyDescent="0.25">
      <c r="D64" t="s">
        <v>116</v>
      </c>
      <c r="E64">
        <f>(E60*2.75)-E56</f>
        <v>0.60999999999999988</v>
      </c>
      <c r="Q64" t="s">
        <v>116</v>
      </c>
      <c r="R64">
        <f>(R60*2.75)-R56</f>
        <v>0.60999999999999988</v>
      </c>
      <c r="AE64" t="s">
        <v>116</v>
      </c>
      <c r="AF64">
        <f>(AF60*2.75)-AF56</f>
        <v>1.7200000000000002</v>
      </c>
      <c r="AS64" t="s">
        <v>116</v>
      </c>
      <c r="AT64">
        <f>(AT60*2.75)-AT56</f>
        <v>0.32600000000000007</v>
      </c>
      <c r="BF64" t="s">
        <v>116</v>
      </c>
      <c r="BG64">
        <f>(BG60*2.75)-BG56</f>
        <v>2.6760000000000002</v>
      </c>
      <c r="BS64" t="s">
        <v>116</v>
      </c>
      <c r="BT64">
        <f>(BT60*2.75)-BT56</f>
        <v>2.4</v>
      </c>
      <c r="CF64" t="s">
        <v>116</v>
      </c>
      <c r="CG64">
        <f>(CG60*2.75)-CG56</f>
        <v>2.4</v>
      </c>
    </row>
    <row r="66" spans="4:85" x14ac:dyDescent="0.25">
      <c r="E66">
        <f>E63/2</f>
        <v>0.95</v>
      </c>
      <c r="R66">
        <f>R63/2</f>
        <v>1.0750000000000002</v>
      </c>
      <c r="AF66">
        <f>AF63/2</f>
        <v>0.65000000000000036</v>
      </c>
      <c r="AT66">
        <f>AT63/2</f>
        <v>0.22500000000000009</v>
      </c>
      <c r="BG66">
        <f>BG63/2</f>
        <v>9.9999999999999645E-2</v>
      </c>
      <c r="BT66">
        <f>BT63/2</f>
        <v>1.1900000000000004</v>
      </c>
      <c r="CG66">
        <f>CG63/2</f>
        <v>7.5000000000000178E-2</v>
      </c>
    </row>
    <row r="67" spans="4:85" x14ac:dyDescent="0.25">
      <c r="E67">
        <f>E64/2</f>
        <v>0.30499999999999994</v>
      </c>
      <c r="R67">
        <f>R64/2</f>
        <v>0.30499999999999994</v>
      </c>
      <c r="AF67">
        <f>AF64/2</f>
        <v>0.8600000000000001</v>
      </c>
      <c r="AT67">
        <f>AT64/2</f>
        <v>0.16300000000000003</v>
      </c>
      <c r="BG67">
        <f>BG64/2</f>
        <v>1.3380000000000001</v>
      </c>
      <c r="BT67">
        <f>BT64/2</f>
        <v>1.2</v>
      </c>
      <c r="CG67">
        <f>CG64/2</f>
        <v>1.2</v>
      </c>
    </row>
    <row r="68" spans="4:85" x14ac:dyDescent="0.25">
      <c r="D68" t="s">
        <v>254</v>
      </c>
      <c r="Q68" t="s">
        <v>254</v>
      </c>
      <c r="AE68" t="s">
        <v>254</v>
      </c>
      <c r="AS68" t="s">
        <v>254</v>
      </c>
      <c r="BF68" t="s">
        <v>254</v>
      </c>
      <c r="BS68" t="s">
        <v>254</v>
      </c>
      <c r="CF68" t="s">
        <v>254</v>
      </c>
    </row>
    <row r="69" spans="4:85" x14ac:dyDescent="0.25">
      <c r="D69" t="s">
        <v>245</v>
      </c>
      <c r="E69">
        <f>E59+1</f>
        <v>3</v>
      </c>
      <c r="Q69" t="s">
        <v>245</v>
      </c>
      <c r="R69">
        <f>R59+1</f>
        <v>4</v>
      </c>
      <c r="AE69" t="s">
        <v>245</v>
      </c>
      <c r="AF69">
        <f>AF59+1</f>
        <v>5</v>
      </c>
      <c r="AS69" t="s">
        <v>245</v>
      </c>
      <c r="AT69">
        <f>AT59+1</f>
        <v>4</v>
      </c>
      <c r="BF69" t="s">
        <v>245</v>
      </c>
      <c r="BG69">
        <f>BG59+1</f>
        <v>5</v>
      </c>
      <c r="BS69" t="s">
        <v>245</v>
      </c>
      <c r="BT69">
        <f>BT59+1</f>
        <v>6</v>
      </c>
      <c r="CF69" t="s">
        <v>245</v>
      </c>
      <c r="CG69">
        <f>CG59+1</f>
        <v>6</v>
      </c>
    </row>
    <row r="70" spans="4:85" x14ac:dyDescent="0.25">
      <c r="D70" t="s">
        <v>116</v>
      </c>
      <c r="E70">
        <f>E60+1</f>
        <v>2</v>
      </c>
      <c r="Q70" t="s">
        <v>116</v>
      </c>
      <c r="R70">
        <f>R60+1</f>
        <v>2</v>
      </c>
      <c r="AE70" t="s">
        <v>116</v>
      </c>
      <c r="AF70">
        <f>AF60+1</f>
        <v>3</v>
      </c>
      <c r="AS70" t="s">
        <v>116</v>
      </c>
      <c r="AT70">
        <f>AT60+1</f>
        <v>2</v>
      </c>
      <c r="BF70" t="s">
        <v>116</v>
      </c>
      <c r="BG70">
        <f>BG60+1</f>
        <v>3</v>
      </c>
      <c r="BS70" t="s">
        <v>116</v>
      </c>
      <c r="BT70">
        <f>BT60+1</f>
        <v>3</v>
      </c>
      <c r="CF70" t="s">
        <v>116</v>
      </c>
      <c r="CG70">
        <f>CG60+1</f>
        <v>3</v>
      </c>
    </row>
    <row r="72" spans="4:85" x14ac:dyDescent="0.25">
      <c r="D72" t="s">
        <v>125</v>
      </c>
      <c r="E72">
        <f>(E69*2-1)+E70*2</f>
        <v>9</v>
      </c>
      <c r="Q72" t="s">
        <v>125</v>
      </c>
      <c r="R72">
        <f>(R69*2-1)+R70*2</f>
        <v>11</v>
      </c>
      <c r="AE72" t="s">
        <v>125</v>
      </c>
      <c r="AF72">
        <f>(AF69*2-1)+AF70*2</f>
        <v>15</v>
      </c>
      <c r="AS72" t="s">
        <v>125</v>
      </c>
      <c r="AT72">
        <f>(AT69*2-1)+AT70*2</f>
        <v>11</v>
      </c>
      <c r="BF72" t="s">
        <v>125</v>
      </c>
      <c r="BG72">
        <f>(BG69*2-1)+BG70*2</f>
        <v>15</v>
      </c>
      <c r="BS72" t="s">
        <v>125</v>
      </c>
      <c r="BT72">
        <f>(BT69*2-1)+BT70*2</f>
        <v>17</v>
      </c>
      <c r="CF72" t="s">
        <v>125</v>
      </c>
      <c r="CG72">
        <f>(CG69*2-1)+CG70*2</f>
        <v>17</v>
      </c>
    </row>
    <row r="74" spans="4:85" x14ac:dyDescent="0.25">
      <c r="D74" t="s">
        <v>255</v>
      </c>
      <c r="E74">
        <v>1</v>
      </c>
      <c r="Q74" t="s">
        <v>255</v>
      </c>
      <c r="R74">
        <v>1</v>
      </c>
      <c r="AE74" t="s">
        <v>255</v>
      </c>
      <c r="AF74">
        <v>1</v>
      </c>
      <c r="AS74" t="s">
        <v>255</v>
      </c>
      <c r="AT74">
        <v>1</v>
      </c>
      <c r="BF74" t="s">
        <v>255</v>
      </c>
      <c r="BG74">
        <v>1</v>
      </c>
      <c r="BS74" t="s">
        <v>255</v>
      </c>
      <c r="BT74">
        <v>1</v>
      </c>
      <c r="CF74" t="s">
        <v>255</v>
      </c>
      <c r="CG74">
        <v>1</v>
      </c>
    </row>
    <row r="75" spans="4:85" x14ac:dyDescent="0.25">
      <c r="D75" s="10" t="s">
        <v>263</v>
      </c>
      <c r="Q75" s="10" t="s">
        <v>263</v>
      </c>
      <c r="AE75" s="10" t="s">
        <v>263</v>
      </c>
      <c r="AS75" s="10" t="s">
        <v>263</v>
      </c>
      <c r="BF75" s="10" t="s">
        <v>263</v>
      </c>
      <c r="BS75" s="10" t="s">
        <v>263</v>
      </c>
      <c r="CF75" s="10" t="s">
        <v>263</v>
      </c>
    </row>
    <row r="76" spans="4:85" x14ac:dyDescent="0.25">
      <c r="D76" t="s">
        <v>261</v>
      </c>
      <c r="E76">
        <f>E72</f>
        <v>9</v>
      </c>
      <c r="Q76" t="s">
        <v>261</v>
      </c>
      <c r="R76">
        <f>R72</f>
        <v>11</v>
      </c>
      <c r="AE76" t="s">
        <v>261</v>
      </c>
      <c r="AF76">
        <f>AF72</f>
        <v>15</v>
      </c>
      <c r="AS76" t="s">
        <v>261</v>
      </c>
      <c r="AT76">
        <f>AT72</f>
        <v>11</v>
      </c>
      <c r="BF76" t="s">
        <v>261</v>
      </c>
      <c r="BG76">
        <f>BG72</f>
        <v>15</v>
      </c>
      <c r="BS76" t="s">
        <v>261</v>
      </c>
      <c r="BT76">
        <f>BT72</f>
        <v>17</v>
      </c>
      <c r="CF76" t="s">
        <v>261</v>
      </c>
      <c r="CG76">
        <f>CG72</f>
        <v>17</v>
      </c>
    </row>
    <row r="77" spans="4:85" x14ac:dyDescent="0.25">
      <c r="D77" t="s">
        <v>231</v>
      </c>
      <c r="E77">
        <v>4</v>
      </c>
      <c r="Q77" t="s">
        <v>231</v>
      </c>
      <c r="R77">
        <v>4</v>
      </c>
      <c r="AE77" t="s">
        <v>231</v>
      </c>
      <c r="AF77">
        <v>4</v>
      </c>
      <c r="AS77" t="s">
        <v>231</v>
      </c>
      <c r="AT77">
        <v>4</v>
      </c>
      <c r="BF77" t="s">
        <v>231</v>
      </c>
      <c r="BG77">
        <v>4</v>
      </c>
      <c r="BS77" t="s">
        <v>231</v>
      </c>
      <c r="BT77">
        <v>4</v>
      </c>
      <c r="CF77" t="s">
        <v>231</v>
      </c>
      <c r="CG77">
        <v>4</v>
      </c>
    </row>
    <row r="78" spans="4:85" x14ac:dyDescent="0.25">
      <c r="D78" t="s">
        <v>262</v>
      </c>
      <c r="E78">
        <v>1</v>
      </c>
      <c r="Q78" t="s">
        <v>262</v>
      </c>
      <c r="R78">
        <v>1</v>
      </c>
      <c r="AE78" t="s">
        <v>262</v>
      </c>
      <c r="AF78">
        <v>1</v>
      </c>
      <c r="AS78" t="s">
        <v>262</v>
      </c>
      <c r="AT78">
        <v>1</v>
      </c>
      <c r="BF78" t="s">
        <v>262</v>
      </c>
      <c r="BG78">
        <v>1</v>
      </c>
      <c r="BS78" t="s">
        <v>262</v>
      </c>
      <c r="BT78">
        <v>1</v>
      </c>
      <c r="CF78" t="s">
        <v>262</v>
      </c>
      <c r="CG78">
        <v>1</v>
      </c>
    </row>
    <row r="79" spans="4:85" x14ac:dyDescent="0.25">
      <c r="D79" t="s">
        <v>14</v>
      </c>
      <c r="E79" s="7">
        <f>Fencing!$C$15*(E76+E77+2)</f>
        <v>2.7337500000000006</v>
      </c>
      <c r="Q79" t="s">
        <v>14</v>
      </c>
      <c r="R79" s="7">
        <f>Fencing!$C$15*(R76+R77+2)</f>
        <v>3.0982500000000002</v>
      </c>
      <c r="AE79" t="s">
        <v>14</v>
      </c>
      <c r="AF79" s="7">
        <f>Fencing!$C$15*(AF76+AF77+2)</f>
        <v>3.8272500000000003</v>
      </c>
      <c r="AS79" t="s">
        <v>14</v>
      </c>
      <c r="AT79" s="7">
        <f>Fencing!$C$15*(AT76+AT77+2)</f>
        <v>3.0982500000000002</v>
      </c>
      <c r="BF79" t="s">
        <v>14</v>
      </c>
      <c r="BG79" s="7">
        <f>Fencing!$C$15*(BG76+BG77+2)</f>
        <v>3.8272500000000003</v>
      </c>
      <c r="BS79" t="s">
        <v>14</v>
      </c>
      <c r="BT79" s="7">
        <f>Fencing!$C$15*(BT76+BT77+2)</f>
        <v>4.1917500000000008</v>
      </c>
      <c r="CF79" t="s">
        <v>14</v>
      </c>
      <c r="CG79" s="7">
        <f>Fencing!$C$15*(CG76+CG77+2)</f>
        <v>4.1917500000000008</v>
      </c>
    </row>
    <row r="80" spans="4:85" x14ac:dyDescent="0.25">
      <c r="D80" t="s">
        <v>100</v>
      </c>
      <c r="E80" s="7">
        <f>E79</f>
        <v>2.7337500000000006</v>
      </c>
      <c r="Q80" t="s">
        <v>100</v>
      </c>
      <c r="R80" s="7">
        <f>R79</f>
        <v>3.0982500000000002</v>
      </c>
      <c r="AE80" t="s">
        <v>100</v>
      </c>
      <c r="AF80" s="7">
        <f>AF79</f>
        <v>3.8272500000000003</v>
      </c>
      <c r="AS80" t="s">
        <v>100</v>
      </c>
      <c r="AT80" s="7">
        <f>AT79</f>
        <v>3.0982500000000002</v>
      </c>
      <c r="BF80" t="s">
        <v>100</v>
      </c>
      <c r="BG80" s="7">
        <f>BG79</f>
        <v>3.8272500000000003</v>
      </c>
      <c r="BS80" t="s">
        <v>100</v>
      </c>
      <c r="BT80" s="7">
        <f>BT79</f>
        <v>4.1917500000000008</v>
      </c>
      <c r="CF80" t="s">
        <v>100</v>
      </c>
      <c r="CG80" s="7">
        <f>CG79</f>
        <v>4.1917500000000008</v>
      </c>
    </row>
    <row r="82" spans="4:85" x14ac:dyDescent="0.25">
      <c r="D82" s="10" t="s">
        <v>206</v>
      </c>
      <c r="Q82" s="10" t="s">
        <v>206</v>
      </c>
      <c r="AE82" s="10" t="s">
        <v>206</v>
      </c>
      <c r="AS82" s="10" t="s">
        <v>206</v>
      </c>
      <c r="BF82" s="10" t="s">
        <v>206</v>
      </c>
      <c r="BS82" s="10" t="s">
        <v>206</v>
      </c>
      <c r="CF82" s="10" t="s">
        <v>206</v>
      </c>
    </row>
    <row r="83" spans="4:85" x14ac:dyDescent="0.25">
      <c r="D83" t="s">
        <v>261</v>
      </c>
      <c r="E83" s="5">
        <f>Fencing!$C$26</f>
        <v>112.824</v>
      </c>
      <c r="Q83" t="s">
        <v>261</v>
      </c>
      <c r="R83" s="5">
        <f>Fencing!$C$26</f>
        <v>112.824</v>
      </c>
      <c r="AE83" t="s">
        <v>261</v>
      </c>
      <c r="AF83" s="5">
        <f>Fencing!$C$26</f>
        <v>112.824</v>
      </c>
      <c r="AS83" t="s">
        <v>261</v>
      </c>
      <c r="AT83" s="5">
        <f>Fencing!$C$26</f>
        <v>112.824</v>
      </c>
      <c r="BF83" t="s">
        <v>261</v>
      </c>
      <c r="BG83" s="5">
        <f>Fencing!$C$26</f>
        <v>112.824</v>
      </c>
      <c r="BS83" t="s">
        <v>261</v>
      </c>
      <c r="BT83" s="5">
        <f>Fencing!$C$26</f>
        <v>112.824</v>
      </c>
      <c r="CF83" t="s">
        <v>261</v>
      </c>
      <c r="CG83" s="5">
        <f>Fencing!$C$26</f>
        <v>112.824</v>
      </c>
    </row>
    <row r="84" spans="4:85" x14ac:dyDescent="0.25">
      <c r="D84" t="s">
        <v>231</v>
      </c>
      <c r="E84" s="5">
        <f>Fencing!$C$34</f>
        <v>36.384</v>
      </c>
      <c r="Q84" t="s">
        <v>231</v>
      </c>
      <c r="R84" s="5">
        <f>Fencing!$C$34</f>
        <v>36.384</v>
      </c>
      <c r="AE84" t="s">
        <v>231</v>
      </c>
      <c r="AF84" s="5">
        <f>Fencing!$C$34</f>
        <v>36.384</v>
      </c>
      <c r="AS84" t="s">
        <v>231</v>
      </c>
      <c r="AT84" s="5">
        <f>Fencing!$C$34</f>
        <v>36.384</v>
      </c>
      <c r="BF84" t="s">
        <v>231</v>
      </c>
      <c r="BG84" s="5">
        <f>Fencing!$C$34</f>
        <v>36.384</v>
      </c>
      <c r="BS84" t="s">
        <v>231</v>
      </c>
      <c r="BT84" s="5">
        <f>Fencing!$C$34</f>
        <v>36.384</v>
      </c>
      <c r="CF84" t="s">
        <v>231</v>
      </c>
      <c r="CG84" s="5">
        <f>Fencing!$C$34</f>
        <v>36.384</v>
      </c>
    </row>
    <row r="85" spans="4:85" x14ac:dyDescent="0.25">
      <c r="D85" t="s">
        <v>262</v>
      </c>
      <c r="E85" s="5">
        <f>Fencing!$C$56</f>
        <v>539.4</v>
      </c>
      <c r="Q85" t="s">
        <v>262</v>
      </c>
      <c r="R85" s="5">
        <f>Fencing!$C$56</f>
        <v>539.4</v>
      </c>
      <c r="AE85" t="s">
        <v>262</v>
      </c>
      <c r="AF85" s="5">
        <f>Fencing!$C$56</f>
        <v>539.4</v>
      </c>
      <c r="AS85" t="s">
        <v>262</v>
      </c>
      <c r="AT85" s="5">
        <f>Fencing!$C$56</f>
        <v>539.4</v>
      </c>
      <c r="BF85" t="s">
        <v>262</v>
      </c>
      <c r="BG85" s="5">
        <f>Fencing!$C$56</f>
        <v>539.4</v>
      </c>
      <c r="BS85" t="s">
        <v>262</v>
      </c>
      <c r="BT85" s="5">
        <f>Fencing!$C$56</f>
        <v>539.4</v>
      </c>
      <c r="CF85" t="s">
        <v>262</v>
      </c>
      <c r="CG85" s="5">
        <f>Fencing!$C$56</f>
        <v>539.4</v>
      </c>
    </row>
    <row r="86" spans="4:85" x14ac:dyDescent="0.25">
      <c r="D86" t="s">
        <v>14</v>
      </c>
      <c r="E86" s="5">
        <f>G8</f>
        <v>12.076547039999999</v>
      </c>
      <c r="Q86" t="s">
        <v>14</v>
      </c>
      <c r="R86" s="5">
        <f>T8</f>
        <v>11.9580460758</v>
      </c>
      <c r="AE86" t="s">
        <v>14</v>
      </c>
      <c r="AF86" s="5">
        <f>AH8</f>
        <v>11.9580460758</v>
      </c>
      <c r="AS86" t="s">
        <v>14</v>
      </c>
      <c r="AT86" s="5">
        <f>AV8</f>
        <v>11.9580460758</v>
      </c>
      <c r="BF86" t="s">
        <v>14</v>
      </c>
      <c r="BG86" s="5">
        <f>BI8</f>
        <v>11.9580460758</v>
      </c>
      <c r="BS86" t="s">
        <v>14</v>
      </c>
      <c r="BT86" s="5">
        <f>BV8</f>
        <v>11.9580460758</v>
      </c>
      <c r="CF86" t="s">
        <v>14</v>
      </c>
      <c r="CG86" s="5">
        <f>CI8</f>
        <v>11.9580460758</v>
      </c>
    </row>
    <row r="87" spans="4:85" x14ac:dyDescent="0.25">
      <c r="D87" t="s">
        <v>100</v>
      </c>
      <c r="E87" s="5">
        <f>G23</f>
        <v>99.508928571428555</v>
      </c>
      <c r="Q87" t="s">
        <v>100</v>
      </c>
      <c r="R87" s="5">
        <f>T23</f>
        <v>99.508928571428555</v>
      </c>
      <c r="AE87" t="s">
        <v>100</v>
      </c>
      <c r="AF87" s="5">
        <f>AH23</f>
        <v>99.508928571428555</v>
      </c>
      <c r="AS87" t="s">
        <v>100</v>
      </c>
      <c r="AT87" s="5">
        <f>AV23</f>
        <v>0</v>
      </c>
      <c r="BF87" t="s">
        <v>100</v>
      </c>
      <c r="BG87" s="5">
        <f>BI23</f>
        <v>0</v>
      </c>
      <c r="BS87" t="s">
        <v>100</v>
      </c>
      <c r="BT87" s="5">
        <f>BV23</f>
        <v>0</v>
      </c>
      <c r="CF87" t="s">
        <v>100</v>
      </c>
      <c r="CG87" s="5">
        <f>CI23</f>
        <v>0</v>
      </c>
    </row>
    <row r="88" spans="4:85" x14ac:dyDescent="0.25">
      <c r="E88" s="5"/>
      <c r="R88" s="5"/>
      <c r="AF88" s="5"/>
      <c r="AT88" s="5"/>
      <c r="BG88" s="5"/>
      <c r="BT88" s="5"/>
      <c r="CG88" s="5"/>
    </row>
    <row r="89" spans="4:85" x14ac:dyDescent="0.25">
      <c r="D89" s="10" t="s">
        <v>205</v>
      </c>
      <c r="E89" s="5"/>
      <c r="Q89" s="10" t="s">
        <v>205</v>
      </c>
      <c r="R89" s="5"/>
      <c r="AE89" s="10" t="s">
        <v>205</v>
      </c>
      <c r="AF89" s="5"/>
      <c r="AS89" s="10" t="s">
        <v>205</v>
      </c>
      <c r="AT89" s="5"/>
      <c r="BF89" s="10" t="s">
        <v>205</v>
      </c>
      <c r="BG89" s="5"/>
      <c r="BS89" s="10" t="s">
        <v>205</v>
      </c>
      <c r="BT89" s="5"/>
      <c r="CF89" s="10" t="s">
        <v>205</v>
      </c>
      <c r="CG89" s="5"/>
    </row>
    <row r="90" spans="4:85" x14ac:dyDescent="0.25">
      <c r="D90" t="s">
        <v>261</v>
      </c>
      <c r="E90" s="5">
        <f>E83*E76</f>
        <v>1015.4159999999999</v>
      </c>
      <c r="Q90" t="s">
        <v>261</v>
      </c>
      <c r="R90" s="5">
        <f>R83*R76</f>
        <v>1241.0640000000001</v>
      </c>
      <c r="AE90" t="s">
        <v>261</v>
      </c>
      <c r="AF90" s="5">
        <f>AF83*AF76</f>
        <v>1692.36</v>
      </c>
      <c r="AS90" t="s">
        <v>261</v>
      </c>
      <c r="AT90" s="5">
        <f>AT83*AT76</f>
        <v>1241.0640000000001</v>
      </c>
      <c r="BF90" t="s">
        <v>261</v>
      </c>
      <c r="BG90" s="5">
        <f>BG83*BG76</f>
        <v>1692.36</v>
      </c>
      <c r="BS90" t="s">
        <v>261</v>
      </c>
      <c r="BT90" s="5">
        <f>BT83*BT76</f>
        <v>1918.008</v>
      </c>
      <c r="CF90" t="s">
        <v>261</v>
      </c>
      <c r="CG90" s="5">
        <f>CG83*CG76</f>
        <v>1918.008</v>
      </c>
    </row>
    <row r="91" spans="4:85" x14ac:dyDescent="0.25">
      <c r="D91" t="s">
        <v>231</v>
      </c>
      <c r="E91" s="5">
        <f t="shared" ref="E91:E94" si="32">E84*E77</f>
        <v>145.536</v>
      </c>
      <c r="Q91" t="s">
        <v>231</v>
      </c>
      <c r="R91" s="5">
        <f>R84*R77</f>
        <v>145.536</v>
      </c>
      <c r="AE91" t="s">
        <v>231</v>
      </c>
      <c r="AF91" s="5">
        <f t="shared" ref="AF91:AF94" si="33">AF84*AF77</f>
        <v>145.536</v>
      </c>
      <c r="AS91" t="s">
        <v>231</v>
      </c>
      <c r="AT91" s="5">
        <f>AT84*AT77</f>
        <v>145.536</v>
      </c>
      <c r="BF91" t="s">
        <v>231</v>
      </c>
      <c r="BG91" s="5">
        <f>BG84*BG77</f>
        <v>145.536</v>
      </c>
      <c r="BS91" t="s">
        <v>231</v>
      </c>
      <c r="BT91" s="5">
        <f>BT84*BT77</f>
        <v>145.536</v>
      </c>
      <c r="CF91" t="s">
        <v>231</v>
      </c>
      <c r="CG91" s="5">
        <f>CG84*CG77</f>
        <v>145.536</v>
      </c>
    </row>
    <row r="92" spans="4:85" x14ac:dyDescent="0.25">
      <c r="D92" t="s">
        <v>262</v>
      </c>
      <c r="E92" s="5">
        <f t="shared" si="32"/>
        <v>539.4</v>
      </c>
      <c r="Q92" t="s">
        <v>262</v>
      </c>
      <c r="R92" s="5">
        <f>R85*R78</f>
        <v>539.4</v>
      </c>
      <c r="AE92" t="s">
        <v>262</v>
      </c>
      <c r="AF92" s="5">
        <f t="shared" si="33"/>
        <v>539.4</v>
      </c>
      <c r="AS92" t="s">
        <v>262</v>
      </c>
      <c r="AT92" s="5">
        <f>AT85*AT78</f>
        <v>539.4</v>
      </c>
      <c r="BF92" t="s">
        <v>262</v>
      </c>
      <c r="BG92" s="5">
        <f>BG85*BG78</f>
        <v>539.4</v>
      </c>
      <c r="BS92" t="s">
        <v>262</v>
      </c>
      <c r="BT92" s="5">
        <f>BT85*BT78</f>
        <v>539.4</v>
      </c>
      <c r="CF92" t="s">
        <v>262</v>
      </c>
      <c r="CG92" s="5">
        <f>CG85*CG78</f>
        <v>539.4</v>
      </c>
    </row>
    <row r="93" spans="4:85" x14ac:dyDescent="0.25">
      <c r="D93" t="s">
        <v>14</v>
      </c>
      <c r="E93" s="5">
        <f t="shared" si="32"/>
        <v>33.014260470600007</v>
      </c>
      <c r="Q93" t="s">
        <v>14</v>
      </c>
      <c r="R93" s="5">
        <f>R86*R79</f>
        <v>37.04901625434735</v>
      </c>
      <c r="AE93" t="s">
        <v>14</v>
      </c>
      <c r="AF93" s="5">
        <f t="shared" si="33"/>
        <v>45.766431843605552</v>
      </c>
      <c r="AS93" t="s">
        <v>14</v>
      </c>
      <c r="AT93" s="5">
        <f>AT86*AT79</f>
        <v>37.04901625434735</v>
      </c>
      <c r="BF93" t="s">
        <v>14</v>
      </c>
      <c r="BG93" s="5">
        <f>BG86*BG79</f>
        <v>45.766431843605552</v>
      </c>
      <c r="BS93" t="s">
        <v>14</v>
      </c>
      <c r="BT93" s="5">
        <f>BT86*BT79</f>
        <v>50.125139638234664</v>
      </c>
      <c r="CF93" t="s">
        <v>14</v>
      </c>
      <c r="CG93" s="5">
        <f>CG86*CG79</f>
        <v>50.125139638234664</v>
      </c>
    </row>
    <row r="94" spans="4:85" x14ac:dyDescent="0.25">
      <c r="D94" t="s">
        <v>100</v>
      </c>
      <c r="E94" s="5">
        <f t="shared" si="32"/>
        <v>272.03253348214287</v>
      </c>
      <c r="Q94" t="s">
        <v>100</v>
      </c>
      <c r="R94" s="5">
        <f>R87*R80</f>
        <v>308.30353794642855</v>
      </c>
      <c r="AE94" t="s">
        <v>100</v>
      </c>
      <c r="AF94" s="5">
        <f t="shared" si="33"/>
        <v>380.84554687499997</v>
      </c>
      <c r="AS94" t="s">
        <v>100</v>
      </c>
      <c r="AT94" s="5">
        <f>AT87*AT80</f>
        <v>0</v>
      </c>
      <c r="BF94" t="s">
        <v>100</v>
      </c>
      <c r="BG94" s="5">
        <f>BG87*BG80</f>
        <v>0</v>
      </c>
      <c r="BS94" t="s">
        <v>100</v>
      </c>
      <c r="BT94" s="5">
        <f>BT87*BT80</f>
        <v>0</v>
      </c>
      <c r="CF94" t="s">
        <v>100</v>
      </c>
      <c r="CG94" s="5">
        <f>CG87*CG80</f>
        <v>0</v>
      </c>
    </row>
    <row r="96" spans="4:85" x14ac:dyDescent="0.25">
      <c r="D96" t="s">
        <v>58</v>
      </c>
      <c r="E96" s="5">
        <f>SUM(E90:E94)</f>
        <v>2005.3987939527428</v>
      </c>
      <c r="Q96" t="s">
        <v>58</v>
      </c>
      <c r="R96" s="5">
        <f>SUM(R90:R94)</f>
        <v>2271.352554200776</v>
      </c>
      <c r="AE96" t="s">
        <v>58</v>
      </c>
      <c r="AF96" s="5">
        <f>SUM(AF90:AF94)</f>
        <v>2803.9079787186051</v>
      </c>
      <c r="AS96" t="s">
        <v>58</v>
      </c>
      <c r="AT96" s="5">
        <f>SUM(AT90:AT94)</f>
        <v>1963.0490162543474</v>
      </c>
      <c r="BF96" t="s">
        <v>58</v>
      </c>
      <c r="BG96" s="5">
        <f>SUM(BG90:BG94)</f>
        <v>2423.0624318436053</v>
      </c>
      <c r="BS96" t="s">
        <v>58</v>
      </c>
      <c r="BT96" s="5">
        <f>SUM(BT90:BT94)</f>
        <v>2653.0691396382344</v>
      </c>
      <c r="CF96" t="s">
        <v>58</v>
      </c>
      <c r="CG96" s="5">
        <f>SUM(CG90:CG94)</f>
        <v>2653.0691396382344</v>
      </c>
    </row>
    <row r="98" spans="1:206" x14ac:dyDescent="0.25">
      <c r="D98" s="3" t="s">
        <v>265</v>
      </c>
      <c r="E98" s="38">
        <f>E96+E27</f>
        <v>2005.3987939527428</v>
      </c>
      <c r="Q98" s="3" t="s">
        <v>265</v>
      </c>
      <c r="R98" s="38">
        <f>R96+R27</f>
        <v>2271.352554200776</v>
      </c>
      <c r="AE98" s="3" t="s">
        <v>265</v>
      </c>
      <c r="AF98" s="38">
        <f>AF96+AF27</f>
        <v>2803.9079787186051</v>
      </c>
      <c r="AS98" s="3" t="s">
        <v>265</v>
      </c>
      <c r="AT98" s="38">
        <f>AT96+AT27</f>
        <v>1963.0490162543474</v>
      </c>
      <c r="BF98" s="3" t="s">
        <v>265</v>
      </c>
      <c r="BG98" s="38">
        <f>BG96+BG27</f>
        <v>2423.0624318436053</v>
      </c>
      <c r="BS98" s="3" t="s">
        <v>265</v>
      </c>
      <c r="BT98" s="38">
        <f>BT96+BT27</f>
        <v>2653.0691396382344</v>
      </c>
      <c r="CF98" s="3" t="s">
        <v>265</v>
      </c>
      <c r="CG98" s="38">
        <f>CG96+CG27</f>
        <v>2653.0691396382344</v>
      </c>
    </row>
    <row r="100" spans="1:206" s="3" customFormat="1" ht="18.75" x14ac:dyDescent="0.3">
      <c r="A100" s="17" t="s">
        <v>463</v>
      </c>
      <c r="O100" s="20"/>
      <c r="AC100" s="20"/>
      <c r="AQ100" s="20"/>
      <c r="BD100" s="20"/>
      <c r="BQ100" s="20"/>
      <c r="CD100" s="20"/>
      <c r="CQ100" s="20"/>
      <c r="DE100" s="20"/>
      <c r="DS100" s="20"/>
      <c r="EG100" s="20"/>
      <c r="EU100" s="20"/>
      <c r="FI100" s="20"/>
      <c r="FW100" s="20"/>
      <c r="GK100" s="20"/>
    </row>
    <row r="101" spans="1:206" x14ac:dyDescent="0.25">
      <c r="CB101" t="s">
        <v>523</v>
      </c>
      <c r="CO101" t="s">
        <v>523</v>
      </c>
      <c r="GW101">
        <f>4.4*4</f>
        <v>17.600000000000001</v>
      </c>
    </row>
    <row r="102" spans="1:206" x14ac:dyDescent="0.25">
      <c r="C102" t="s">
        <v>465</v>
      </c>
      <c r="K102" t="s">
        <v>468</v>
      </c>
      <c r="R102" t="s">
        <v>465</v>
      </c>
      <c r="Z102" t="s">
        <v>468</v>
      </c>
      <c r="AF102" t="s">
        <v>465</v>
      </c>
      <c r="AN102" t="s">
        <v>468</v>
      </c>
      <c r="AT102" t="s">
        <v>465</v>
      </c>
      <c r="BB102" t="s">
        <v>468</v>
      </c>
      <c r="BG102" t="s">
        <v>465</v>
      </c>
      <c r="BO102" t="s">
        <v>468</v>
      </c>
      <c r="BT102" t="s">
        <v>465</v>
      </c>
      <c r="CB102" t="s">
        <v>524</v>
      </c>
      <c r="CG102" t="s">
        <v>465</v>
      </c>
      <c r="CO102" t="s">
        <v>524</v>
      </c>
      <c r="CS102" t="str">
        <f t="shared" ref="CS102:CX104" si="34">CG102</f>
        <v>Yearly</v>
      </c>
      <c r="DG102" t="s">
        <v>465</v>
      </c>
      <c r="DU102" t="s">
        <v>465</v>
      </c>
      <c r="EI102" t="s">
        <v>465</v>
      </c>
      <c r="EW102" t="s">
        <v>465</v>
      </c>
      <c r="FK102" t="s">
        <v>465</v>
      </c>
      <c r="FY102" t="s">
        <v>465</v>
      </c>
      <c r="GW102">
        <f>GW101*2</f>
        <v>35.200000000000003</v>
      </c>
    </row>
    <row r="103" spans="1:206" x14ac:dyDescent="0.25">
      <c r="D103" t="s">
        <v>80</v>
      </c>
      <c r="E103" t="s">
        <v>2</v>
      </c>
      <c r="F103" t="s">
        <v>81</v>
      </c>
      <c r="G103" t="s">
        <v>82</v>
      </c>
      <c r="H103" t="s">
        <v>59</v>
      </c>
      <c r="K103" t="s">
        <v>469</v>
      </c>
      <c r="L103">
        <v>86</v>
      </c>
      <c r="M103" t="s">
        <v>470</v>
      </c>
      <c r="S103" t="s">
        <v>80</v>
      </c>
      <c r="T103" t="s">
        <v>2</v>
      </c>
      <c r="U103" t="s">
        <v>81</v>
      </c>
      <c r="V103" t="s">
        <v>82</v>
      </c>
      <c r="W103" t="s">
        <v>59</v>
      </c>
      <c r="Z103" t="s">
        <v>469</v>
      </c>
      <c r="AA103">
        <f>'SAF - Design'!J10</f>
        <v>215</v>
      </c>
      <c r="AB103" t="s">
        <v>470</v>
      </c>
      <c r="AG103" t="s">
        <v>80</v>
      </c>
      <c r="AH103" t="s">
        <v>2</v>
      </c>
      <c r="AI103" t="s">
        <v>81</v>
      </c>
      <c r="AJ103" t="s">
        <v>82</v>
      </c>
      <c r="AK103" t="s">
        <v>59</v>
      </c>
      <c r="AN103" t="s">
        <v>469</v>
      </c>
      <c r="AO103">
        <f>'SAF - Design'!J13</f>
        <v>450</v>
      </c>
      <c r="AP103" t="s">
        <v>470</v>
      </c>
      <c r="AU103" t="s">
        <v>80</v>
      </c>
      <c r="AV103" t="s">
        <v>2</v>
      </c>
      <c r="AW103" t="s">
        <v>81</v>
      </c>
      <c r="AX103" t="s">
        <v>82</v>
      </c>
      <c r="AY103" t="s">
        <v>59</v>
      </c>
      <c r="BB103" t="s">
        <v>469</v>
      </c>
      <c r="BC103">
        <v>700</v>
      </c>
      <c r="BD103" s="18" t="s">
        <v>470</v>
      </c>
      <c r="BH103" t="s">
        <v>80</v>
      </c>
      <c r="BI103" t="s">
        <v>2</v>
      </c>
      <c r="BJ103" t="s">
        <v>81</v>
      </c>
      <c r="BK103" t="s">
        <v>82</v>
      </c>
      <c r="BL103" t="s">
        <v>59</v>
      </c>
      <c r="BO103" t="s">
        <v>469</v>
      </c>
      <c r="BP103">
        <v>1100</v>
      </c>
      <c r="BQ103" s="18" t="s">
        <v>470</v>
      </c>
      <c r="BU103" t="s">
        <v>80</v>
      </c>
      <c r="BV103" t="s">
        <v>2</v>
      </c>
      <c r="BW103" t="s">
        <v>81</v>
      </c>
      <c r="BX103" t="s">
        <v>82</v>
      </c>
      <c r="BY103" t="s">
        <v>59</v>
      </c>
      <c r="CB103" t="s">
        <v>525</v>
      </c>
      <c r="CH103" t="s">
        <v>80</v>
      </c>
      <c r="CI103" t="s">
        <v>2</v>
      </c>
      <c r="CJ103" t="s">
        <v>81</v>
      </c>
      <c r="CK103" t="s">
        <v>82</v>
      </c>
      <c r="CL103" t="s">
        <v>59</v>
      </c>
      <c r="CO103" t="s">
        <v>525</v>
      </c>
      <c r="CT103" t="str">
        <f t="shared" si="34"/>
        <v>Item</v>
      </c>
      <c r="CU103" t="str">
        <f t="shared" si="34"/>
        <v>Unit</v>
      </c>
      <c r="CV103" t="str">
        <f t="shared" si="34"/>
        <v>Ref</v>
      </c>
      <c r="CW103" t="str">
        <f t="shared" si="34"/>
        <v>Ref (2021)</v>
      </c>
      <c r="CX103" t="str">
        <f t="shared" si="34"/>
        <v>Cost (£)</v>
      </c>
      <c r="DH103" t="s">
        <v>80</v>
      </c>
      <c r="DI103" t="s">
        <v>2</v>
      </c>
      <c r="DJ103" t="s">
        <v>81</v>
      </c>
      <c r="DK103" t="s">
        <v>82</v>
      </c>
      <c r="DL103" t="s">
        <v>59</v>
      </c>
      <c r="DV103" t="s">
        <v>80</v>
      </c>
      <c r="DW103" t="s">
        <v>2</v>
      </c>
      <c r="DX103" t="s">
        <v>81</v>
      </c>
      <c r="DY103" t="s">
        <v>82</v>
      </c>
      <c r="DZ103" t="s">
        <v>59</v>
      </c>
      <c r="EJ103" t="s">
        <v>80</v>
      </c>
      <c r="EK103" t="s">
        <v>2</v>
      </c>
      <c r="EL103" t="s">
        <v>81</v>
      </c>
      <c r="EM103" t="s">
        <v>82</v>
      </c>
      <c r="EN103" t="s">
        <v>59</v>
      </c>
      <c r="EX103" t="s">
        <v>80</v>
      </c>
      <c r="EY103" t="s">
        <v>2</v>
      </c>
      <c r="EZ103" t="s">
        <v>81</v>
      </c>
      <c r="FA103" t="s">
        <v>82</v>
      </c>
      <c r="FB103" t="s">
        <v>59</v>
      </c>
      <c r="FL103" t="s">
        <v>80</v>
      </c>
      <c r="FM103" t="s">
        <v>2</v>
      </c>
      <c r="FN103" t="s">
        <v>81</v>
      </c>
      <c r="FO103" t="s">
        <v>82</v>
      </c>
      <c r="FP103" t="s">
        <v>59</v>
      </c>
      <c r="FZ103" t="s">
        <v>80</v>
      </c>
      <c r="GA103" t="s">
        <v>2</v>
      </c>
      <c r="GB103" t="s">
        <v>81</v>
      </c>
      <c r="GC103" t="s">
        <v>82</v>
      </c>
      <c r="GD103" t="s">
        <v>59</v>
      </c>
      <c r="GO103" t="s">
        <v>465</v>
      </c>
      <c r="GV103" t="s">
        <v>468</v>
      </c>
    </row>
    <row r="104" spans="1:206" x14ac:dyDescent="0.25">
      <c r="D104" t="s">
        <v>466</v>
      </c>
      <c r="E104">
        <f>L106</f>
        <v>0.75336000000000003</v>
      </c>
      <c r="F104" s="1">
        <f>Index!$C$64</f>
        <v>35.634615384615387</v>
      </c>
      <c r="G104" s="1">
        <f>F104</f>
        <v>35.634615384615387</v>
      </c>
      <c r="H104">
        <f>E104*G104</f>
        <v>26.84569384615385</v>
      </c>
      <c r="K104" t="s">
        <v>471</v>
      </c>
      <c r="L104">
        <v>8760</v>
      </c>
      <c r="M104" t="s">
        <v>472</v>
      </c>
      <c r="S104" t="s">
        <v>466</v>
      </c>
      <c r="T104">
        <f>AA106</f>
        <v>1.8834</v>
      </c>
      <c r="U104" s="1">
        <f>Index!$C$64</f>
        <v>35.634615384615387</v>
      </c>
      <c r="V104" s="1">
        <f>U104</f>
        <v>35.634615384615387</v>
      </c>
      <c r="W104">
        <f>T104*V104</f>
        <v>67.114234615384618</v>
      </c>
      <c r="Z104" t="s">
        <v>471</v>
      </c>
      <c r="AA104">
        <v>8760</v>
      </c>
      <c r="AB104" t="s">
        <v>472</v>
      </c>
      <c r="AG104" t="s">
        <v>466</v>
      </c>
      <c r="AH104">
        <f>AO106</f>
        <v>3.9420000000000002</v>
      </c>
      <c r="AI104" s="1">
        <f>Index!$C$64</f>
        <v>35.634615384615387</v>
      </c>
      <c r="AJ104" s="1">
        <f>AI104</f>
        <v>35.634615384615387</v>
      </c>
      <c r="AK104">
        <f>AH104*AJ104</f>
        <v>140.47165384615386</v>
      </c>
      <c r="AN104" t="s">
        <v>471</v>
      </c>
      <c r="AO104">
        <v>8760</v>
      </c>
      <c r="AP104" t="s">
        <v>472</v>
      </c>
      <c r="AU104" t="s">
        <v>466</v>
      </c>
      <c r="AV104">
        <f>BC106</f>
        <v>6.1319999999999997</v>
      </c>
      <c r="AW104" s="1">
        <f>Index!$C$64</f>
        <v>35.634615384615387</v>
      </c>
      <c r="AX104" s="1">
        <f>AW104</f>
        <v>35.634615384615387</v>
      </c>
      <c r="AY104">
        <f>AV104*AX104</f>
        <v>218.51146153846153</v>
      </c>
      <c r="BB104" t="s">
        <v>471</v>
      </c>
      <c r="BC104">
        <v>8760</v>
      </c>
      <c r="BD104" s="18" t="s">
        <v>472</v>
      </c>
      <c r="BH104" t="s">
        <v>466</v>
      </c>
      <c r="BI104">
        <f>BP106</f>
        <v>9.6359999999999992</v>
      </c>
      <c r="BJ104" s="1">
        <f>Index!$C$64</f>
        <v>35.634615384615387</v>
      </c>
      <c r="BK104" s="1">
        <f>BJ104</f>
        <v>35.634615384615387</v>
      </c>
      <c r="BL104">
        <f>BI104*BK104</f>
        <v>343.37515384615386</v>
      </c>
      <c r="BO104" t="s">
        <v>471</v>
      </c>
      <c r="BP104">
        <v>8760</v>
      </c>
      <c r="BQ104" s="18" t="s">
        <v>472</v>
      </c>
      <c r="BU104" t="s">
        <v>466</v>
      </c>
      <c r="BV104">
        <f>CB110</f>
        <v>14.891999999999999</v>
      </c>
      <c r="BW104" s="1">
        <f>Index!$C$64</f>
        <v>35.634615384615387</v>
      </c>
      <c r="BX104" s="1">
        <f>BW104</f>
        <v>35.634615384615387</v>
      </c>
      <c r="BY104">
        <f>BV104*BX104</f>
        <v>530.67069230769232</v>
      </c>
      <c r="CB104">
        <v>1.7</v>
      </c>
      <c r="CC104" t="s">
        <v>532</v>
      </c>
      <c r="CH104" t="s">
        <v>466</v>
      </c>
      <c r="CI104">
        <f>CO110</f>
        <v>31.448399999999999</v>
      </c>
      <c r="CJ104" s="1">
        <f>Index!$C$64</f>
        <v>35.634615384615387</v>
      </c>
      <c r="CK104" s="1">
        <f>CJ104</f>
        <v>35.634615384615387</v>
      </c>
      <c r="CL104">
        <f>CI104*CK104</f>
        <v>1120.6516384615386</v>
      </c>
      <c r="CO104">
        <v>3.59</v>
      </c>
      <c r="CP104" t="s">
        <v>532</v>
      </c>
      <c r="CT104" t="str">
        <f t="shared" si="34"/>
        <v>Grid Electricity</v>
      </c>
      <c r="CU104">
        <f>DA107</f>
        <v>28.294799999999999</v>
      </c>
      <c r="CV104">
        <f t="shared" si="34"/>
        <v>35.634615384615387</v>
      </c>
      <c r="CW104">
        <f t="shared" si="34"/>
        <v>35.634615384615387</v>
      </c>
      <c r="CX104">
        <f>CW104*CU104</f>
        <v>1008.2743153846154</v>
      </c>
      <c r="CZ104" t="s">
        <v>1610</v>
      </c>
      <c r="DA104">
        <v>3230</v>
      </c>
      <c r="DB104" t="s">
        <v>470</v>
      </c>
      <c r="DH104">
        <f t="shared" ref="DH104" si="35">CV104</f>
        <v>35.634615384615387</v>
      </c>
      <c r="DI104">
        <f>DO107</f>
        <v>37.755600000000001</v>
      </c>
      <c r="DJ104">
        <v>35.634615384615387</v>
      </c>
      <c r="DK104">
        <v>35.634615384615387</v>
      </c>
      <c r="DL104">
        <f>DK104*DI104</f>
        <v>1345.4062846153847</v>
      </c>
      <c r="DN104" t="s">
        <v>1610</v>
      </c>
      <c r="DO104">
        <v>4310</v>
      </c>
      <c r="DP104" t="s">
        <v>470</v>
      </c>
      <c r="DV104">
        <f t="shared" ref="DV104" si="36">DJ104</f>
        <v>35.634615384615387</v>
      </c>
      <c r="DW104">
        <f>EC107</f>
        <v>56.589599999999997</v>
      </c>
      <c r="DX104">
        <v>35.634615384615387</v>
      </c>
      <c r="DY104">
        <v>35.634615384615387</v>
      </c>
      <c r="DZ104">
        <f>DY104*DW104</f>
        <v>2016.5486307692308</v>
      </c>
      <c r="EB104" t="s">
        <v>1610</v>
      </c>
      <c r="EC104">
        <v>6460</v>
      </c>
      <c r="ED104" t="s">
        <v>470</v>
      </c>
      <c r="EJ104">
        <f t="shared" ref="EJ104" si="37">DX104</f>
        <v>35.634615384615387</v>
      </c>
      <c r="EK104">
        <f>EQ107</f>
        <v>75.449879999999993</v>
      </c>
      <c r="EL104">
        <v>35.634615384615387</v>
      </c>
      <c r="EM104">
        <v>35.634615384615387</v>
      </c>
      <c r="EN104">
        <f>EM104*EK104</f>
        <v>2688.6274546153845</v>
      </c>
      <c r="EP104" t="s">
        <v>1610</v>
      </c>
      <c r="EQ104">
        <v>8613</v>
      </c>
      <c r="ER104" t="s">
        <v>470</v>
      </c>
      <c r="EX104">
        <f t="shared" ref="EX104" si="38">EL104</f>
        <v>35.634615384615387</v>
      </c>
      <c r="EY104">
        <f>FE107</f>
        <v>94.310159999999996</v>
      </c>
      <c r="EZ104">
        <v>35.634615384615387</v>
      </c>
      <c r="FA104">
        <v>35.634615384615387</v>
      </c>
      <c r="FB104">
        <f>FA104*EY104</f>
        <v>3360.7062784615387</v>
      </c>
      <c r="FD104" t="s">
        <v>1610</v>
      </c>
      <c r="FE104">
        <v>10766</v>
      </c>
      <c r="FF104" t="s">
        <v>470</v>
      </c>
      <c r="FL104">
        <f t="shared" ref="FL104" si="39">EZ104</f>
        <v>35.634615384615387</v>
      </c>
      <c r="FM104">
        <f>FS107</f>
        <v>113.17919999999999</v>
      </c>
      <c r="FN104">
        <v>35.634615384615387</v>
      </c>
      <c r="FO104">
        <v>35.634615384615387</v>
      </c>
      <c r="FP104">
        <f>FO104*FM104</f>
        <v>4033.0972615384617</v>
      </c>
      <c r="FR104" t="s">
        <v>1610</v>
      </c>
      <c r="FS104">
        <v>12920</v>
      </c>
      <c r="FT104" t="s">
        <v>470</v>
      </c>
      <c r="FZ104">
        <f t="shared" ref="FZ104" si="40">FN104</f>
        <v>35.634615384615387</v>
      </c>
      <c r="GA104">
        <f>GG107</f>
        <v>150.91728000000001</v>
      </c>
      <c r="GB104">
        <v>35.634615384615387</v>
      </c>
      <c r="GC104">
        <v>35.634615384615387</v>
      </c>
      <c r="GD104">
        <f>GC104*GA104</f>
        <v>5377.8792276923086</v>
      </c>
      <c r="GF104" t="s">
        <v>1610</v>
      </c>
      <c r="GG104">
        <v>17228</v>
      </c>
      <c r="GH104" t="s">
        <v>470</v>
      </c>
      <c r="GP104" t="s">
        <v>80</v>
      </c>
      <c r="GQ104" t="s">
        <v>2</v>
      </c>
      <c r="GR104" t="s">
        <v>81</v>
      </c>
      <c r="GS104" t="s">
        <v>82</v>
      </c>
      <c r="GT104" t="s">
        <v>59</v>
      </c>
      <c r="GV104" t="s">
        <v>469</v>
      </c>
      <c r="GW104">
        <f>'SAF - Design'!$F$335</f>
        <v>21533.333333333332</v>
      </c>
      <c r="GX104" t="s">
        <v>470</v>
      </c>
    </row>
    <row r="105" spans="1:206" x14ac:dyDescent="0.25">
      <c r="CZ105" t="s">
        <v>471</v>
      </c>
      <c r="DA105">
        <v>8760</v>
      </c>
      <c r="DB105" s="18" t="s">
        <v>472</v>
      </c>
      <c r="DN105" t="s">
        <v>471</v>
      </c>
      <c r="DO105">
        <v>8760</v>
      </c>
      <c r="DP105" s="18" t="s">
        <v>472</v>
      </c>
      <c r="EB105" t="s">
        <v>471</v>
      </c>
      <c r="EC105">
        <v>8760</v>
      </c>
      <c r="ED105" s="18" t="s">
        <v>472</v>
      </c>
      <c r="EP105" t="s">
        <v>471</v>
      </c>
      <c r="EQ105">
        <v>8760</v>
      </c>
      <c r="ER105" s="18" t="s">
        <v>472</v>
      </c>
      <c r="FD105" t="s">
        <v>471</v>
      </c>
      <c r="FE105">
        <v>8760</v>
      </c>
      <c r="FF105" s="18" t="s">
        <v>472</v>
      </c>
      <c r="FR105" t="s">
        <v>471</v>
      </c>
      <c r="FS105">
        <v>8760</v>
      </c>
      <c r="FT105" s="18" t="s">
        <v>472</v>
      </c>
      <c r="GF105" t="s">
        <v>471</v>
      </c>
      <c r="GG105">
        <v>8760</v>
      </c>
      <c r="GH105" s="18" t="s">
        <v>472</v>
      </c>
      <c r="GP105" t="s">
        <v>466</v>
      </c>
      <c r="GQ105">
        <f>GW107</f>
        <v>188.63200000000001</v>
      </c>
      <c r="GR105" s="1">
        <f>Index!$C$64</f>
        <v>35.634615384615387</v>
      </c>
      <c r="GS105" s="1">
        <f>GR105</f>
        <v>35.634615384615387</v>
      </c>
      <c r="GT105">
        <f>GQ105*GS105</f>
        <v>6721.8287692307695</v>
      </c>
      <c r="GV105" t="s">
        <v>471</v>
      </c>
      <c r="GW105">
        <v>8760</v>
      </c>
      <c r="GX105" s="18" t="s">
        <v>472</v>
      </c>
    </row>
    <row r="106" spans="1:206" x14ac:dyDescent="0.25">
      <c r="K106" t="s">
        <v>468</v>
      </c>
      <c r="L106">
        <f>(L104*L103)/10^6</f>
        <v>0.75336000000000003</v>
      </c>
      <c r="M106" t="s">
        <v>473</v>
      </c>
      <c r="Z106" t="s">
        <v>468</v>
      </c>
      <c r="AA106">
        <f>(AA104*AA103)/10^6</f>
        <v>1.8834</v>
      </c>
      <c r="AB106" t="s">
        <v>473</v>
      </c>
      <c r="AN106" t="s">
        <v>468</v>
      </c>
      <c r="AO106">
        <f>(AO104*AO103)/10^6</f>
        <v>3.9420000000000002</v>
      </c>
      <c r="AP106" t="s">
        <v>473</v>
      </c>
      <c r="BB106" t="s">
        <v>468</v>
      </c>
      <c r="BC106">
        <f>(BC104*BC103)/10^6</f>
        <v>6.1319999999999997</v>
      </c>
      <c r="BD106" s="18" t="s">
        <v>473</v>
      </c>
      <c r="BO106" t="s">
        <v>468</v>
      </c>
      <c r="BP106">
        <f>(BP104*BP103)/10^6</f>
        <v>9.6359999999999992</v>
      </c>
      <c r="BQ106" s="18" t="s">
        <v>473</v>
      </c>
      <c r="CA106" t="s">
        <v>468</v>
      </c>
      <c r="CN106" t="s">
        <v>468</v>
      </c>
      <c r="GX106" s="18"/>
    </row>
    <row r="107" spans="1:206" x14ac:dyDescent="0.25">
      <c r="CA107" t="s">
        <v>469</v>
      </c>
      <c r="CB107">
        <v>1700</v>
      </c>
      <c r="CC107" t="s">
        <v>472</v>
      </c>
      <c r="CN107" t="s">
        <v>469</v>
      </c>
      <c r="CO107">
        <v>3590</v>
      </c>
      <c r="CP107" t="s">
        <v>472</v>
      </c>
      <c r="CZ107" t="s">
        <v>468</v>
      </c>
      <c r="DA107">
        <f>(DA105*DA104)/10^6</f>
        <v>28.294799999999999</v>
      </c>
      <c r="DB107" s="18" t="s">
        <v>473</v>
      </c>
      <c r="DN107" t="s">
        <v>468</v>
      </c>
      <c r="DO107">
        <f>(DO105*DO104)/10^6</f>
        <v>37.755600000000001</v>
      </c>
      <c r="DP107" s="18" t="s">
        <v>473</v>
      </c>
      <c r="EB107" t="s">
        <v>468</v>
      </c>
      <c r="EC107">
        <f>(EC105*EC104)/10^6</f>
        <v>56.589599999999997</v>
      </c>
      <c r="ED107" s="18" t="s">
        <v>473</v>
      </c>
      <c r="EP107" t="s">
        <v>468</v>
      </c>
      <c r="EQ107">
        <f>(EQ105*EQ104)/10^6</f>
        <v>75.449879999999993</v>
      </c>
      <c r="ER107" s="18" t="s">
        <v>473</v>
      </c>
      <c r="FD107" t="s">
        <v>468</v>
      </c>
      <c r="FE107">
        <f>(FE105*FE104)/10^6</f>
        <v>94.310159999999996</v>
      </c>
      <c r="FF107" s="18" t="s">
        <v>473</v>
      </c>
      <c r="FR107" t="s">
        <v>468</v>
      </c>
      <c r="FS107">
        <f>(FS105*FS104)/10^6</f>
        <v>113.17919999999999</v>
      </c>
      <c r="FT107" s="18" t="s">
        <v>473</v>
      </c>
      <c r="GF107" t="s">
        <v>468</v>
      </c>
      <c r="GG107">
        <f>(GG105*GG104)/10^6</f>
        <v>150.91728000000001</v>
      </c>
      <c r="GH107" s="18" t="s">
        <v>473</v>
      </c>
      <c r="GV107" t="s">
        <v>468</v>
      </c>
      <c r="GW107">
        <f>(GW105*GW104)/10^6</f>
        <v>188.63200000000001</v>
      </c>
      <c r="GX107" s="18" t="s">
        <v>473</v>
      </c>
    </row>
    <row r="108" spans="1:206" x14ac:dyDescent="0.25">
      <c r="C108" s="10" t="s">
        <v>205</v>
      </c>
      <c r="D108" t="s">
        <v>2</v>
      </c>
      <c r="E108" t="s">
        <v>81</v>
      </c>
      <c r="F108" t="s">
        <v>82</v>
      </c>
      <c r="G108" t="s">
        <v>59</v>
      </c>
      <c r="R108" s="10" t="s">
        <v>205</v>
      </c>
      <c r="S108" t="s">
        <v>2</v>
      </c>
      <c r="T108" t="s">
        <v>81</v>
      </c>
      <c r="U108" t="s">
        <v>82</v>
      </c>
      <c r="V108" t="s">
        <v>59</v>
      </c>
      <c r="AF108" s="56" t="s">
        <v>205</v>
      </c>
      <c r="AG108" s="25" t="s">
        <v>2</v>
      </c>
      <c r="AH108" s="25" t="s">
        <v>81</v>
      </c>
      <c r="AI108" s="25" t="s">
        <v>82</v>
      </c>
      <c r="AJ108" s="25" t="s">
        <v>59</v>
      </c>
      <c r="AK108" s="6"/>
      <c r="AT108" s="14" t="s">
        <v>205</v>
      </c>
      <c r="AU108" s="6" t="s">
        <v>2</v>
      </c>
      <c r="AV108" s="6" t="s">
        <v>81</v>
      </c>
      <c r="AW108" s="6" t="s">
        <v>82</v>
      </c>
      <c r="AX108" s="6" t="s">
        <v>59</v>
      </c>
      <c r="AY108" s="6"/>
      <c r="BG108" s="14" t="s">
        <v>205</v>
      </c>
      <c r="BH108" s="6" t="s">
        <v>2</v>
      </c>
      <c r="BI108" s="6" t="s">
        <v>81</v>
      </c>
      <c r="BJ108" s="6" t="s">
        <v>82</v>
      </c>
      <c r="BK108" s="6" t="s">
        <v>59</v>
      </c>
      <c r="BL108" s="6"/>
      <c r="BT108" s="14" t="s">
        <v>205</v>
      </c>
      <c r="BU108" s="6" t="s">
        <v>2</v>
      </c>
      <c r="BV108" s="6" t="s">
        <v>81</v>
      </c>
      <c r="BW108" s="6" t="s">
        <v>82</v>
      </c>
      <c r="BX108" s="6" t="s">
        <v>59</v>
      </c>
      <c r="BY108" s="6"/>
      <c r="CA108" t="s">
        <v>471</v>
      </c>
      <c r="CB108">
        <v>8760</v>
      </c>
      <c r="CC108" s="18" t="s">
        <v>472</v>
      </c>
      <c r="CF108" s="14" t="s">
        <v>205</v>
      </c>
      <c r="CG108" s="6" t="s">
        <v>2</v>
      </c>
      <c r="CH108" s="6" t="s">
        <v>81</v>
      </c>
      <c r="CI108" s="6" t="s">
        <v>82</v>
      </c>
      <c r="CJ108" s="6" t="s">
        <v>59</v>
      </c>
      <c r="CK108" s="6"/>
      <c r="CN108" t="s">
        <v>471</v>
      </c>
      <c r="CO108">
        <v>8760</v>
      </c>
      <c r="CP108" s="18" t="s">
        <v>472</v>
      </c>
    </row>
    <row r="109" spans="1:206" x14ac:dyDescent="0.25">
      <c r="C109" t="s">
        <v>103</v>
      </c>
      <c r="E109">
        <v>193.5</v>
      </c>
      <c r="F109">
        <v>193.5</v>
      </c>
      <c r="R109" t="s">
        <v>103</v>
      </c>
      <c r="T109">
        <v>193.5</v>
      </c>
      <c r="U109">
        <v>193.5</v>
      </c>
      <c r="AF109" s="25" t="s">
        <v>103</v>
      </c>
      <c r="AG109" s="25"/>
      <c r="AH109" s="25">
        <v>193.5</v>
      </c>
      <c r="AI109" s="25">
        <v>193.5</v>
      </c>
      <c r="AJ109" s="25"/>
      <c r="AK109" s="6"/>
      <c r="AT109" s="6" t="s">
        <v>103</v>
      </c>
      <c r="AU109" s="6"/>
      <c r="AV109">
        <f>Index!$C$66</f>
        <v>211.7</v>
      </c>
      <c r="AW109" s="6">
        <f>AV109</f>
        <v>211.7</v>
      </c>
      <c r="AX109" s="6"/>
      <c r="AY109" s="6"/>
      <c r="BG109" s="6" t="s">
        <v>103</v>
      </c>
      <c r="BH109" s="6"/>
      <c r="BI109">
        <f>Index!$C$66</f>
        <v>211.7</v>
      </c>
      <c r="BJ109" s="6">
        <f>BI109</f>
        <v>211.7</v>
      </c>
      <c r="BK109" s="6"/>
      <c r="BL109" s="6"/>
      <c r="BO109" t="s">
        <v>527</v>
      </c>
      <c r="BP109">
        <v>240</v>
      </c>
      <c r="BQ109" t="s">
        <v>528</v>
      </c>
      <c r="BT109" s="6" t="s">
        <v>103</v>
      </c>
      <c r="BU109" s="6"/>
      <c r="BV109" s="6">
        <v>193.5</v>
      </c>
      <c r="BW109" s="6">
        <v>193.5</v>
      </c>
      <c r="BX109" s="6"/>
      <c r="BY109" s="6"/>
      <c r="CC109" s="18"/>
      <c r="CF109" s="6" t="s">
        <v>103</v>
      </c>
      <c r="CG109" s="6"/>
      <c r="CH109" s="6">
        <v>193.5</v>
      </c>
      <c r="CI109" s="6">
        <v>193.5</v>
      </c>
      <c r="CJ109" s="6"/>
      <c r="CK109" s="6"/>
      <c r="CP109" s="18"/>
      <c r="DG109" t="s">
        <v>103</v>
      </c>
      <c r="DU109" t="s">
        <v>103</v>
      </c>
      <c r="EI109" t="s">
        <v>103</v>
      </c>
      <c r="EW109" t="s">
        <v>103</v>
      </c>
      <c r="FK109" t="s">
        <v>103</v>
      </c>
      <c r="FY109" t="s">
        <v>103</v>
      </c>
    </row>
    <row r="110" spans="1:206" x14ac:dyDescent="0.25">
      <c r="AU110">
        <f>(BA5*BA6*(BA7-460))*(82/212)*10^-9</f>
        <v>8.9466486792452837</v>
      </c>
      <c r="AV110">
        <f>Index!$C$67</f>
        <v>20.399999999999999</v>
      </c>
      <c r="AW110">
        <f>AU110*AV110</f>
        <v>182.51163305660378</v>
      </c>
      <c r="BB110" t="s">
        <v>527</v>
      </c>
      <c r="BC110">
        <v>240</v>
      </c>
      <c r="BD110" t="s">
        <v>528</v>
      </c>
      <c r="BH110">
        <f>(BN5*BN6*(BN7-460))*(82/212)*10^-9</f>
        <v>14.884123245283021</v>
      </c>
      <c r="BI110">
        <f>Index!$C$67</f>
        <v>20.399999999999999</v>
      </c>
      <c r="BJ110">
        <f>BH110*BI110</f>
        <v>303.63611420377362</v>
      </c>
      <c r="BU110">
        <f>(CA5*((CA6/2)^2)*PI()*(91/292)*10^-9)</f>
        <v>16.475710145568005</v>
      </c>
      <c r="BV110">
        <f>Index!$C$67</f>
        <v>20.399999999999999</v>
      </c>
      <c r="BW110">
        <f>BU110*BV110</f>
        <v>336.1044869695873</v>
      </c>
      <c r="CA110" t="s">
        <v>468</v>
      </c>
      <c r="CB110">
        <f>(CB108*CB107)/10^6</f>
        <v>14.891999999999999</v>
      </c>
      <c r="CC110" s="18" t="s">
        <v>473</v>
      </c>
      <c r="CG110">
        <f>(CN5*((CN6/2)^2)*PI()*(91/292)*10^-9)</f>
        <v>19.887115310342068</v>
      </c>
      <c r="CH110">
        <f>Index!$C$67</f>
        <v>20.399999999999999</v>
      </c>
      <c r="CI110">
        <f>CG110*CH110</f>
        <v>405.69715233097816</v>
      </c>
      <c r="CN110" t="s">
        <v>468</v>
      </c>
      <c r="CO110">
        <f>(CO108*CO107)/10^6</f>
        <v>31.448399999999999</v>
      </c>
      <c r="CP110" s="18" t="s">
        <v>473</v>
      </c>
      <c r="CS110" t="s">
        <v>103</v>
      </c>
      <c r="DH110" t="s">
        <v>1593</v>
      </c>
      <c r="DV110" t="s">
        <v>1593</v>
      </c>
      <c r="EJ110" t="s">
        <v>1593</v>
      </c>
      <c r="EX110" t="s">
        <v>1593</v>
      </c>
      <c r="FL110" t="s">
        <v>1593</v>
      </c>
      <c r="FZ110" t="s">
        <v>1593</v>
      </c>
      <c r="GN110" t="s">
        <v>103</v>
      </c>
    </row>
    <row r="111" spans="1:206" x14ac:dyDescent="0.25">
      <c r="C111" t="s">
        <v>533</v>
      </c>
      <c r="D111">
        <v>1095</v>
      </c>
      <c r="E111" t="s">
        <v>528</v>
      </c>
      <c r="R111" t="s">
        <v>533</v>
      </c>
      <c r="S111">
        <v>730</v>
      </c>
      <c r="T111" t="s">
        <v>528</v>
      </c>
      <c r="AF111" t="s">
        <v>533</v>
      </c>
      <c r="AG111">
        <v>365</v>
      </c>
      <c r="AH111" t="s">
        <v>528</v>
      </c>
      <c r="AT111" t="s">
        <v>533</v>
      </c>
      <c r="AU111">
        <v>240</v>
      </c>
      <c r="AV111" t="s">
        <v>528</v>
      </c>
      <c r="AX111">
        <f>AW109+AW110</f>
        <v>394.21163305660377</v>
      </c>
      <c r="BG111" t="s">
        <v>533</v>
      </c>
      <c r="BH111">
        <v>240</v>
      </c>
      <c r="BI111" t="s">
        <v>528</v>
      </c>
      <c r="BK111">
        <f>BJ109+BJ110</f>
        <v>515.3361142037736</v>
      </c>
      <c r="BT111" t="s">
        <v>533</v>
      </c>
      <c r="BU111">
        <v>90</v>
      </c>
      <c r="BV111" t="s">
        <v>528</v>
      </c>
      <c r="BX111">
        <f>BW109+BW110</f>
        <v>529.60448696958724</v>
      </c>
      <c r="CF111" t="s">
        <v>533</v>
      </c>
      <c r="CG111">
        <v>60</v>
      </c>
      <c r="CH111" t="s">
        <v>528</v>
      </c>
      <c r="CJ111">
        <f>CI109+CI110</f>
        <v>599.19715233097816</v>
      </c>
      <c r="CT111" t="s">
        <v>1593</v>
      </c>
      <c r="DH111">
        <v>90</v>
      </c>
      <c r="DI111">
        <f>365/DH111</f>
        <v>4.0555555555555554</v>
      </c>
      <c r="DV111">
        <v>90</v>
      </c>
      <c r="DW111">
        <f>365/DV111</f>
        <v>4.0555555555555554</v>
      </c>
      <c r="EJ111">
        <v>90</v>
      </c>
      <c r="EK111">
        <f>365/EJ111</f>
        <v>4.0555555555555554</v>
      </c>
      <c r="EX111">
        <v>90</v>
      </c>
      <c r="EY111">
        <f>365/EX111</f>
        <v>4.0555555555555554</v>
      </c>
      <c r="FL111">
        <v>90</v>
      </c>
      <c r="FM111">
        <f>365/FL111</f>
        <v>4.0555555555555554</v>
      </c>
      <c r="FZ111">
        <v>90</v>
      </c>
      <c r="GA111">
        <f>365/FZ111</f>
        <v>4.0555555555555554</v>
      </c>
      <c r="GO111" t="s">
        <v>1593</v>
      </c>
    </row>
    <row r="112" spans="1:206" x14ac:dyDescent="0.25">
      <c r="AU112">
        <f>365/AU111</f>
        <v>1.5208333333333333</v>
      </c>
      <c r="BU112">
        <f>BU111*2</f>
        <v>180</v>
      </c>
      <c r="CG112">
        <f>CG111*2</f>
        <v>120</v>
      </c>
      <c r="CT112">
        <v>90</v>
      </c>
      <c r="CU112">
        <f>365/CT112</f>
        <v>4.0555555555555554</v>
      </c>
      <c r="DI112" t="s">
        <v>1594</v>
      </c>
      <c r="DW112" t="s">
        <v>1594</v>
      </c>
      <c r="EK112" t="s">
        <v>1594</v>
      </c>
      <c r="EY112" t="s">
        <v>1594</v>
      </c>
      <c r="FM112" t="s">
        <v>1594</v>
      </c>
      <c r="GA112" t="s">
        <v>1594</v>
      </c>
      <c r="GO112">
        <v>90</v>
      </c>
      <c r="GP112">
        <f>365/GO112</f>
        <v>4.0555555555555554</v>
      </c>
    </row>
    <row r="113" spans="3:202" x14ac:dyDescent="0.25">
      <c r="CU113" t="s">
        <v>1594</v>
      </c>
      <c r="DH113" t="s">
        <v>149</v>
      </c>
      <c r="DI113">
        <f>'SAF - Design'!BA180</f>
        <v>1.3</v>
      </c>
      <c r="DV113" t="s">
        <v>149</v>
      </c>
      <c r="DW113">
        <f>'SAF - Design'!BB180</f>
        <v>1.9000000000000001</v>
      </c>
      <c r="EJ113" t="s">
        <v>149</v>
      </c>
      <c r="EK113">
        <f>'SAF - Design'!BC180</f>
        <v>2.6</v>
      </c>
      <c r="EX113" t="s">
        <v>149</v>
      </c>
      <c r="EY113">
        <f>'SAF - Design'!BD180</f>
        <v>3.2</v>
      </c>
      <c r="FL113" t="s">
        <v>149</v>
      </c>
      <c r="FM113">
        <f>'SAF - Design'!BE180</f>
        <v>3.9</v>
      </c>
      <c r="FZ113" t="s">
        <v>149</v>
      </c>
      <c r="GA113">
        <f>'SAF - Design'!BF180</f>
        <v>5.0999999999999996</v>
      </c>
      <c r="GP113" t="s">
        <v>1594</v>
      </c>
    </row>
    <row r="114" spans="3:202" x14ac:dyDescent="0.25">
      <c r="D114" t="s">
        <v>325</v>
      </c>
      <c r="H114" t="s">
        <v>59</v>
      </c>
      <c r="S114" t="s">
        <v>325</v>
      </c>
      <c r="W114" t="s">
        <v>59</v>
      </c>
      <c r="AG114" t="s">
        <v>325</v>
      </c>
      <c r="AK114" t="s">
        <v>59</v>
      </c>
      <c r="AU114" t="s">
        <v>325</v>
      </c>
      <c r="AY114" t="s">
        <v>59</v>
      </c>
      <c r="BH114" t="s">
        <v>325</v>
      </c>
      <c r="BL114" t="s">
        <v>59</v>
      </c>
      <c r="BU114" t="s">
        <v>325</v>
      </c>
      <c r="BY114" t="s">
        <v>59</v>
      </c>
      <c r="CG114" t="s">
        <v>325</v>
      </c>
      <c r="CK114" t="s">
        <v>59</v>
      </c>
      <c r="CT114" t="s">
        <v>149</v>
      </c>
      <c r="CU114">
        <f>'SAF - Design'!AZ180</f>
        <v>1</v>
      </c>
      <c r="GO114" t="s">
        <v>149</v>
      </c>
      <c r="GP114">
        <f>'SAF - Design'!$BG$180</f>
        <v>6.5</v>
      </c>
    </row>
    <row r="115" spans="3:202" x14ac:dyDescent="0.25">
      <c r="C115" t="s">
        <v>324</v>
      </c>
      <c r="D115" s="10">
        <v>5</v>
      </c>
      <c r="E115" s="10">
        <v>10</v>
      </c>
      <c r="F115" s="10">
        <v>25</v>
      </c>
      <c r="R115" t="s">
        <v>324</v>
      </c>
      <c r="S115" s="10">
        <v>5</v>
      </c>
      <c r="T115" s="10">
        <v>10</v>
      </c>
      <c r="U115" s="10">
        <v>25</v>
      </c>
      <c r="AG115" s="10">
        <v>5</v>
      </c>
      <c r="AH115" s="10">
        <v>10</v>
      </c>
      <c r="AI115" s="10">
        <v>25</v>
      </c>
      <c r="AT115" t="s">
        <v>324</v>
      </c>
      <c r="AU115" s="10">
        <v>5</v>
      </c>
      <c r="AV115" s="10">
        <v>10</v>
      </c>
      <c r="AW115" s="10">
        <v>25</v>
      </c>
      <c r="BG115" t="s">
        <v>324</v>
      </c>
      <c r="BH115" s="10">
        <v>5</v>
      </c>
      <c r="BI115" s="10">
        <v>10</v>
      </c>
      <c r="BJ115" s="10">
        <v>25</v>
      </c>
      <c r="BT115" t="s">
        <v>324</v>
      </c>
      <c r="BU115" s="10">
        <v>5</v>
      </c>
      <c r="BV115" s="10">
        <v>10</v>
      </c>
      <c r="BW115" s="10">
        <v>25</v>
      </c>
      <c r="CF115" t="s">
        <v>324</v>
      </c>
      <c r="CG115" s="10">
        <v>5</v>
      </c>
      <c r="CH115" s="10">
        <v>10</v>
      </c>
      <c r="CI115" s="10">
        <v>25</v>
      </c>
    </row>
    <row r="116" spans="3:202" x14ac:dyDescent="0.25">
      <c r="C116" s="10">
        <v>6</v>
      </c>
      <c r="D116" s="5">
        <f t="shared" ref="D116:F123" si="41">ROUNDDOWN($C116*D$115,0)</f>
        <v>30</v>
      </c>
      <c r="E116" s="5">
        <f t="shared" si="41"/>
        <v>60</v>
      </c>
      <c r="F116" s="5">
        <f t="shared" si="41"/>
        <v>150</v>
      </c>
      <c r="H116">
        <f>F116*$F$109</f>
        <v>29025</v>
      </c>
      <c r="R116">
        <v>7.3</v>
      </c>
      <c r="S116" s="5">
        <f t="shared" ref="S116:U122" si="42">ROUNDDOWN($R116*S$115,0)</f>
        <v>36</v>
      </c>
      <c r="T116" s="5">
        <f t="shared" si="42"/>
        <v>73</v>
      </c>
      <c r="U116" s="5">
        <f t="shared" si="42"/>
        <v>182</v>
      </c>
      <c r="W116">
        <f>U116*$U$109</f>
        <v>35217</v>
      </c>
      <c r="Y116">
        <f t="shared" ref="Y116:Y122" si="43">R116*$U$109</f>
        <v>1412.55</v>
      </c>
      <c r="AF116">
        <v>9.125</v>
      </c>
      <c r="AG116" s="5">
        <f t="shared" ref="AG116:AI122" si="44">ROUNDDOWN($AF116*AG$115,0)</f>
        <v>45</v>
      </c>
      <c r="AH116" s="5">
        <f t="shared" si="44"/>
        <v>91</v>
      </c>
      <c r="AI116" s="5">
        <f t="shared" si="44"/>
        <v>228</v>
      </c>
      <c r="AK116">
        <f>AI116*$AI$109</f>
        <v>44118</v>
      </c>
      <c r="AT116">
        <v>12.167</v>
      </c>
      <c r="AU116" s="5">
        <f t="shared" ref="AU116:AW122" si="45">ROUNDDOWN($AT116*AU$115,0)</f>
        <v>60</v>
      </c>
      <c r="AV116" s="5">
        <f t="shared" si="45"/>
        <v>121</v>
      </c>
      <c r="AW116" s="5">
        <f t="shared" si="45"/>
        <v>304</v>
      </c>
      <c r="AY116">
        <f>AW116*$AX$111</f>
        <v>119840.33644920755</v>
      </c>
      <c r="BG116">
        <v>12.167</v>
      </c>
      <c r="BH116" s="5">
        <f t="shared" ref="BH116:BJ122" si="46">ROUNDDOWN($BG116*BH$115,0)</f>
        <v>60</v>
      </c>
      <c r="BI116" s="5">
        <f t="shared" si="46"/>
        <v>121</v>
      </c>
      <c r="BJ116" s="5">
        <f t="shared" si="46"/>
        <v>304</v>
      </c>
      <c r="BL116">
        <f>BJ116*$BK$111</f>
        <v>156662.17871794719</v>
      </c>
      <c r="BU116" s="5">
        <f t="shared" ref="BU116:BW122" si="47">ROUNDDOWN($BT116*BU$115,0)</f>
        <v>0</v>
      </c>
      <c r="BV116" s="5">
        <f t="shared" si="47"/>
        <v>0</v>
      </c>
      <c r="BW116" s="5">
        <f t="shared" si="47"/>
        <v>0</v>
      </c>
      <c r="BY116">
        <f>BW116*$F$109</f>
        <v>0</v>
      </c>
      <c r="CG116" s="5">
        <f t="shared" ref="CG116:CI122" si="48">ROUNDDOWN($CF116*CG$115,0)</f>
        <v>0</v>
      </c>
      <c r="CH116" s="5">
        <f t="shared" si="48"/>
        <v>0</v>
      </c>
      <c r="CI116" s="5">
        <f t="shared" si="48"/>
        <v>0</v>
      </c>
      <c r="CK116">
        <f>CI116*$F$109</f>
        <v>0</v>
      </c>
      <c r="DH116" t="s">
        <v>1595</v>
      </c>
      <c r="DI116">
        <f>Index!$C$66</f>
        <v>211.7</v>
      </c>
      <c r="DV116" t="s">
        <v>1595</v>
      </c>
      <c r="DW116">
        <f>Index!$C$66</f>
        <v>211.7</v>
      </c>
      <c r="EJ116" t="s">
        <v>1595</v>
      </c>
      <c r="EK116">
        <f>Index!$C$66</f>
        <v>211.7</v>
      </c>
      <c r="EX116" t="s">
        <v>1595</v>
      </c>
      <c r="EY116">
        <f>Index!$C$66</f>
        <v>211.7</v>
      </c>
      <c r="FL116" t="s">
        <v>1595</v>
      </c>
      <c r="FM116">
        <f>Index!$C$66</f>
        <v>211.7</v>
      </c>
      <c r="FZ116" t="s">
        <v>1595</v>
      </c>
      <c r="GA116">
        <f>$GP$117</f>
        <v>635.09999999999991</v>
      </c>
    </row>
    <row r="117" spans="3:202" x14ac:dyDescent="0.25">
      <c r="C117" s="10">
        <v>4</v>
      </c>
      <c r="D117" s="5">
        <f t="shared" si="41"/>
        <v>20</v>
      </c>
      <c r="E117" s="5">
        <f t="shared" si="41"/>
        <v>40</v>
      </c>
      <c r="F117" s="5">
        <f t="shared" si="41"/>
        <v>100</v>
      </c>
      <c r="H117">
        <f t="shared" ref="H117:H122" si="49">F117*$F$109</f>
        <v>19350</v>
      </c>
      <c r="R117" s="10">
        <v>6</v>
      </c>
      <c r="S117" s="5">
        <f t="shared" si="42"/>
        <v>30</v>
      </c>
      <c r="T117" s="5">
        <f t="shared" si="42"/>
        <v>60</v>
      </c>
      <c r="U117" s="5">
        <f t="shared" si="42"/>
        <v>150</v>
      </c>
      <c r="W117">
        <f t="shared" ref="W117:W122" si="50">U117*$U$109</f>
        <v>29025</v>
      </c>
      <c r="Y117">
        <f t="shared" si="43"/>
        <v>1161</v>
      </c>
      <c r="AF117">
        <v>7.3</v>
      </c>
      <c r="AG117" s="5">
        <f t="shared" si="44"/>
        <v>36</v>
      </c>
      <c r="AH117" s="5">
        <f t="shared" si="44"/>
        <v>73</v>
      </c>
      <c r="AI117" s="5">
        <f t="shared" si="44"/>
        <v>182</v>
      </c>
      <c r="AK117">
        <f t="shared" ref="AK117:AK123" si="51">AI117*$AI$109</f>
        <v>35217</v>
      </c>
      <c r="AT117">
        <v>9.125</v>
      </c>
      <c r="AU117" s="5">
        <f t="shared" si="45"/>
        <v>45</v>
      </c>
      <c r="AV117" s="5">
        <f t="shared" si="45"/>
        <v>91</v>
      </c>
      <c r="AW117" s="5">
        <f t="shared" si="45"/>
        <v>228</v>
      </c>
      <c r="AY117">
        <f t="shared" ref="AY117:AY123" si="52">AW117*$AX$111</f>
        <v>89880.252336905658</v>
      </c>
      <c r="BG117">
        <v>9.125</v>
      </c>
      <c r="BH117" s="5">
        <f t="shared" si="46"/>
        <v>45</v>
      </c>
      <c r="BI117" s="5">
        <f t="shared" si="46"/>
        <v>91</v>
      </c>
      <c r="BJ117" s="5">
        <f t="shared" si="46"/>
        <v>228</v>
      </c>
      <c r="BL117">
        <f t="shared" ref="BL117:BL123" si="53">BJ117*$BK$111</f>
        <v>117496.63403846038</v>
      </c>
      <c r="BT117" s="10"/>
      <c r="BU117" s="5">
        <f t="shared" si="47"/>
        <v>0</v>
      </c>
      <c r="BV117" s="5">
        <f t="shared" si="47"/>
        <v>0</v>
      </c>
      <c r="BW117" s="5">
        <f t="shared" si="47"/>
        <v>0</v>
      </c>
      <c r="BY117">
        <f t="shared" ref="BY117" si="54">BW117*$F$109</f>
        <v>0</v>
      </c>
      <c r="CF117" s="10"/>
      <c r="CG117" s="5">
        <f t="shared" si="48"/>
        <v>0</v>
      </c>
      <c r="CH117" s="5">
        <f t="shared" si="48"/>
        <v>0</v>
      </c>
      <c r="CI117" s="5">
        <f t="shared" si="48"/>
        <v>0</v>
      </c>
      <c r="CK117">
        <f t="shared" ref="CK117:CK118" si="55">CI117*$F$109</f>
        <v>0</v>
      </c>
      <c r="CT117" t="s">
        <v>1595</v>
      </c>
      <c r="CU117">
        <f>Index!$C$66</f>
        <v>211.7</v>
      </c>
      <c r="GO117" t="s">
        <v>1595</v>
      </c>
      <c r="GP117">
        <f>Index!C66*3</f>
        <v>635.09999999999991</v>
      </c>
      <c r="GQ117" t="str">
        <f>Index!D66</f>
        <v>Per trip</v>
      </c>
      <c r="GS117" t="s">
        <v>1597</v>
      </c>
    </row>
    <row r="118" spans="3:202" x14ac:dyDescent="0.25">
      <c r="C118" s="10">
        <v>3</v>
      </c>
      <c r="D118" s="5">
        <f t="shared" si="41"/>
        <v>15</v>
      </c>
      <c r="E118" s="5">
        <f t="shared" si="41"/>
        <v>30</v>
      </c>
      <c r="F118" s="5">
        <f t="shared" si="41"/>
        <v>75</v>
      </c>
      <c r="H118">
        <f t="shared" si="49"/>
        <v>14512.5</v>
      </c>
      <c r="R118" s="10">
        <v>4</v>
      </c>
      <c r="S118" s="5">
        <f t="shared" si="42"/>
        <v>20</v>
      </c>
      <c r="T118" s="5">
        <f t="shared" si="42"/>
        <v>40</v>
      </c>
      <c r="U118" s="5">
        <f t="shared" si="42"/>
        <v>100</v>
      </c>
      <c r="W118">
        <f t="shared" si="50"/>
        <v>19350</v>
      </c>
      <c r="Y118">
        <f t="shared" si="43"/>
        <v>774</v>
      </c>
      <c r="Z118" t="s">
        <v>1234</v>
      </c>
      <c r="AF118" s="10">
        <v>6</v>
      </c>
      <c r="AG118" s="5">
        <f t="shared" si="44"/>
        <v>30</v>
      </c>
      <c r="AH118" s="5">
        <f t="shared" si="44"/>
        <v>60</v>
      </c>
      <c r="AI118" s="5">
        <f t="shared" si="44"/>
        <v>150</v>
      </c>
      <c r="AK118">
        <f t="shared" si="51"/>
        <v>29025</v>
      </c>
      <c r="AT118">
        <v>7.3</v>
      </c>
      <c r="AU118" s="5">
        <f t="shared" si="45"/>
        <v>36</v>
      </c>
      <c r="AV118" s="5">
        <f t="shared" si="45"/>
        <v>73</v>
      </c>
      <c r="AW118" s="5">
        <f t="shared" si="45"/>
        <v>182</v>
      </c>
      <c r="AY118">
        <f t="shared" si="52"/>
        <v>71746.517216301887</v>
      </c>
      <c r="BG118">
        <v>7.3</v>
      </c>
      <c r="BH118" s="5">
        <f t="shared" si="46"/>
        <v>36</v>
      </c>
      <c r="BI118" s="5">
        <f t="shared" si="46"/>
        <v>73</v>
      </c>
      <c r="BJ118" s="5">
        <f t="shared" si="46"/>
        <v>182</v>
      </c>
      <c r="BL118">
        <f t="shared" si="53"/>
        <v>93791.17278508679</v>
      </c>
      <c r="BT118">
        <v>18.25</v>
      </c>
      <c r="BU118" s="5">
        <f t="shared" si="47"/>
        <v>91</v>
      </c>
      <c r="BV118" s="5">
        <f t="shared" si="47"/>
        <v>182</v>
      </c>
      <c r="BW118" s="5">
        <f t="shared" si="47"/>
        <v>456</v>
      </c>
      <c r="BY118">
        <f>BW118*$BX$111</f>
        <v>241499.6460581318</v>
      </c>
      <c r="CG118" s="5">
        <f t="shared" si="48"/>
        <v>0</v>
      </c>
      <c r="CH118" s="5">
        <f t="shared" si="48"/>
        <v>0</v>
      </c>
      <c r="CI118" s="5">
        <f t="shared" si="48"/>
        <v>0</v>
      </c>
      <c r="CK118">
        <f t="shared" si="55"/>
        <v>0</v>
      </c>
      <c r="DH118" t="s">
        <v>625</v>
      </c>
      <c r="DI118">
        <f>DI116*DI111</f>
        <v>858.56111111111102</v>
      </c>
      <c r="DV118" t="s">
        <v>625</v>
      </c>
      <c r="DW118">
        <f>DW116*DW111</f>
        <v>858.56111111111102</v>
      </c>
      <c r="EJ118" t="s">
        <v>625</v>
      </c>
      <c r="EK118">
        <f>EK116*EK111</f>
        <v>858.56111111111102</v>
      </c>
      <c r="EX118" t="s">
        <v>625</v>
      </c>
      <c r="EY118">
        <f>EY116*EY111</f>
        <v>858.56111111111102</v>
      </c>
      <c r="FL118" t="s">
        <v>625</v>
      </c>
      <c r="FM118">
        <f>FM116*FM111</f>
        <v>858.56111111111102</v>
      </c>
      <c r="FZ118" t="s">
        <v>625</v>
      </c>
      <c r="GA118">
        <f>GA116*GA111</f>
        <v>2575.6833333333329</v>
      </c>
      <c r="GS118" t="s">
        <v>1598</v>
      </c>
    </row>
    <row r="119" spans="3:202" x14ac:dyDescent="0.25">
      <c r="C119" s="10">
        <v>2</v>
      </c>
      <c r="D119" s="5">
        <f t="shared" si="41"/>
        <v>10</v>
      </c>
      <c r="E119" s="5">
        <f t="shared" si="41"/>
        <v>20</v>
      </c>
      <c r="F119" s="5">
        <f t="shared" si="41"/>
        <v>50</v>
      </c>
      <c r="H119">
        <f t="shared" si="49"/>
        <v>9675</v>
      </c>
      <c r="R119" s="10">
        <v>3</v>
      </c>
      <c r="S119" s="5">
        <f t="shared" si="42"/>
        <v>15</v>
      </c>
      <c r="T119" s="5">
        <f t="shared" si="42"/>
        <v>30</v>
      </c>
      <c r="U119" s="5">
        <f t="shared" si="42"/>
        <v>75</v>
      </c>
      <c r="W119">
        <f t="shared" si="50"/>
        <v>14512.5</v>
      </c>
      <c r="Y119">
        <f t="shared" si="43"/>
        <v>580.5</v>
      </c>
      <c r="AF119" s="10">
        <v>4</v>
      </c>
      <c r="AG119" s="5">
        <f t="shared" si="44"/>
        <v>20</v>
      </c>
      <c r="AH119" s="5">
        <f t="shared" si="44"/>
        <v>40</v>
      </c>
      <c r="AI119" s="5">
        <f t="shared" si="44"/>
        <v>100</v>
      </c>
      <c r="AK119">
        <f t="shared" si="51"/>
        <v>19350</v>
      </c>
      <c r="AT119" s="10">
        <v>6</v>
      </c>
      <c r="AU119" s="5">
        <f t="shared" si="45"/>
        <v>30</v>
      </c>
      <c r="AV119" s="5">
        <f t="shared" si="45"/>
        <v>60</v>
      </c>
      <c r="AW119" s="5">
        <f t="shared" si="45"/>
        <v>150</v>
      </c>
      <c r="AY119">
        <f t="shared" si="52"/>
        <v>59131.744958490563</v>
      </c>
      <c r="BG119" s="10">
        <v>6</v>
      </c>
      <c r="BH119" s="5">
        <f t="shared" si="46"/>
        <v>30</v>
      </c>
      <c r="BI119" s="5">
        <f t="shared" si="46"/>
        <v>60</v>
      </c>
      <c r="BJ119" s="5">
        <f t="shared" si="46"/>
        <v>150</v>
      </c>
      <c r="BL119">
        <f t="shared" si="53"/>
        <v>77300.417130566042</v>
      </c>
      <c r="BT119">
        <v>12.167</v>
      </c>
      <c r="BU119" s="5">
        <f t="shared" si="47"/>
        <v>60</v>
      </c>
      <c r="BV119" s="5">
        <f t="shared" si="47"/>
        <v>121</v>
      </c>
      <c r="BW119" s="5">
        <f t="shared" si="47"/>
        <v>304</v>
      </c>
      <c r="BY119">
        <f t="shared" ref="BY119:BY123" si="56">BW119*$BX$111</f>
        <v>160999.76403875451</v>
      </c>
      <c r="CF119">
        <v>18.25</v>
      </c>
      <c r="CG119" s="5">
        <f>ROUNDDOWN($CF119*CG$115,0)</f>
        <v>91</v>
      </c>
      <c r="CH119" s="5">
        <f t="shared" si="48"/>
        <v>182</v>
      </c>
      <c r="CI119" s="5">
        <f t="shared" ref="CI119:CI123" si="57">ROUNDDOWN($CF119*CI$115,0)</f>
        <v>456</v>
      </c>
      <c r="CK119">
        <f>CI119*$CJ$111</f>
        <v>273233.90146292606</v>
      </c>
      <c r="CM119">
        <f t="shared" ref="CM119:CM123" si="58">CF119*$CJ$111</f>
        <v>10935.348030040352</v>
      </c>
      <c r="CT119" t="s">
        <v>625</v>
      </c>
      <c r="CU119">
        <f>CU117*CU112</f>
        <v>858.56111111111102</v>
      </c>
      <c r="GP119">
        <f>GP117*GP112</f>
        <v>2575.6833333333329</v>
      </c>
    </row>
    <row r="120" spans="3:202" x14ac:dyDescent="0.25">
      <c r="C120" s="10">
        <v>1.5208333333333333</v>
      </c>
      <c r="D120" s="5">
        <f t="shared" si="41"/>
        <v>7</v>
      </c>
      <c r="E120" s="5">
        <f t="shared" si="41"/>
        <v>15</v>
      </c>
      <c r="F120" s="5">
        <f t="shared" si="41"/>
        <v>38</v>
      </c>
      <c r="H120">
        <f t="shared" si="49"/>
        <v>7353</v>
      </c>
      <c r="R120" s="10">
        <v>2</v>
      </c>
      <c r="S120" s="5">
        <f t="shared" si="42"/>
        <v>10</v>
      </c>
      <c r="T120" s="5">
        <f t="shared" si="42"/>
        <v>20</v>
      </c>
      <c r="U120" s="5">
        <f t="shared" si="42"/>
        <v>50</v>
      </c>
      <c r="W120">
        <f t="shared" si="50"/>
        <v>9675</v>
      </c>
      <c r="Y120">
        <f t="shared" si="43"/>
        <v>387</v>
      </c>
      <c r="AF120" s="10">
        <v>3</v>
      </c>
      <c r="AG120" s="5">
        <f t="shared" si="44"/>
        <v>15</v>
      </c>
      <c r="AH120" s="5">
        <f t="shared" si="44"/>
        <v>30</v>
      </c>
      <c r="AI120" s="5">
        <f t="shared" si="44"/>
        <v>75</v>
      </c>
      <c r="AK120">
        <f t="shared" si="51"/>
        <v>14512.5</v>
      </c>
      <c r="AT120" s="10">
        <v>4</v>
      </c>
      <c r="AU120" s="5">
        <f t="shared" si="45"/>
        <v>20</v>
      </c>
      <c r="AV120" s="5">
        <f t="shared" si="45"/>
        <v>40</v>
      </c>
      <c r="AW120" s="5">
        <f t="shared" si="45"/>
        <v>100</v>
      </c>
      <c r="AY120">
        <f t="shared" si="52"/>
        <v>39421.163305660375</v>
      </c>
      <c r="BG120" s="10">
        <v>4</v>
      </c>
      <c r="BH120" s="5">
        <f t="shared" si="46"/>
        <v>20</v>
      </c>
      <c r="BI120" s="5">
        <f t="shared" si="46"/>
        <v>40</v>
      </c>
      <c r="BJ120" s="5">
        <f t="shared" si="46"/>
        <v>100</v>
      </c>
      <c r="BL120">
        <f t="shared" si="53"/>
        <v>51533.611420377361</v>
      </c>
      <c r="BT120">
        <v>9.125</v>
      </c>
      <c r="BU120" s="5">
        <f t="shared" si="47"/>
        <v>45</v>
      </c>
      <c r="BV120" s="5">
        <f t="shared" si="47"/>
        <v>91</v>
      </c>
      <c r="BW120" s="5">
        <f t="shared" si="47"/>
        <v>228</v>
      </c>
      <c r="BY120">
        <f t="shared" si="56"/>
        <v>120749.8230290659</v>
      </c>
      <c r="CF120">
        <v>12.167</v>
      </c>
      <c r="CG120" s="5">
        <f t="shared" si="48"/>
        <v>60</v>
      </c>
      <c r="CH120" s="5">
        <f t="shared" si="48"/>
        <v>121</v>
      </c>
      <c r="CI120" s="5">
        <f t="shared" si="57"/>
        <v>304</v>
      </c>
      <c r="CK120">
        <f t="shared" ref="CK120:CK122" si="59">CI120*$CJ$111</f>
        <v>182155.93430861735</v>
      </c>
      <c r="CM120">
        <f t="shared" si="58"/>
        <v>7290.4317524110111</v>
      </c>
      <c r="CO120" t="s">
        <v>1234</v>
      </c>
    </row>
    <row r="121" spans="3:202" x14ac:dyDescent="0.25">
      <c r="C121" s="10">
        <v>1</v>
      </c>
      <c r="D121" s="5">
        <f t="shared" si="41"/>
        <v>5</v>
      </c>
      <c r="E121" s="5">
        <f t="shared" si="41"/>
        <v>10</v>
      </c>
      <c r="F121" s="5">
        <f t="shared" si="41"/>
        <v>25</v>
      </c>
      <c r="H121">
        <f t="shared" si="49"/>
        <v>4837.5</v>
      </c>
      <c r="R121" s="10">
        <v>1.5208333333333333</v>
      </c>
      <c r="S121" s="5">
        <f t="shared" si="42"/>
        <v>7</v>
      </c>
      <c r="T121" s="5">
        <f t="shared" si="42"/>
        <v>15</v>
      </c>
      <c r="U121" s="5">
        <f t="shared" si="42"/>
        <v>38</v>
      </c>
      <c r="W121">
        <f t="shared" si="50"/>
        <v>7353</v>
      </c>
      <c r="Y121">
        <f t="shared" si="43"/>
        <v>294.28125</v>
      </c>
      <c r="AF121" s="10">
        <v>2</v>
      </c>
      <c r="AG121" s="5">
        <f t="shared" si="44"/>
        <v>10</v>
      </c>
      <c r="AH121" s="5">
        <f t="shared" si="44"/>
        <v>20</v>
      </c>
      <c r="AI121" s="5">
        <f t="shared" si="44"/>
        <v>50</v>
      </c>
      <c r="AK121">
        <f t="shared" si="51"/>
        <v>9675</v>
      </c>
      <c r="AT121" s="10">
        <v>3</v>
      </c>
      <c r="AU121" s="5">
        <f t="shared" si="45"/>
        <v>15</v>
      </c>
      <c r="AV121" s="5">
        <f t="shared" si="45"/>
        <v>30</v>
      </c>
      <c r="AW121" s="5">
        <f t="shared" si="45"/>
        <v>75</v>
      </c>
      <c r="AY121">
        <f>AW121*$AX$111</f>
        <v>29565.872479245281</v>
      </c>
      <c r="BG121" s="10">
        <v>3</v>
      </c>
      <c r="BH121" s="5">
        <f t="shared" si="46"/>
        <v>15</v>
      </c>
      <c r="BI121" s="5">
        <f t="shared" si="46"/>
        <v>30</v>
      </c>
      <c r="BJ121" s="5">
        <f t="shared" si="46"/>
        <v>75</v>
      </c>
      <c r="BL121">
        <f t="shared" si="53"/>
        <v>38650.208565283021</v>
      </c>
      <c r="BT121">
        <v>7.3</v>
      </c>
      <c r="BU121" s="5">
        <f t="shared" si="47"/>
        <v>36</v>
      </c>
      <c r="BV121" s="5">
        <f t="shared" si="47"/>
        <v>73</v>
      </c>
      <c r="BW121" s="5">
        <f t="shared" si="47"/>
        <v>182</v>
      </c>
      <c r="BY121">
        <f t="shared" si="56"/>
        <v>96388.016628464873</v>
      </c>
      <c r="CF121">
        <v>9.125</v>
      </c>
      <c r="CG121" s="5">
        <f t="shared" si="48"/>
        <v>45</v>
      </c>
      <c r="CH121" s="5">
        <f t="shared" si="48"/>
        <v>91</v>
      </c>
      <c r="CI121" s="5">
        <f t="shared" si="57"/>
        <v>228</v>
      </c>
      <c r="CK121">
        <f t="shared" si="59"/>
        <v>136616.95073146303</v>
      </c>
      <c r="CM121">
        <f t="shared" si="58"/>
        <v>5467.6740150201758</v>
      </c>
    </row>
    <row r="122" spans="3:202" x14ac:dyDescent="0.25">
      <c r="C122" s="10">
        <v>0.5</v>
      </c>
      <c r="D122" s="5">
        <f t="shared" si="41"/>
        <v>2</v>
      </c>
      <c r="E122" s="5">
        <f t="shared" si="41"/>
        <v>5</v>
      </c>
      <c r="F122" s="5">
        <f t="shared" si="41"/>
        <v>12</v>
      </c>
      <c r="H122">
        <f t="shared" si="49"/>
        <v>2322</v>
      </c>
      <c r="R122" s="10">
        <v>1</v>
      </c>
      <c r="S122" s="5">
        <f t="shared" si="42"/>
        <v>5</v>
      </c>
      <c r="T122" s="5">
        <f t="shared" si="42"/>
        <v>10</v>
      </c>
      <c r="U122" s="5">
        <f t="shared" si="42"/>
        <v>25</v>
      </c>
      <c r="W122">
        <f t="shared" si="50"/>
        <v>4837.5</v>
      </c>
      <c r="Y122">
        <f t="shared" si="43"/>
        <v>193.5</v>
      </c>
      <c r="AF122" s="10">
        <v>1.5208333333333333</v>
      </c>
      <c r="AG122" s="5">
        <f t="shared" si="44"/>
        <v>7</v>
      </c>
      <c r="AH122" s="5">
        <f t="shared" si="44"/>
        <v>15</v>
      </c>
      <c r="AI122" s="5">
        <f t="shared" si="44"/>
        <v>38</v>
      </c>
      <c r="AK122">
        <f t="shared" si="51"/>
        <v>7353</v>
      </c>
      <c r="AT122" s="10">
        <v>2</v>
      </c>
      <c r="AU122" s="5">
        <f t="shared" si="45"/>
        <v>10</v>
      </c>
      <c r="AV122" s="5">
        <f t="shared" si="45"/>
        <v>20</v>
      </c>
      <c r="AW122" s="5">
        <f t="shared" si="45"/>
        <v>50</v>
      </c>
      <c r="AY122">
        <f t="shared" si="52"/>
        <v>19710.581652830188</v>
      </c>
      <c r="BG122" s="10">
        <v>2</v>
      </c>
      <c r="BH122" s="5">
        <f t="shared" si="46"/>
        <v>10</v>
      </c>
      <c r="BI122" s="5">
        <f t="shared" si="46"/>
        <v>20</v>
      </c>
      <c r="BJ122" s="5">
        <f t="shared" si="46"/>
        <v>50</v>
      </c>
      <c r="BL122">
        <f t="shared" si="53"/>
        <v>25766.805710188681</v>
      </c>
      <c r="BT122" s="10">
        <v>6</v>
      </c>
      <c r="BU122" s="5">
        <f t="shared" si="47"/>
        <v>30</v>
      </c>
      <c r="BV122" s="5">
        <f t="shared" si="47"/>
        <v>60</v>
      </c>
      <c r="BW122" s="5">
        <f t="shared" si="47"/>
        <v>150</v>
      </c>
      <c r="BY122">
        <f t="shared" si="56"/>
        <v>79440.673045438089</v>
      </c>
      <c r="CF122">
        <v>7.3</v>
      </c>
      <c r="CG122" s="5">
        <f t="shared" si="48"/>
        <v>36</v>
      </c>
      <c r="CH122" s="5">
        <f t="shared" si="48"/>
        <v>73</v>
      </c>
      <c r="CI122" s="5">
        <f t="shared" si="57"/>
        <v>182</v>
      </c>
      <c r="CK122">
        <f t="shared" si="59"/>
        <v>109053.88172423802</v>
      </c>
      <c r="CM122">
        <f t="shared" si="58"/>
        <v>4374.1392120161408</v>
      </c>
      <c r="GO122" t="s">
        <v>474</v>
      </c>
    </row>
    <row r="123" spans="3:202" x14ac:dyDescent="0.25">
      <c r="C123" s="21">
        <f>365/D111</f>
        <v>0.33333333333333331</v>
      </c>
      <c r="D123" s="5">
        <f t="shared" si="41"/>
        <v>1</v>
      </c>
      <c r="E123" s="5">
        <f t="shared" si="41"/>
        <v>3</v>
      </c>
      <c r="F123" s="5">
        <f t="shared" si="41"/>
        <v>8</v>
      </c>
      <c r="H123">
        <f>F123*$F$109</f>
        <v>1548</v>
      </c>
      <c r="R123" s="21">
        <f>365/S111</f>
        <v>0.5</v>
      </c>
      <c r="S123" s="5">
        <f>ROUNDDOWN($R123*S$115,0)</f>
        <v>2</v>
      </c>
      <c r="T123" s="5">
        <f>ROUNDDOWN($R123*T$115,0)</f>
        <v>5</v>
      </c>
      <c r="U123" s="5">
        <f>ROUNDDOWN($R123*U$115,0)</f>
        <v>12</v>
      </c>
      <c r="W123">
        <f>U123*$U$109</f>
        <v>2322</v>
      </c>
      <c r="Y123">
        <f>R123*$U$109</f>
        <v>96.75</v>
      </c>
      <c r="Z123" t="s">
        <v>1593</v>
      </c>
      <c r="AF123" s="21">
        <f>365/AG111</f>
        <v>1</v>
      </c>
      <c r="AG123" s="5">
        <f>ROUNDDOWN($AF123*AG$115,0)</f>
        <v>5</v>
      </c>
      <c r="AH123" s="5">
        <f>ROUNDDOWN($AF123*AH$115,0)</f>
        <v>10</v>
      </c>
      <c r="AI123" s="5">
        <f>ROUNDDOWN($AF123*AI$115,0)</f>
        <v>25</v>
      </c>
      <c r="AK123">
        <f t="shared" si="51"/>
        <v>4837.5</v>
      </c>
      <c r="AT123" s="21">
        <f>365/AU111</f>
        <v>1.5208333333333333</v>
      </c>
      <c r="AU123" s="5">
        <f>ROUNDDOWN($AT123*AU$115,0)</f>
        <v>7</v>
      </c>
      <c r="AV123" s="5">
        <f>ROUNDDOWN($AT123*AV$115,0)</f>
        <v>15</v>
      </c>
      <c r="AW123" s="5">
        <f>ROUNDDOWN($AT123*AW$115,0)</f>
        <v>38</v>
      </c>
      <c r="AY123">
        <f t="shared" si="52"/>
        <v>14980.042056150944</v>
      </c>
      <c r="BG123" s="21">
        <f>365/BH111</f>
        <v>1.5208333333333333</v>
      </c>
      <c r="BH123" s="5">
        <f>ROUNDDOWN($BG123*BH$115,0)</f>
        <v>7</v>
      </c>
      <c r="BI123" s="5">
        <f>ROUNDDOWN($BG123*BI$115,0)</f>
        <v>15</v>
      </c>
      <c r="BJ123" s="5">
        <f>ROUNDDOWN($BG123*BJ$115,0)</f>
        <v>38</v>
      </c>
      <c r="BL123">
        <f t="shared" si="53"/>
        <v>19582.772339743398</v>
      </c>
      <c r="BT123" s="21">
        <f>365/BU111</f>
        <v>4.0555555555555554</v>
      </c>
      <c r="BU123" s="5">
        <f>ROUNDDOWN($BT123*BU$115,0)</f>
        <v>20</v>
      </c>
      <c r="BV123" s="5">
        <f>ROUNDDOWN($BT123*BV$115,0)</f>
        <v>40</v>
      </c>
      <c r="BW123" s="5">
        <f>ROUNDDOWN($BT123*BW$115,0)</f>
        <v>101</v>
      </c>
      <c r="BY123">
        <f t="shared" si="56"/>
        <v>53490.053183928314</v>
      </c>
      <c r="CF123" s="21">
        <f>365/CG111</f>
        <v>6.083333333333333</v>
      </c>
      <c r="CG123" s="5">
        <f>ROUNDDOWN($CF123*CG$115,0)</f>
        <v>30</v>
      </c>
      <c r="CH123" s="5">
        <f>ROUNDDOWN($CF123*CH$115,0)</f>
        <v>60</v>
      </c>
      <c r="CI123" s="5">
        <f t="shared" si="57"/>
        <v>152</v>
      </c>
      <c r="CK123">
        <f>CI123*$CJ$111</f>
        <v>91077.967154308673</v>
      </c>
      <c r="CM123">
        <f t="shared" si="58"/>
        <v>3645.1160100134502</v>
      </c>
      <c r="GO123" t="s">
        <v>475</v>
      </c>
    </row>
    <row r="124" spans="3:202" x14ac:dyDescent="0.25">
      <c r="C124" s="21"/>
      <c r="D124" s="5"/>
      <c r="E124" s="5"/>
      <c r="F124" s="5"/>
      <c r="R124" s="21"/>
      <c r="S124" s="5"/>
      <c r="T124" s="5"/>
      <c r="U124" s="5"/>
      <c r="AF124" s="21"/>
      <c r="AG124" s="5"/>
      <c r="AH124" s="5"/>
      <c r="AI124" s="5"/>
      <c r="AT124" s="21"/>
      <c r="AU124" s="5"/>
      <c r="AV124" s="5"/>
      <c r="AW124" s="5"/>
      <c r="BG124" s="21"/>
      <c r="BH124" s="5"/>
      <c r="BI124" s="5"/>
      <c r="BJ124" s="5"/>
      <c r="BT124" s="21">
        <f>365/BU112</f>
        <v>2.0277777777777777</v>
      </c>
      <c r="BU124" s="5">
        <f>ROUNDDOWN($CF124*BU$115,0)</f>
        <v>15</v>
      </c>
      <c r="BV124" s="5">
        <f>ROUNDDOWN($CF124*BV$115,0)</f>
        <v>30</v>
      </c>
      <c r="BW124" s="5">
        <f>ROUNDDOWN($CF124*BW$115,0)</f>
        <v>75</v>
      </c>
      <c r="BY124">
        <f>BW124*$BX$111</f>
        <v>39720.336522719044</v>
      </c>
      <c r="CF124" s="21">
        <v>3</v>
      </c>
      <c r="CG124" s="5">
        <f>ROUNDDOWN($CF124*CG$115,0)</f>
        <v>15</v>
      </c>
      <c r="CH124" s="5">
        <f>ROUNDDOWN($CF124*CH$115,0)</f>
        <v>30</v>
      </c>
      <c r="CI124" s="5">
        <f>ROUNDDOWN($CF124*CI$115,0)</f>
        <v>75</v>
      </c>
      <c r="CK124">
        <f>CI124*$CJ$111</f>
        <v>44939.78642482336</v>
      </c>
      <c r="CM124">
        <f>CF124*$CJ$111</f>
        <v>1797.5914569929346</v>
      </c>
      <c r="CO124" t="s">
        <v>1593</v>
      </c>
      <c r="GP124" t="s">
        <v>80</v>
      </c>
      <c r="GQ124" t="s">
        <v>2</v>
      </c>
      <c r="GR124" t="s">
        <v>81</v>
      </c>
      <c r="GS124" t="s">
        <v>82</v>
      </c>
      <c r="GT124" t="s">
        <v>59</v>
      </c>
    </row>
    <row r="125" spans="3:202" x14ac:dyDescent="0.25">
      <c r="DG125" t="s">
        <v>474</v>
      </c>
      <c r="DU125" t="s">
        <v>474</v>
      </c>
      <c r="GP125" t="s">
        <v>466</v>
      </c>
      <c r="GQ125">
        <v>1</v>
      </c>
      <c r="GR125" s="1">
        <f>Index!$C$88</f>
        <v>40</v>
      </c>
      <c r="GS125" s="1">
        <f>GR125</f>
        <v>40</v>
      </c>
      <c r="GT125">
        <v>40</v>
      </c>
    </row>
    <row r="126" spans="3:202" x14ac:dyDescent="0.25">
      <c r="C126" t="s">
        <v>474</v>
      </c>
      <c r="R126" t="s">
        <v>474</v>
      </c>
      <c r="AF126" t="s">
        <v>474</v>
      </c>
      <c r="AT126" t="s">
        <v>474</v>
      </c>
      <c r="BG126" t="s">
        <v>474</v>
      </c>
      <c r="BT126" t="s">
        <v>474</v>
      </c>
      <c r="CF126" t="s">
        <v>474</v>
      </c>
      <c r="CS126" t="s">
        <v>474</v>
      </c>
      <c r="DG126" t="s">
        <v>475</v>
      </c>
      <c r="DU126" t="s">
        <v>475</v>
      </c>
      <c r="EI126" t="s">
        <v>474</v>
      </c>
      <c r="EW126" t="s">
        <v>474</v>
      </c>
      <c r="FK126" t="s">
        <v>474</v>
      </c>
      <c r="FY126" t="s">
        <v>474</v>
      </c>
      <c r="GP126" t="s">
        <v>919</v>
      </c>
      <c r="GQ126">
        <v>28</v>
      </c>
      <c r="GR126">
        <f>Index!$C$90</f>
        <v>35.125005520162802</v>
      </c>
      <c r="GS126">
        <f>GR126</f>
        <v>35.125005520162802</v>
      </c>
      <c r="GT126">
        <f>GQ126*GS126</f>
        <v>983.50015456455844</v>
      </c>
    </row>
    <row r="127" spans="3:202" x14ac:dyDescent="0.25">
      <c r="C127" t="s">
        <v>475</v>
      </c>
      <c r="R127" t="s">
        <v>475</v>
      </c>
      <c r="AF127" t="s">
        <v>475</v>
      </c>
      <c r="AT127" t="s">
        <v>475</v>
      </c>
      <c r="BG127" t="s">
        <v>475</v>
      </c>
      <c r="BT127" t="s">
        <v>475</v>
      </c>
      <c r="CF127" t="s">
        <v>475</v>
      </c>
      <c r="CS127" t="s">
        <v>475</v>
      </c>
      <c r="DH127" t="s">
        <v>80</v>
      </c>
      <c r="DI127" t="s">
        <v>2</v>
      </c>
      <c r="DJ127" t="s">
        <v>81</v>
      </c>
      <c r="DK127" t="s">
        <v>82</v>
      </c>
      <c r="DL127" t="s">
        <v>59</v>
      </c>
      <c r="DV127" t="s">
        <v>80</v>
      </c>
      <c r="DW127" t="s">
        <v>2</v>
      </c>
      <c r="DX127" t="s">
        <v>81</v>
      </c>
      <c r="DY127" t="s">
        <v>82</v>
      </c>
      <c r="DZ127" t="s">
        <v>59</v>
      </c>
      <c r="EI127" t="s">
        <v>475</v>
      </c>
      <c r="EW127" t="s">
        <v>475</v>
      </c>
      <c r="FK127" t="s">
        <v>475</v>
      </c>
      <c r="FY127" t="s">
        <v>475</v>
      </c>
      <c r="GS127" t="s">
        <v>53</v>
      </c>
      <c r="GT127">
        <f>GT126+GT125</f>
        <v>1023.5001545645584</v>
      </c>
    </row>
    <row r="128" spans="3:202" x14ac:dyDescent="0.25">
      <c r="D128" t="s">
        <v>80</v>
      </c>
      <c r="E128" t="s">
        <v>2</v>
      </c>
      <c r="F128" t="s">
        <v>81</v>
      </c>
      <c r="G128" t="s">
        <v>82</v>
      </c>
      <c r="H128" t="s">
        <v>59</v>
      </c>
      <c r="S128" t="s">
        <v>80</v>
      </c>
      <c r="T128" t="s">
        <v>2</v>
      </c>
      <c r="U128" t="s">
        <v>81</v>
      </c>
      <c r="V128" t="s">
        <v>82</v>
      </c>
      <c r="W128" t="s">
        <v>59</v>
      </c>
      <c r="AG128" t="s">
        <v>80</v>
      </c>
      <c r="AH128" t="s">
        <v>2</v>
      </c>
      <c r="AI128" t="s">
        <v>81</v>
      </c>
      <c r="AJ128" t="s">
        <v>82</v>
      </c>
      <c r="AK128" t="s">
        <v>59</v>
      </c>
      <c r="AU128" t="s">
        <v>80</v>
      </c>
      <c r="AV128" t="s">
        <v>2</v>
      </c>
      <c r="AW128" t="s">
        <v>81</v>
      </c>
      <c r="AX128" t="s">
        <v>82</v>
      </c>
      <c r="AY128" t="s">
        <v>59</v>
      </c>
      <c r="BH128" t="s">
        <v>80</v>
      </c>
      <c r="BI128" t="s">
        <v>2</v>
      </c>
      <c r="BJ128" t="s">
        <v>81</v>
      </c>
      <c r="BK128" t="s">
        <v>82</v>
      </c>
      <c r="BL128" t="s">
        <v>59</v>
      </c>
      <c r="BU128" t="s">
        <v>80</v>
      </c>
      <c r="BV128" t="s">
        <v>2</v>
      </c>
      <c r="BW128" t="s">
        <v>81</v>
      </c>
      <c r="BX128" t="s">
        <v>82</v>
      </c>
      <c r="BY128" t="s">
        <v>59</v>
      </c>
      <c r="CG128" t="s">
        <v>80</v>
      </c>
      <c r="CH128" t="s">
        <v>2</v>
      </c>
      <c r="CI128" t="s">
        <v>81</v>
      </c>
      <c r="CJ128" t="s">
        <v>82</v>
      </c>
      <c r="CK128" t="s">
        <v>59</v>
      </c>
      <c r="CT128" t="s">
        <v>80</v>
      </c>
      <c r="CU128" t="s">
        <v>2</v>
      </c>
      <c r="CV128" t="s">
        <v>81</v>
      </c>
      <c r="CW128" t="s">
        <v>82</v>
      </c>
      <c r="CX128" t="s">
        <v>59</v>
      </c>
      <c r="DH128" t="s">
        <v>466</v>
      </c>
      <c r="DI128">
        <v>1</v>
      </c>
      <c r="DJ128" s="1">
        <f>Index!$C$88</f>
        <v>40</v>
      </c>
      <c r="DK128" s="1">
        <f>DJ128</f>
        <v>40</v>
      </c>
      <c r="DL128">
        <f>DI128*DK128</f>
        <v>40</v>
      </c>
      <c r="DV128" t="s">
        <v>466</v>
      </c>
      <c r="DW128">
        <v>1</v>
      </c>
      <c r="DX128" s="1">
        <f>Index!$C$88</f>
        <v>40</v>
      </c>
      <c r="DY128" s="1">
        <f>DX128</f>
        <v>40</v>
      </c>
      <c r="DZ128">
        <f>DW128*DY128</f>
        <v>40</v>
      </c>
      <c r="EJ128" t="s">
        <v>80</v>
      </c>
      <c r="EK128" t="s">
        <v>2</v>
      </c>
      <c r="EL128" t="s">
        <v>81</v>
      </c>
      <c r="EM128" t="s">
        <v>82</v>
      </c>
      <c r="EN128" t="s">
        <v>59</v>
      </c>
      <c r="EX128" t="s">
        <v>80</v>
      </c>
      <c r="EY128" t="s">
        <v>2</v>
      </c>
      <c r="EZ128" t="s">
        <v>81</v>
      </c>
      <c r="FA128" t="s">
        <v>82</v>
      </c>
      <c r="FB128" t="s">
        <v>59</v>
      </c>
      <c r="FL128" t="s">
        <v>80</v>
      </c>
      <c r="FM128" t="s">
        <v>2</v>
      </c>
      <c r="FN128" t="s">
        <v>81</v>
      </c>
      <c r="FO128" t="s">
        <v>82</v>
      </c>
      <c r="FP128" t="s">
        <v>59</v>
      </c>
      <c r="FZ128" t="s">
        <v>80</v>
      </c>
      <c r="GA128" t="s">
        <v>2</v>
      </c>
      <c r="GB128" t="s">
        <v>81</v>
      </c>
      <c r="GC128" t="s">
        <v>82</v>
      </c>
      <c r="GD128" t="s">
        <v>59</v>
      </c>
    </row>
    <row r="129" spans="1:202" x14ac:dyDescent="0.25">
      <c r="D129" t="s">
        <v>466</v>
      </c>
      <c r="E129">
        <v>1</v>
      </c>
      <c r="F129" s="1">
        <f>Index!$C$88</f>
        <v>40</v>
      </c>
      <c r="G129" s="1">
        <f>F129</f>
        <v>40</v>
      </c>
      <c r="H129">
        <f>E129*G129</f>
        <v>40</v>
      </c>
      <c r="S129" t="s">
        <v>466</v>
      </c>
      <c r="T129">
        <v>1</v>
      </c>
      <c r="U129" s="1">
        <f>Index!$C$88</f>
        <v>40</v>
      </c>
      <c r="V129" s="1">
        <f>U129</f>
        <v>40</v>
      </c>
      <c r="W129">
        <f>T129*V129</f>
        <v>40</v>
      </c>
      <c r="AG129" t="s">
        <v>466</v>
      </c>
      <c r="AH129">
        <v>1</v>
      </c>
      <c r="AI129" s="1">
        <f>Index!$C$88</f>
        <v>40</v>
      </c>
      <c r="AJ129" s="1">
        <f>AI129</f>
        <v>40</v>
      </c>
      <c r="AK129">
        <f>AH129*AJ129</f>
        <v>40</v>
      </c>
      <c r="AU129" t="s">
        <v>466</v>
      </c>
      <c r="AV129">
        <v>1</v>
      </c>
      <c r="AW129" s="1">
        <f>Index!$C$88</f>
        <v>40</v>
      </c>
      <c r="AX129" s="1">
        <f>AW129</f>
        <v>40</v>
      </c>
      <c r="AY129">
        <f>AV129*AX129</f>
        <v>40</v>
      </c>
      <c r="BH129" t="s">
        <v>466</v>
      </c>
      <c r="BI129">
        <v>1</v>
      </c>
      <c r="BJ129" s="1">
        <f>Index!$C$88</f>
        <v>40</v>
      </c>
      <c r="BK129" s="1">
        <f>BJ129</f>
        <v>40</v>
      </c>
      <c r="BL129">
        <f>BI129*BK129</f>
        <v>40</v>
      </c>
      <c r="BU129" t="s">
        <v>466</v>
      </c>
      <c r="BV129">
        <v>1</v>
      </c>
      <c r="BW129" s="1">
        <f>Index!$C$88</f>
        <v>40</v>
      </c>
      <c r="BX129" s="1">
        <f>BW129</f>
        <v>40</v>
      </c>
      <c r="BY129">
        <f>BV129*BX129</f>
        <v>40</v>
      </c>
      <c r="CG129" t="s">
        <v>466</v>
      </c>
      <c r="CH129">
        <v>1</v>
      </c>
      <c r="CI129" s="1">
        <f>Index!$C$88</f>
        <v>40</v>
      </c>
      <c r="CJ129" s="1">
        <f>CI129</f>
        <v>40</v>
      </c>
      <c r="CK129">
        <f>CH129*CJ129</f>
        <v>40</v>
      </c>
      <c r="CT129" t="s">
        <v>466</v>
      </c>
      <c r="CU129">
        <v>1</v>
      </c>
      <c r="CV129" s="1">
        <f>Index!$C$88</f>
        <v>40</v>
      </c>
      <c r="CW129" s="1">
        <f>CV129</f>
        <v>40</v>
      </c>
      <c r="CX129">
        <f>CU129*CW129</f>
        <v>40</v>
      </c>
      <c r="DH129" t="s">
        <v>919</v>
      </c>
      <c r="DI129">
        <v>28</v>
      </c>
      <c r="DJ129">
        <f>Index!$C$90</f>
        <v>35.125005520162802</v>
      </c>
      <c r="DK129">
        <f>DJ129</f>
        <v>35.125005520162802</v>
      </c>
      <c r="DL129">
        <f>DI129*DK129</f>
        <v>983.50015456455844</v>
      </c>
      <c r="DV129" t="s">
        <v>919</v>
      </c>
      <c r="DW129">
        <v>28</v>
      </c>
      <c r="DX129">
        <f>Index!$C$90</f>
        <v>35.125005520162802</v>
      </c>
      <c r="DY129">
        <f>DX129</f>
        <v>35.125005520162802</v>
      </c>
      <c r="DZ129">
        <f>DW129*DY129</f>
        <v>983.50015456455844</v>
      </c>
      <c r="EJ129" t="s">
        <v>466</v>
      </c>
      <c r="EK129">
        <v>1</v>
      </c>
      <c r="EL129" s="1">
        <f>Index!$C$88</f>
        <v>40</v>
      </c>
      <c r="EM129" s="1">
        <f>EL129</f>
        <v>40</v>
      </c>
      <c r="EN129">
        <f>EK129*EM129</f>
        <v>40</v>
      </c>
      <c r="EX129" t="s">
        <v>466</v>
      </c>
      <c r="EY129">
        <v>1</v>
      </c>
      <c r="EZ129" s="1">
        <f>Index!$C$88</f>
        <v>40</v>
      </c>
      <c r="FA129" s="1">
        <f>EZ129</f>
        <v>40</v>
      </c>
      <c r="FB129">
        <f>EY129*FA129</f>
        <v>40</v>
      </c>
      <c r="FL129" t="s">
        <v>466</v>
      </c>
      <c r="FM129">
        <v>1</v>
      </c>
      <c r="FN129" s="1">
        <f>Index!$C$88</f>
        <v>40</v>
      </c>
      <c r="FO129" s="1">
        <f>FN129</f>
        <v>40</v>
      </c>
      <c r="FP129">
        <f>FM129*FO129</f>
        <v>40</v>
      </c>
      <c r="FZ129" t="s">
        <v>466</v>
      </c>
      <c r="GA129">
        <v>1</v>
      </c>
      <c r="GB129" s="1">
        <f>Index!$C$88</f>
        <v>40</v>
      </c>
      <c r="GC129" s="1">
        <f>GB129</f>
        <v>40</v>
      </c>
      <c r="GD129">
        <f>GA129*GC129</f>
        <v>40</v>
      </c>
      <c r="GO129" t="s">
        <v>956</v>
      </c>
    </row>
    <row r="130" spans="1:202" x14ac:dyDescent="0.25">
      <c r="D130" t="s">
        <v>919</v>
      </c>
      <c r="E130">
        <v>28</v>
      </c>
      <c r="F130">
        <f>Index!$C$90</f>
        <v>35.125005520162802</v>
      </c>
      <c r="G130">
        <f>F130</f>
        <v>35.125005520162802</v>
      </c>
      <c r="H130">
        <f>E130*G130</f>
        <v>983.50015456455844</v>
      </c>
      <c r="S130" t="s">
        <v>919</v>
      </c>
      <c r="T130">
        <v>28</v>
      </c>
      <c r="U130">
        <f>Index!$C$90</f>
        <v>35.125005520162802</v>
      </c>
      <c r="V130">
        <f>U130</f>
        <v>35.125005520162802</v>
      </c>
      <c r="W130">
        <f>T130*V130</f>
        <v>983.50015456455844</v>
      </c>
      <c r="AG130" t="s">
        <v>919</v>
      </c>
      <c r="AH130">
        <v>28</v>
      </c>
      <c r="AI130">
        <f>Index!$C$90</f>
        <v>35.125005520162802</v>
      </c>
      <c r="AJ130">
        <f>AI130</f>
        <v>35.125005520162802</v>
      </c>
      <c r="AK130">
        <f>AH130*AJ130</f>
        <v>983.50015456455844</v>
      </c>
      <c r="AU130" t="s">
        <v>919</v>
      </c>
      <c r="AV130">
        <v>28</v>
      </c>
      <c r="AW130">
        <f>Index!$C$90</f>
        <v>35.125005520162802</v>
      </c>
      <c r="AX130">
        <f>AW130</f>
        <v>35.125005520162802</v>
      </c>
      <c r="AY130">
        <f>AV130*AX130</f>
        <v>983.50015456455844</v>
      </c>
      <c r="BH130" t="s">
        <v>919</v>
      </c>
      <c r="BI130">
        <v>28</v>
      </c>
      <c r="BJ130">
        <f>Index!$C$90</f>
        <v>35.125005520162802</v>
      </c>
      <c r="BK130">
        <f>BJ130</f>
        <v>35.125005520162802</v>
      </c>
      <c r="BL130">
        <f>BI130*BK130</f>
        <v>983.50015456455844</v>
      </c>
      <c r="BU130" t="s">
        <v>919</v>
      </c>
      <c r="BV130">
        <v>28</v>
      </c>
      <c r="BW130">
        <f>Index!$C$90</f>
        <v>35.125005520162802</v>
      </c>
      <c r="BX130">
        <f>BW130</f>
        <v>35.125005520162802</v>
      </c>
      <c r="BY130">
        <f>BV130*BX130</f>
        <v>983.50015456455844</v>
      </c>
      <c r="CG130" t="s">
        <v>919</v>
      </c>
      <c r="CH130">
        <v>28</v>
      </c>
      <c r="CI130">
        <f>Index!$C$90</f>
        <v>35.125005520162802</v>
      </c>
      <c r="CJ130">
        <f>CI130</f>
        <v>35.125005520162802</v>
      </c>
      <c r="CK130">
        <f>CH130*CJ130</f>
        <v>983.50015456455844</v>
      </c>
      <c r="CT130" t="s">
        <v>919</v>
      </c>
      <c r="CU130">
        <v>28</v>
      </c>
      <c r="CV130">
        <f>Index!$C$90</f>
        <v>35.125005520162802</v>
      </c>
      <c r="CW130">
        <f>CV130</f>
        <v>35.125005520162802</v>
      </c>
      <c r="CX130">
        <f>CU130*CW130</f>
        <v>983.50015456455844</v>
      </c>
      <c r="DK130" t="s">
        <v>53</v>
      </c>
      <c r="DL130">
        <f>DL129+DL128</f>
        <v>1023.5001545645584</v>
      </c>
      <c r="DY130" t="s">
        <v>53</v>
      </c>
      <c r="DZ130">
        <f>DZ129+DZ128</f>
        <v>1023.5001545645584</v>
      </c>
      <c r="EJ130" t="s">
        <v>919</v>
      </c>
      <c r="EK130">
        <v>28</v>
      </c>
      <c r="EL130">
        <f>Index!$C$90</f>
        <v>35.125005520162802</v>
      </c>
      <c r="EM130">
        <f>EL130</f>
        <v>35.125005520162802</v>
      </c>
      <c r="EN130">
        <f>EK130*EM130</f>
        <v>983.50015456455844</v>
      </c>
      <c r="EX130" t="s">
        <v>919</v>
      </c>
      <c r="EY130">
        <v>28</v>
      </c>
      <c r="EZ130">
        <f>Index!$C$90</f>
        <v>35.125005520162802</v>
      </c>
      <c r="FA130">
        <f>EZ130</f>
        <v>35.125005520162802</v>
      </c>
      <c r="FB130">
        <f>EY130*FA130</f>
        <v>983.50015456455844</v>
      </c>
      <c r="FL130" t="s">
        <v>919</v>
      </c>
      <c r="FM130">
        <v>28</v>
      </c>
      <c r="FN130">
        <f>Index!$C$90</f>
        <v>35.125005520162802</v>
      </c>
      <c r="FO130">
        <f>FN130</f>
        <v>35.125005520162802</v>
      </c>
      <c r="FP130">
        <f>FM130*FO130</f>
        <v>983.50015456455844</v>
      </c>
      <c r="FZ130" t="s">
        <v>919</v>
      </c>
      <c r="GA130">
        <v>28</v>
      </c>
      <c r="GB130">
        <f>Index!$C$90</f>
        <v>35.125005520162802</v>
      </c>
      <c r="GC130">
        <f>GB130</f>
        <v>35.125005520162802</v>
      </c>
      <c r="GD130">
        <f>GA130*GC130</f>
        <v>983.50015456455844</v>
      </c>
      <c r="GP130" t="s">
        <v>934</v>
      </c>
      <c r="GQ130">
        <v>2</v>
      </c>
      <c r="GR130">
        <v>293.933333333333</v>
      </c>
      <c r="GT130">
        <f>GR130*GQ130</f>
        <v>587.86666666666599</v>
      </c>
    </row>
    <row r="131" spans="1:202" x14ac:dyDescent="0.25">
      <c r="G131" t="s">
        <v>53</v>
      </c>
      <c r="H131">
        <f>H130+H129</f>
        <v>1023.5001545645584</v>
      </c>
      <c r="V131" t="s">
        <v>53</v>
      </c>
      <c r="W131">
        <f>W130+W129</f>
        <v>1023.5001545645584</v>
      </c>
      <c r="AJ131" t="s">
        <v>53</v>
      </c>
      <c r="AK131">
        <f>AK130+AK129</f>
        <v>1023.5001545645584</v>
      </c>
      <c r="AX131" t="s">
        <v>53</v>
      </c>
      <c r="AY131">
        <f>AY130+AY129</f>
        <v>1023.5001545645584</v>
      </c>
      <c r="BK131" t="s">
        <v>53</v>
      </c>
      <c r="BL131">
        <f>BL130+BL129</f>
        <v>1023.5001545645584</v>
      </c>
      <c r="BX131" t="s">
        <v>53</v>
      </c>
      <c r="BY131">
        <f>BY130+BY129</f>
        <v>1023.5001545645584</v>
      </c>
      <c r="CJ131" t="s">
        <v>53</v>
      </c>
      <c r="CK131">
        <f>CK130+CK129</f>
        <v>1023.5001545645584</v>
      </c>
      <c r="CW131" t="s">
        <v>53</v>
      </c>
      <c r="CX131">
        <f>CX130+CX129</f>
        <v>1023.5001545645584</v>
      </c>
      <c r="EM131" t="s">
        <v>53</v>
      </c>
      <c r="EN131">
        <f>EN130+EN129</f>
        <v>1023.5001545645584</v>
      </c>
      <c r="FA131" t="s">
        <v>53</v>
      </c>
      <c r="FB131">
        <f>FB130+FB129</f>
        <v>1023.5001545645584</v>
      </c>
      <c r="FO131" t="s">
        <v>53</v>
      </c>
      <c r="FP131">
        <f>FP130+FP129</f>
        <v>1023.5001545645584</v>
      </c>
      <c r="GC131" t="s">
        <v>53</v>
      </c>
      <c r="GD131">
        <f>GD130+GD129</f>
        <v>1023.5001545645584</v>
      </c>
      <c r="GP131" t="s">
        <v>935</v>
      </c>
      <c r="GQ131">
        <v>2</v>
      </c>
      <c r="GR131">
        <v>58.776066288000003</v>
      </c>
      <c r="GT131">
        <f>GR131*GQ131</f>
        <v>117.55213257600001</v>
      </c>
    </row>
    <row r="132" spans="1:202" x14ac:dyDescent="0.25">
      <c r="DG132" t="s">
        <v>956</v>
      </c>
      <c r="DU132" t="s">
        <v>956</v>
      </c>
      <c r="GT132">
        <f>GT130+GT131</f>
        <v>705.41879924266595</v>
      </c>
    </row>
    <row r="133" spans="1:202" x14ac:dyDescent="0.25">
      <c r="C133" t="s">
        <v>956</v>
      </c>
      <c r="R133" t="s">
        <v>956</v>
      </c>
      <c r="AF133" t="s">
        <v>956</v>
      </c>
      <c r="AT133" t="s">
        <v>956</v>
      </c>
      <c r="BG133" t="s">
        <v>956</v>
      </c>
      <c r="BT133" t="s">
        <v>956</v>
      </c>
      <c r="CF133" t="s">
        <v>956</v>
      </c>
      <c r="CS133" t="s">
        <v>956</v>
      </c>
      <c r="DH133" t="s">
        <v>934</v>
      </c>
      <c r="DI133">
        <v>1</v>
      </c>
      <c r="DJ133">
        <v>293.93333333333328</v>
      </c>
      <c r="DL133">
        <f>DJ133</f>
        <v>293.93333333333328</v>
      </c>
      <c r="DV133" t="s">
        <v>934</v>
      </c>
      <c r="DW133">
        <v>1</v>
      </c>
      <c r="DX133">
        <v>293.93333333333328</v>
      </c>
      <c r="DZ133">
        <f>DX133</f>
        <v>293.93333333333328</v>
      </c>
      <c r="EI133" t="s">
        <v>956</v>
      </c>
      <c r="EW133" t="s">
        <v>956</v>
      </c>
      <c r="FK133" t="s">
        <v>956</v>
      </c>
      <c r="FY133" t="s">
        <v>956</v>
      </c>
    </row>
    <row r="134" spans="1:202" x14ac:dyDescent="0.25">
      <c r="D134" t="s">
        <v>934</v>
      </c>
      <c r="E134">
        <v>1</v>
      </c>
      <c r="F134">
        <v>50.4</v>
      </c>
      <c r="H134">
        <f>F134</f>
        <v>50.4</v>
      </c>
      <c r="S134" t="s">
        <v>934</v>
      </c>
      <c r="T134">
        <v>1</v>
      </c>
      <c r="U134">
        <v>50.4</v>
      </c>
      <c r="W134">
        <f>U134</f>
        <v>50.4</v>
      </c>
      <c r="AG134" t="s">
        <v>934</v>
      </c>
      <c r="AH134">
        <v>1</v>
      </c>
      <c r="AI134">
        <v>73.2</v>
      </c>
      <c r="AK134">
        <f>AI134</f>
        <v>73.2</v>
      </c>
      <c r="AU134" t="s">
        <v>934</v>
      </c>
      <c r="AV134">
        <v>1</v>
      </c>
      <c r="AW134">
        <v>293.93333333333328</v>
      </c>
      <c r="AY134">
        <f>AW134</f>
        <v>293.93333333333328</v>
      </c>
      <c r="BH134" t="s">
        <v>934</v>
      </c>
      <c r="BI134">
        <v>1</v>
      </c>
      <c r="BJ134">
        <v>293.93333333333328</v>
      </c>
      <c r="BL134">
        <f>BJ134</f>
        <v>293.93333333333328</v>
      </c>
      <c r="BU134" t="s">
        <v>934</v>
      </c>
      <c r="BV134">
        <v>1</v>
      </c>
      <c r="BW134">
        <v>293.93333333333328</v>
      </c>
      <c r="BY134">
        <f>BW134</f>
        <v>293.93333333333328</v>
      </c>
      <c r="CG134" t="s">
        <v>934</v>
      </c>
      <c r="CH134">
        <v>1</v>
      </c>
      <c r="CI134">
        <v>293.93333333333328</v>
      </c>
      <c r="CK134">
        <f>CI134</f>
        <v>293.93333333333328</v>
      </c>
      <c r="CT134" t="s">
        <v>934</v>
      </c>
      <c r="CU134">
        <v>1</v>
      </c>
      <c r="CV134">
        <v>293.93333333333328</v>
      </c>
      <c r="CX134">
        <f>CV134</f>
        <v>293.93333333333328</v>
      </c>
      <c r="DH134" t="s">
        <v>935</v>
      </c>
      <c r="DI134">
        <v>1</v>
      </c>
      <c r="DJ134">
        <v>58.776066287999996</v>
      </c>
      <c r="DL134">
        <f>DJ134</f>
        <v>58.776066287999996</v>
      </c>
      <c r="DV134" t="s">
        <v>935</v>
      </c>
      <c r="DW134">
        <v>1</v>
      </c>
      <c r="DX134">
        <v>58.776066287999996</v>
      </c>
      <c r="DZ134">
        <f>DX134</f>
        <v>58.776066287999996</v>
      </c>
      <c r="EJ134" t="s">
        <v>934</v>
      </c>
      <c r="EK134">
        <v>1</v>
      </c>
      <c r="EL134">
        <v>293.93333333333328</v>
      </c>
      <c r="EN134">
        <f>EL134</f>
        <v>293.93333333333328</v>
      </c>
      <c r="EX134" t="s">
        <v>934</v>
      </c>
      <c r="EY134">
        <v>1</v>
      </c>
      <c r="EZ134">
        <v>293.93333333333328</v>
      </c>
      <c r="FB134">
        <f>EZ134</f>
        <v>293.93333333333328</v>
      </c>
      <c r="FL134" t="s">
        <v>934</v>
      </c>
      <c r="FM134">
        <v>1</v>
      </c>
      <c r="FN134">
        <v>293.93333333333328</v>
      </c>
      <c r="FP134">
        <f>FN134</f>
        <v>293.93333333333328</v>
      </c>
      <c r="FZ134" t="s">
        <v>934</v>
      </c>
      <c r="GA134">
        <v>1</v>
      </c>
      <c r="GB134">
        <v>293.93333333333328</v>
      </c>
      <c r="GD134">
        <f>GB134</f>
        <v>293.93333333333328</v>
      </c>
    </row>
    <row r="135" spans="1:202" x14ac:dyDescent="0.25">
      <c r="D135" t="s">
        <v>935</v>
      </c>
      <c r="E135">
        <v>1</v>
      </c>
      <c r="F135">
        <v>28.212511818239999</v>
      </c>
      <c r="H135">
        <f>F135</f>
        <v>28.212511818239999</v>
      </c>
      <c r="S135" t="s">
        <v>935</v>
      </c>
      <c r="T135">
        <v>1</v>
      </c>
      <c r="U135">
        <v>28.212511818239999</v>
      </c>
      <c r="W135">
        <f>U135</f>
        <v>28.212511818239999</v>
      </c>
      <c r="AG135" t="s">
        <v>935</v>
      </c>
      <c r="AH135">
        <v>1</v>
      </c>
      <c r="AI135">
        <v>28.212511818239999</v>
      </c>
      <c r="AK135">
        <f>AI135</f>
        <v>28.212511818239999</v>
      </c>
      <c r="AU135" t="s">
        <v>935</v>
      </c>
      <c r="AV135">
        <v>1</v>
      </c>
      <c r="AW135">
        <v>58.776066287999996</v>
      </c>
      <c r="AY135">
        <f>AW135</f>
        <v>58.776066287999996</v>
      </c>
      <c r="BH135" t="s">
        <v>935</v>
      </c>
      <c r="BI135">
        <v>1</v>
      </c>
      <c r="BJ135">
        <v>58.776066287999996</v>
      </c>
      <c r="BL135">
        <f>BJ135</f>
        <v>58.776066287999996</v>
      </c>
      <c r="BU135" t="s">
        <v>935</v>
      </c>
      <c r="BV135">
        <v>1</v>
      </c>
      <c r="BW135">
        <v>58.776066288000003</v>
      </c>
      <c r="BY135">
        <f>BW135</f>
        <v>58.776066288000003</v>
      </c>
      <c r="CG135" t="s">
        <v>935</v>
      </c>
      <c r="CH135">
        <v>1</v>
      </c>
      <c r="CI135">
        <v>58.776066287999996</v>
      </c>
      <c r="CK135">
        <f>CI135</f>
        <v>58.776066287999996</v>
      </c>
      <c r="CT135" t="s">
        <v>935</v>
      </c>
      <c r="CU135">
        <v>1</v>
      </c>
      <c r="CV135">
        <v>58.776066287999996</v>
      </c>
      <c r="CX135">
        <f>CV135</f>
        <v>58.776066287999996</v>
      </c>
      <c r="DL135">
        <f>DL133+DL134</f>
        <v>352.70939962133326</v>
      </c>
      <c r="DZ135">
        <f>DZ133+DZ134</f>
        <v>352.70939962133326</v>
      </c>
      <c r="EJ135" t="s">
        <v>935</v>
      </c>
      <c r="EK135">
        <v>1</v>
      </c>
      <c r="EL135">
        <v>58.776066287999996</v>
      </c>
      <c r="EN135">
        <f>EL135</f>
        <v>58.776066287999996</v>
      </c>
      <c r="EX135" t="s">
        <v>935</v>
      </c>
      <c r="EY135">
        <v>1</v>
      </c>
      <c r="EZ135">
        <v>58.776066287999996</v>
      </c>
      <c r="FB135">
        <f>EZ135</f>
        <v>58.776066287999996</v>
      </c>
      <c r="FL135" t="s">
        <v>935</v>
      </c>
      <c r="FM135">
        <v>1</v>
      </c>
      <c r="FN135">
        <v>58.776066287999996</v>
      </c>
      <c r="FP135">
        <f>FN135</f>
        <v>58.776066287999996</v>
      </c>
      <c r="FZ135" t="s">
        <v>935</v>
      </c>
      <c r="GA135">
        <v>1</v>
      </c>
      <c r="GB135">
        <v>58.776066287999996</v>
      </c>
      <c r="GD135">
        <f>GB135</f>
        <v>58.776066287999996</v>
      </c>
    </row>
    <row r="136" spans="1:202" x14ac:dyDescent="0.25">
      <c r="H136">
        <f>H134+H135</f>
        <v>78.612511818239994</v>
      </c>
      <c r="W136">
        <f>W134+W135</f>
        <v>78.612511818239994</v>
      </c>
      <c r="AK136">
        <f>AK134+AK135</f>
        <v>101.41251181824001</v>
      </c>
      <c r="AY136">
        <f>AY134+AY135</f>
        <v>352.70939962133326</v>
      </c>
      <c r="BL136">
        <f>BL134+BL135</f>
        <v>352.70939962133326</v>
      </c>
      <c r="BY136">
        <f>BY134+BY135</f>
        <v>352.70939962133326</v>
      </c>
      <c r="CK136">
        <f>CK134+CK135</f>
        <v>352.70939962133326</v>
      </c>
      <c r="CX136">
        <f>CX134+CX135</f>
        <v>352.70939962133326</v>
      </c>
      <c r="EN136">
        <f>EN134+EN135</f>
        <v>352.70939962133326</v>
      </c>
      <c r="FB136">
        <f>FB134+FB135</f>
        <v>352.70939962133326</v>
      </c>
      <c r="FP136">
        <f>FP134+FP135</f>
        <v>352.70939962133326</v>
      </c>
      <c r="GD136">
        <f>GD134+GD135</f>
        <v>352.70939962133326</v>
      </c>
      <c r="GP136" t="s">
        <v>1596</v>
      </c>
      <c r="GR136">
        <f>GT132+GT127+GP119+GT105</f>
        <v>11026.431056371326</v>
      </c>
    </row>
    <row r="138" spans="1:202" ht="15.75" thickBot="1" x14ac:dyDescent="0.3"/>
    <row r="139" spans="1:202" s="88" customFormat="1" ht="15.75" thickBot="1" x14ac:dyDescent="0.3">
      <c r="A139" s="86" t="s">
        <v>1612</v>
      </c>
      <c r="O139" s="90"/>
      <c r="AC139" s="90"/>
      <c r="AQ139" s="90"/>
      <c r="BD139" s="90"/>
      <c r="BQ139" s="90"/>
      <c r="CD139" s="90"/>
      <c r="CQ139" s="90"/>
      <c r="DE139" s="90"/>
      <c r="DS139" s="90"/>
      <c r="EG139" s="90"/>
      <c r="EU139" s="90"/>
      <c r="FI139" s="90"/>
      <c r="FW139" s="90"/>
      <c r="GK139" s="90"/>
    </row>
    <row r="142" spans="1:202" x14ac:dyDescent="0.25">
      <c r="C142" t="s">
        <v>1614</v>
      </c>
      <c r="D142" t="s">
        <v>1614</v>
      </c>
      <c r="R142" t="s">
        <v>1614</v>
      </c>
      <c r="S142" t="s">
        <v>1614</v>
      </c>
      <c r="AF142" t="s">
        <v>1614</v>
      </c>
      <c r="AG142" t="s">
        <v>1614</v>
      </c>
      <c r="AT142" t="s">
        <v>1614</v>
      </c>
      <c r="AU142" t="s">
        <v>1614</v>
      </c>
      <c r="BG142" t="s">
        <v>1614</v>
      </c>
      <c r="BH142" t="s">
        <v>1614</v>
      </c>
      <c r="BT142" t="s">
        <v>1614</v>
      </c>
      <c r="BU142" t="s">
        <v>1614</v>
      </c>
      <c r="CG142" t="s">
        <v>1614</v>
      </c>
      <c r="CH142" t="s">
        <v>1614</v>
      </c>
      <c r="GN142" t="s">
        <v>1614</v>
      </c>
      <c r="GO142" t="s">
        <v>1614</v>
      </c>
    </row>
    <row r="143" spans="1:202" x14ac:dyDescent="0.25">
      <c r="B143" t="s">
        <v>1613</v>
      </c>
      <c r="C143">
        <v>0</v>
      </c>
      <c r="D143">
        <v>3.5000000000000003E-2</v>
      </c>
      <c r="E143">
        <v>0.06</v>
      </c>
      <c r="Q143" t="s">
        <v>1613</v>
      </c>
      <c r="R143">
        <v>0</v>
      </c>
      <c r="S143">
        <v>3.5000000000000003E-2</v>
      </c>
      <c r="T143">
        <v>0.06</v>
      </c>
      <c r="AE143" t="s">
        <v>1613</v>
      </c>
      <c r="AF143">
        <v>0</v>
      </c>
      <c r="AG143">
        <v>3.5000000000000003E-2</v>
      </c>
      <c r="AH143">
        <v>0.06</v>
      </c>
      <c r="AS143" t="s">
        <v>1613</v>
      </c>
      <c r="AT143">
        <v>0</v>
      </c>
      <c r="AU143">
        <v>3.5000000000000003E-2</v>
      </c>
      <c r="AV143">
        <v>0.06</v>
      </c>
      <c r="BF143" t="s">
        <v>1613</v>
      </c>
      <c r="BG143">
        <v>0</v>
      </c>
      <c r="BH143">
        <v>3.5000000000000003E-2</v>
      </c>
      <c r="BI143">
        <v>0.06</v>
      </c>
      <c r="BS143" t="s">
        <v>1613</v>
      </c>
      <c r="BT143">
        <v>0</v>
      </c>
      <c r="BU143">
        <v>3.5000000000000003E-2</v>
      </c>
      <c r="BV143">
        <v>0.06</v>
      </c>
      <c r="CF143" t="s">
        <v>1613</v>
      </c>
      <c r="CG143">
        <v>0</v>
      </c>
      <c r="CH143">
        <v>3.5000000000000003E-2</v>
      </c>
      <c r="CI143">
        <v>0.06</v>
      </c>
      <c r="CS143" t="s">
        <v>1613</v>
      </c>
      <c r="CT143">
        <v>0</v>
      </c>
      <c r="CU143">
        <v>3.5000000000000003E-2</v>
      </c>
      <c r="CV143">
        <v>0.06</v>
      </c>
      <c r="DG143" t="s">
        <v>1613</v>
      </c>
      <c r="DH143">
        <v>0</v>
      </c>
      <c r="DI143">
        <v>3.5000000000000003E-2</v>
      </c>
      <c r="DJ143">
        <v>0.06</v>
      </c>
      <c r="DU143" t="s">
        <v>1613</v>
      </c>
      <c r="DV143">
        <v>0</v>
      </c>
      <c r="DW143">
        <v>3.5000000000000003E-2</v>
      </c>
      <c r="DX143">
        <v>0.06</v>
      </c>
      <c r="EI143" t="s">
        <v>1613</v>
      </c>
      <c r="EJ143">
        <v>0</v>
      </c>
      <c r="EK143">
        <v>3.5000000000000003E-2</v>
      </c>
      <c r="EL143">
        <v>0.06</v>
      </c>
      <c r="EW143" t="s">
        <v>1613</v>
      </c>
      <c r="EX143">
        <v>0</v>
      </c>
      <c r="EY143">
        <v>3.5000000000000003E-2</v>
      </c>
      <c r="EZ143">
        <v>0.06</v>
      </c>
      <c r="FK143" t="s">
        <v>1613</v>
      </c>
      <c r="FL143">
        <v>0</v>
      </c>
      <c r="FM143">
        <v>3.5000000000000003E-2</v>
      </c>
      <c r="FN143">
        <v>0.06</v>
      </c>
      <c r="FY143" t="s">
        <v>1613</v>
      </c>
      <c r="FZ143">
        <v>0</v>
      </c>
      <c r="GA143">
        <v>3.5000000000000003E-2</v>
      </c>
      <c r="GB143">
        <v>0.06</v>
      </c>
      <c r="GM143" t="s">
        <v>1613</v>
      </c>
      <c r="GN143">
        <v>0</v>
      </c>
      <c r="GO143">
        <v>3.5000000000000003E-2</v>
      </c>
      <c r="GP143">
        <v>0.06</v>
      </c>
    </row>
    <row r="144" spans="1:202" x14ac:dyDescent="0.25">
      <c r="B144">
        <v>1</v>
      </c>
      <c r="C144">
        <f>H104+H131+H136+F109</f>
        <v>1322.4583602289522</v>
      </c>
      <c r="D144">
        <f>C144/((1+$D$143)^B144)</f>
        <v>1277.7375461149297</v>
      </c>
      <c r="E144">
        <f>C144/((1+E$143)^$B144)</f>
        <v>1247.602226631087</v>
      </c>
      <c r="Q144">
        <v>1</v>
      </c>
      <c r="R144">
        <f>W104+W131+W136+U109</f>
        <v>1362.7269009981831</v>
      </c>
      <c r="S144">
        <f>R144/((1+S$143)^Q144)</f>
        <v>1316.6443487905151</v>
      </c>
      <c r="T144">
        <f>R144/((1+T$143)^$B144)</f>
        <v>1285.5914160360217</v>
      </c>
      <c r="AE144">
        <v>1</v>
      </c>
      <c r="AF144">
        <f>AK104+AK131+AK136+AI109</f>
        <v>1458.8843202289524</v>
      </c>
      <c r="AG144">
        <f>AF144/((1+AG$143)^AE144)</f>
        <v>1409.5500678540604</v>
      </c>
      <c r="AH144">
        <f>AF144/((1+AH$143)^$B144)</f>
        <v>1376.3059624801438</v>
      </c>
      <c r="AS144">
        <v>1</v>
      </c>
      <c r="AT144">
        <f>AY104+AY131+AY136+AX111</f>
        <v>1988.9326487809572</v>
      </c>
      <c r="AU144">
        <f>AT144/((1+AU$143)^AS144)</f>
        <v>1921.6740567931954</v>
      </c>
      <c r="AV144">
        <f>AT144/((1+AV$143)^$B144)</f>
        <v>1876.351555453733</v>
      </c>
      <c r="BF144">
        <v>1</v>
      </c>
      <c r="BG144">
        <f>BL104+BL131+BL136+BK111</f>
        <v>2234.9208222358193</v>
      </c>
      <c r="BH144">
        <f>BG144/((1+BH$143)^BF144)</f>
        <v>2159.3437895998254</v>
      </c>
      <c r="BI144">
        <f>BG144/((1+BI$143)^$B144)</f>
        <v>2108.4158700337916</v>
      </c>
      <c r="BS144">
        <v>1</v>
      </c>
      <c r="BT144">
        <f>BY104+BY131+BY136+BX111*2</f>
        <v>2966.0892204327583</v>
      </c>
      <c r="BU144">
        <f>BT144/((1+BU$143)^BS144)</f>
        <v>2865.7866864084622</v>
      </c>
      <c r="BV144">
        <f>BT144/((1+BV$143)^$B144)</f>
        <v>2798.1973777667531</v>
      </c>
      <c r="CF144">
        <v>1</v>
      </c>
      <c r="CG144">
        <f>CL104+CK131+CK136+CJ111*2</f>
        <v>3695.2554973093866</v>
      </c>
      <c r="CH144">
        <f>CG144/((1+CH$143)^CF144)</f>
        <v>3570.2951664824996</v>
      </c>
      <c r="CI144">
        <f>CG144/((1+CI$143)^$B144)</f>
        <v>3486.0900918013081</v>
      </c>
      <c r="CS144">
        <v>1</v>
      </c>
      <c r="CT144">
        <f>CX104+CX131+CX136+CU118</f>
        <v>2384.4838695705071</v>
      </c>
      <c r="CU144">
        <f>CT144/((1+CU$143)^CS144)</f>
        <v>2303.8491493434854</v>
      </c>
      <c r="CV144">
        <f>CT144/((1+CV$143)^$B144)</f>
        <v>2249.5130845004783</v>
      </c>
      <c r="DG144">
        <v>1</v>
      </c>
      <c r="DH144">
        <f>DL104+DL131+DL136+DI118</f>
        <v>2203.9673957264959</v>
      </c>
      <c r="DI144">
        <f>DH144/((1+DI$143)^DG144)</f>
        <v>2129.4370973202858</v>
      </c>
      <c r="DJ144">
        <f>DH144/((1+DJ$143)^$B144)</f>
        <v>2079.2145242702791</v>
      </c>
      <c r="DU144">
        <v>1</v>
      </c>
      <c r="DV144">
        <f>DZ104+DZ131+DZ136+DW118</f>
        <v>2875.109741880342</v>
      </c>
      <c r="DW144">
        <f>DV144/((1+DW$143)^DU144)</f>
        <v>2777.8838085800407</v>
      </c>
      <c r="DX144">
        <f>DV144/((1+DX$143)^$B144)</f>
        <v>2712.3676810191905</v>
      </c>
      <c r="EI144">
        <v>1</v>
      </c>
      <c r="EJ144">
        <f>EN104+EN131+EN136+EK118</f>
        <v>4923.3981199123873</v>
      </c>
      <c r="EK144">
        <f>EJ144/((1+EK$143)^EI144)</f>
        <v>4756.9063960506164</v>
      </c>
      <c r="EL144">
        <f>EJ144/((1+EL$143)^$B144)</f>
        <v>4644.7152074645164</v>
      </c>
      <c r="EW144">
        <v>1</v>
      </c>
      <c r="EX144">
        <f>FB104+FB131+FB136+EY118</f>
        <v>5595.4769437585419</v>
      </c>
      <c r="EY144">
        <f>EX144/((1+EY$143)^EW144)</f>
        <v>5406.2579166749201</v>
      </c>
      <c r="EZ144">
        <f>EX144/((1+EZ$143)^$B144)</f>
        <v>5278.7518337344736</v>
      </c>
      <c r="FK144">
        <v>1</v>
      </c>
      <c r="FL144">
        <f>FP104+FP131+FP136+FM118</f>
        <v>6267.8679268354645</v>
      </c>
      <c r="FM144">
        <f>FL144/((1+FM$143)^FK144)</f>
        <v>6055.9110404207395</v>
      </c>
      <c r="FN144">
        <f>FL144/((1+FN$143)^$B144)</f>
        <v>5913.0829498447774</v>
      </c>
      <c r="FY144">
        <v>1</v>
      </c>
      <c r="FZ144">
        <f>GD104+GD131+GD136+GA118</f>
        <v>9329.7721152115337</v>
      </c>
      <c r="GA144">
        <f>FZ144/((1+GA$143)^FY144)</f>
        <v>9014.2725750836089</v>
      </c>
      <c r="GB144">
        <f>FZ144/((1+GB$143)^$B144)</f>
        <v>8801.6718068033333</v>
      </c>
      <c r="GM144">
        <v>1</v>
      </c>
      <c r="GN144">
        <f>GT105+GT127+GT132+GP119</f>
        <v>11026.431056371326</v>
      </c>
      <c r="GO144">
        <f>GN144/((1+GO$143)^GM144)</f>
        <v>10653.556576204181</v>
      </c>
      <c r="GP144">
        <f>GN144/((1+GP$143)^$B144)</f>
        <v>10402.29344940691</v>
      </c>
    </row>
    <row r="145" spans="2:198" x14ac:dyDescent="0.25">
      <c r="B145">
        <v>2</v>
      </c>
      <c r="C145">
        <f>C144</f>
        <v>1322.4583602289522</v>
      </c>
      <c r="D145">
        <f t="shared" ref="D145:D173" si="60">C145/((1+$D$143)^B145)</f>
        <v>1234.5290300627341</v>
      </c>
      <c r="E145">
        <f t="shared" ref="E145:E173" si="61">C145/((1+E$143)^$B145)</f>
        <v>1176.9832326708365</v>
      </c>
      <c r="Q145">
        <v>2</v>
      </c>
      <c r="R145">
        <f>R144</f>
        <v>1362.7269009981831</v>
      </c>
      <c r="S145">
        <f t="shared" ref="S145:S173" si="62">R145/((1+S$143)^Q145)</f>
        <v>1272.1201437589518</v>
      </c>
      <c r="T145">
        <f t="shared" ref="T145:T173" si="63">R145/((1+T$143)^$B145)</f>
        <v>1212.8220906000204</v>
      </c>
      <c r="AE145">
        <v>2</v>
      </c>
      <c r="AF145">
        <f>AF144</f>
        <v>1458.8843202289524</v>
      </c>
      <c r="AG145">
        <f t="shared" ref="AG145:AG173" si="64">AF145/((1+AG$143)^AE145)</f>
        <v>1361.8841235304933</v>
      </c>
      <c r="AH145">
        <f t="shared" ref="AH145:AH173" si="65">AF145/((1+AH$143)^$B145)</f>
        <v>1298.401851396362</v>
      </c>
      <c r="AS145">
        <v>2</v>
      </c>
      <c r="AT145">
        <f>AT144+AX111</f>
        <v>2383.1442818375608</v>
      </c>
      <c r="AU145">
        <f t="shared" ref="AU145:AU173" si="66">AT145/((1+AU$143)^AS145)</f>
        <v>2224.6906876123699</v>
      </c>
      <c r="AV145">
        <f t="shared" ref="AV145:AV173" si="67">AT145/((1+AV$143)^$B145)</f>
        <v>2120.9899268757213</v>
      </c>
      <c r="BF145">
        <v>2</v>
      </c>
      <c r="BG145">
        <f>BG144+BK111</f>
        <v>2750.2569364395931</v>
      </c>
      <c r="BH145">
        <f t="shared" ref="BH145:BH173" si="68">BG145/((1+BH$143)^BF145)</f>
        <v>2567.3942789232829</v>
      </c>
      <c r="BI145">
        <f t="shared" ref="BI145:BI173" si="69">BG145/((1+BI$143)^$B145)</f>
        <v>2447.7188825557073</v>
      </c>
      <c r="BS145">
        <v>2</v>
      </c>
      <c r="BT145">
        <f>BT144</f>
        <v>2966.0892204327583</v>
      </c>
      <c r="BU145">
        <f t="shared" ref="BU145:BU173" si="70">BT145/((1+BU$143)^BS145)</f>
        <v>2768.8760255154225</v>
      </c>
      <c r="BV145">
        <f t="shared" ref="BV145:BV173" si="71">BT145/((1+BV$143)^$B145)</f>
        <v>2639.8088469497666</v>
      </c>
      <c r="CF145">
        <v>2</v>
      </c>
      <c r="CG145">
        <f>CG144</f>
        <v>3695.2554973093866</v>
      </c>
      <c r="CH145">
        <f t="shared" ref="CH145:CH173" si="72">CG145/((1+CH$143)^CF145)</f>
        <v>3449.5605473260866</v>
      </c>
      <c r="CI145">
        <f t="shared" ref="CI145:CI173" si="73">CG145/((1+CI$143)^$B145)</f>
        <v>3288.7642375484033</v>
      </c>
      <c r="CS145">
        <v>2</v>
      </c>
      <c r="CT145">
        <f>CT144</f>
        <v>2384.4838695705071</v>
      </c>
      <c r="CU145">
        <f t="shared" ref="CU145:CU173" si="74">CT145/((1+CU$143)^CS145)</f>
        <v>2225.9412070951548</v>
      </c>
      <c r="CV145">
        <f t="shared" ref="CV145:CV173" si="75">CT145/((1+CV$143)^$B145)</f>
        <v>2122.1821551891303</v>
      </c>
      <c r="DG145">
        <v>2</v>
      </c>
      <c r="DH145">
        <f>DH144</f>
        <v>2203.9673957264959</v>
      </c>
      <c r="DI145">
        <f t="shared" ref="DI145:DI173" si="76">DH145/((1+DI$143)^DG145)</f>
        <v>2057.4271471693587</v>
      </c>
      <c r="DJ145">
        <f t="shared" ref="DJ145:DJ173" si="77">DH145/((1+DJ$143)^$B145)</f>
        <v>1961.5231361040367</v>
      </c>
      <c r="DU145">
        <v>2</v>
      </c>
      <c r="DV145">
        <f>DV144</f>
        <v>2875.109741880342</v>
      </c>
      <c r="DW145">
        <f t="shared" ref="DW145:DW173" si="78">DV145/((1+DW$143)^DU145)</f>
        <v>2683.9457087729866</v>
      </c>
      <c r="DX145">
        <f t="shared" ref="DX145:DX173" si="79">DV145/((1+DX$143)^$B145)</f>
        <v>2558.8374349237642</v>
      </c>
      <c r="EI145">
        <v>2</v>
      </c>
      <c r="EJ145">
        <f>EJ144</f>
        <v>4923.3981199123873</v>
      </c>
      <c r="EK145">
        <f t="shared" ref="EK145:EK173" si="80">EJ145/((1+EK$143)^EI145)</f>
        <v>4596.044827102045</v>
      </c>
      <c r="EL145">
        <f t="shared" ref="EL145:EL173" si="81">EJ145/((1+EL$143)^$B145)</f>
        <v>4381.806799494826</v>
      </c>
      <c r="EW145">
        <v>2</v>
      </c>
      <c r="EX145">
        <f>EX144</f>
        <v>5595.4769437585419</v>
      </c>
      <c r="EY145">
        <f t="shared" ref="EY145:EY173" si="82">EX145/((1+EY$143)^EW145)</f>
        <v>5223.437600652097</v>
      </c>
      <c r="EZ145">
        <f t="shared" ref="EZ145:EZ173" si="83">EX145/((1+EZ$143)^$B145)</f>
        <v>4979.954560126861</v>
      </c>
      <c r="FK145">
        <v>2</v>
      </c>
      <c r="FL145">
        <f>FL144</f>
        <v>6267.8679268354645</v>
      </c>
      <c r="FM145">
        <f t="shared" ref="FM145:FM173" si="84">FL145/((1+FM$143)^FK145)</f>
        <v>5851.1217781842888</v>
      </c>
      <c r="FN145">
        <f t="shared" ref="FN145:FN173" si="85">FL145/((1+FN$143)^$B145)</f>
        <v>5578.3801413629972</v>
      </c>
      <c r="FY145">
        <v>2</v>
      </c>
      <c r="FZ145">
        <f>FZ144</f>
        <v>9329.7721152115337</v>
      </c>
      <c r="GA145">
        <f t="shared" ref="GA145:GA173" si="86">FZ145/((1+GA$143)^FY145)</f>
        <v>8709.4421015300559</v>
      </c>
      <c r="GB145">
        <f t="shared" ref="GB145:GB173" si="87">FZ145/((1+GB$143)^$B145)</f>
        <v>8303.4639686823884</v>
      </c>
      <c r="GM145">
        <v>2</v>
      </c>
      <c r="GN145">
        <f>GN144</f>
        <v>11026.431056371326</v>
      </c>
      <c r="GO145">
        <f t="shared" ref="GO145:GO173" si="88">GN145/((1+GO$143)^GM145)</f>
        <v>10293.291377975054</v>
      </c>
      <c r="GP145">
        <f t="shared" ref="GP145:GP173" si="89">GN145/((1+GP$143)^$B145)</f>
        <v>9813.4843862329344</v>
      </c>
    </row>
    <row r="146" spans="2:198" x14ac:dyDescent="0.25">
      <c r="B146">
        <v>3</v>
      </c>
      <c r="C146">
        <f t="shared" ref="C146:C173" si="90">C145</f>
        <v>1322.4583602289522</v>
      </c>
      <c r="D146">
        <f t="shared" si="60"/>
        <v>1192.7816715581973</v>
      </c>
      <c r="E146">
        <f t="shared" si="61"/>
        <v>1110.361540255506</v>
      </c>
      <c r="Q146">
        <v>3</v>
      </c>
      <c r="R146">
        <f t="shared" ref="R146:R173" si="91">R145</f>
        <v>1362.7269009981831</v>
      </c>
      <c r="S146">
        <f t="shared" si="62"/>
        <v>1229.1015881729004</v>
      </c>
      <c r="T146">
        <f t="shared" si="63"/>
        <v>1144.1717835849247</v>
      </c>
      <c r="AE146">
        <v>3</v>
      </c>
      <c r="AF146">
        <f t="shared" ref="AF146:AF173" si="92">AF145</f>
        <v>1458.8843202289524</v>
      </c>
      <c r="AG146">
        <f t="shared" si="64"/>
        <v>1315.8300710439551</v>
      </c>
      <c r="AH146">
        <f t="shared" si="65"/>
        <v>1224.9074069776998</v>
      </c>
      <c r="AS146">
        <v>3</v>
      </c>
      <c r="AT146">
        <f t="shared" ref="AT146:AT173" si="93">AT144</f>
        <v>1988.9326487809572</v>
      </c>
      <c r="AU146">
        <f t="shared" si="66"/>
        <v>1793.903294632963</v>
      </c>
      <c r="AV146">
        <f t="shared" si="67"/>
        <v>1669.9462045690038</v>
      </c>
      <c r="BF146">
        <v>3</v>
      </c>
      <c r="BG146">
        <f t="shared" ref="BG146:BG173" si="94">BG144</f>
        <v>2234.9208222358193</v>
      </c>
      <c r="BH146">
        <f t="shared" si="68"/>
        <v>2015.7705333611761</v>
      </c>
      <c r="BI146">
        <f t="shared" si="69"/>
        <v>1876.4826183996006</v>
      </c>
      <c r="BS146">
        <v>3</v>
      </c>
      <c r="BT146">
        <f t="shared" ref="BT146:BT173" si="95">BT144</f>
        <v>2966.0892204327583</v>
      </c>
      <c r="BU146">
        <f t="shared" si="70"/>
        <v>2675.2425367298774</v>
      </c>
      <c r="BV146">
        <f t="shared" si="71"/>
        <v>2490.3857046695912</v>
      </c>
      <c r="CF146">
        <v>3</v>
      </c>
      <c r="CG146">
        <f t="shared" ref="CG146:CG173" si="96">CG144</f>
        <v>3695.2554973093866</v>
      </c>
      <c r="CH146">
        <f t="shared" si="72"/>
        <v>3332.9087413778616</v>
      </c>
      <c r="CI146">
        <f t="shared" si="73"/>
        <v>3102.6077712720785</v>
      </c>
      <c r="CS146">
        <v>3</v>
      </c>
      <c r="CT146">
        <f t="shared" ref="CT146:CT173" si="97">CT145</f>
        <v>2384.4838695705071</v>
      </c>
      <c r="CU146">
        <f t="shared" si="74"/>
        <v>2150.6678329421788</v>
      </c>
      <c r="CV146">
        <f t="shared" si="75"/>
        <v>2002.0586369708774</v>
      </c>
      <c r="DG146">
        <v>3</v>
      </c>
      <c r="DH146">
        <f t="shared" ref="DH146:DH173" si="98">DH145</f>
        <v>2203.9673957264959</v>
      </c>
      <c r="DI146">
        <f t="shared" si="76"/>
        <v>1987.8523161056607</v>
      </c>
      <c r="DJ146">
        <f t="shared" si="77"/>
        <v>1850.4935246264495</v>
      </c>
      <c r="DU146">
        <v>3</v>
      </c>
      <c r="DV146">
        <f t="shared" ref="DV146:DV173" si="99">DV145</f>
        <v>2875.109741880342</v>
      </c>
      <c r="DW146">
        <f t="shared" si="78"/>
        <v>2593.1842596840452</v>
      </c>
      <c r="DX146">
        <f t="shared" si="79"/>
        <v>2413.9975801167584</v>
      </c>
      <c r="EI146">
        <v>3</v>
      </c>
      <c r="EJ146">
        <f t="shared" ref="EJ146:EJ173" si="100">EJ145</f>
        <v>4923.3981199123873</v>
      </c>
      <c r="EK146">
        <f t="shared" si="80"/>
        <v>4440.6230213546332</v>
      </c>
      <c r="EL146">
        <f t="shared" si="81"/>
        <v>4133.77999952342</v>
      </c>
      <c r="EW146">
        <v>3</v>
      </c>
      <c r="EX146">
        <f t="shared" ref="EX146:EX173" si="101">EX145</f>
        <v>5595.4769437585419</v>
      </c>
      <c r="EY146">
        <f t="shared" si="82"/>
        <v>5046.7996141566164</v>
      </c>
      <c r="EZ146">
        <f t="shared" si="83"/>
        <v>4698.0703397423213</v>
      </c>
      <c r="FK146">
        <v>3</v>
      </c>
      <c r="FL146">
        <f t="shared" ref="FL146:FL173" si="102">FL145</f>
        <v>6267.8679268354645</v>
      </c>
      <c r="FM146">
        <f t="shared" si="84"/>
        <v>5653.257756699797</v>
      </c>
      <c r="FN146">
        <f t="shared" si="85"/>
        <v>5262.6227748707515</v>
      </c>
      <c r="FY146">
        <v>3</v>
      </c>
      <c r="FZ146">
        <f t="shared" ref="FZ146:FZ173" si="103">FZ145</f>
        <v>9329.7721152115337</v>
      </c>
      <c r="GA146">
        <f t="shared" si="86"/>
        <v>8414.9199048599585</v>
      </c>
      <c r="GB146">
        <f t="shared" si="87"/>
        <v>7833.4565742286677</v>
      </c>
      <c r="GM146">
        <v>3</v>
      </c>
      <c r="GN146">
        <f t="shared" ref="GN146:GN173" si="104">GN144</f>
        <v>11026.431056371326</v>
      </c>
      <c r="GO146">
        <f t="shared" si="88"/>
        <v>9945.2090608454637</v>
      </c>
      <c r="GP146">
        <f t="shared" si="89"/>
        <v>9258.0041379555969</v>
      </c>
    </row>
    <row r="147" spans="2:198" x14ac:dyDescent="0.25">
      <c r="B147">
        <v>4</v>
      </c>
      <c r="C147">
        <f t="shared" si="90"/>
        <v>1322.4583602289522</v>
      </c>
      <c r="D147">
        <f t="shared" si="60"/>
        <v>1152.4460594765192</v>
      </c>
      <c r="E147">
        <f t="shared" si="61"/>
        <v>1047.5108870334964</v>
      </c>
      <c r="Q147">
        <v>4</v>
      </c>
      <c r="R147">
        <f t="shared" si="91"/>
        <v>1362.7269009981831</v>
      </c>
      <c r="S147">
        <f t="shared" si="62"/>
        <v>1187.5377663506285</v>
      </c>
      <c r="T147">
        <f t="shared" si="63"/>
        <v>1079.407343004646</v>
      </c>
      <c r="AE147">
        <v>4</v>
      </c>
      <c r="AF147">
        <f t="shared" si="92"/>
        <v>1458.8843202289524</v>
      </c>
      <c r="AG147">
        <f t="shared" si="64"/>
        <v>1271.3334019748359</v>
      </c>
      <c r="AH147">
        <f t="shared" si="65"/>
        <v>1155.5730254506602</v>
      </c>
      <c r="AS147">
        <v>4</v>
      </c>
      <c r="AT147">
        <f t="shared" si="93"/>
        <v>2383.1442818375608</v>
      </c>
      <c r="AU147">
        <f t="shared" si="66"/>
        <v>2076.7725618916384</v>
      </c>
      <c r="AV147">
        <f t="shared" si="67"/>
        <v>1887.6734842254548</v>
      </c>
      <c r="BF147">
        <v>4</v>
      </c>
      <c r="BG147">
        <f t="shared" si="94"/>
        <v>2750.2569364395931</v>
      </c>
      <c r="BH147">
        <f t="shared" si="68"/>
        <v>2396.6900314343702</v>
      </c>
      <c r="BI147">
        <f t="shared" si="69"/>
        <v>2178.4610916302126</v>
      </c>
      <c r="BS147">
        <v>4</v>
      </c>
      <c r="BT147">
        <f t="shared" si="95"/>
        <v>2966.0892204327583</v>
      </c>
      <c r="BU147">
        <f t="shared" si="70"/>
        <v>2584.7753978066448</v>
      </c>
      <c r="BV147">
        <f t="shared" si="71"/>
        <v>2349.420476103388</v>
      </c>
      <c r="CF147">
        <v>4</v>
      </c>
      <c r="CG147">
        <f t="shared" si="96"/>
        <v>3695.2554973093866</v>
      </c>
      <c r="CH147">
        <f t="shared" si="72"/>
        <v>3220.2016824906877</v>
      </c>
      <c r="CI147">
        <f t="shared" si="73"/>
        <v>2926.9884634642249</v>
      </c>
      <c r="CS147">
        <v>4</v>
      </c>
      <c r="CT147">
        <f t="shared" si="97"/>
        <v>2384.4838695705071</v>
      </c>
      <c r="CU147">
        <f t="shared" si="74"/>
        <v>2077.9399352098349</v>
      </c>
      <c r="CV147">
        <f t="shared" si="75"/>
        <v>1888.7345631800729</v>
      </c>
      <c r="DG147">
        <v>4</v>
      </c>
      <c r="DH147">
        <f t="shared" si="98"/>
        <v>2203.9673957264959</v>
      </c>
      <c r="DI147">
        <f t="shared" si="76"/>
        <v>1920.6302571069186</v>
      </c>
      <c r="DJ147">
        <f t="shared" si="77"/>
        <v>1745.7486081381599</v>
      </c>
      <c r="DU147">
        <v>4</v>
      </c>
      <c r="DV147">
        <f t="shared" si="99"/>
        <v>2875.109741880342</v>
      </c>
      <c r="DW147">
        <f t="shared" si="78"/>
        <v>2505.4920383420726</v>
      </c>
      <c r="DX147">
        <f t="shared" si="79"/>
        <v>2277.3562076573194</v>
      </c>
      <c r="EI147">
        <v>4</v>
      </c>
      <c r="EJ147">
        <f t="shared" si="100"/>
        <v>4923.3981199123873</v>
      </c>
      <c r="EK147">
        <f t="shared" si="80"/>
        <v>4290.4570254634136</v>
      </c>
      <c r="EL147">
        <f t="shared" si="81"/>
        <v>3899.7924523805855</v>
      </c>
      <c r="EW147">
        <v>4</v>
      </c>
      <c r="EX147">
        <f t="shared" si="101"/>
        <v>5595.4769437585419</v>
      </c>
      <c r="EY147">
        <f t="shared" si="82"/>
        <v>4876.1348929049436</v>
      </c>
      <c r="EZ147">
        <f t="shared" si="83"/>
        <v>4432.1418299455863</v>
      </c>
      <c r="FK147">
        <v>4</v>
      </c>
      <c r="FL147">
        <f t="shared" si="102"/>
        <v>6267.8679268354645</v>
      </c>
      <c r="FM147">
        <f t="shared" si="84"/>
        <v>5462.0847890819296</v>
      </c>
      <c r="FN147">
        <f t="shared" si="85"/>
        <v>4964.7384668591994</v>
      </c>
      <c r="FY147">
        <v>4</v>
      </c>
      <c r="FZ147">
        <f t="shared" si="103"/>
        <v>9329.7721152115337</v>
      </c>
      <c r="GA147">
        <f t="shared" si="86"/>
        <v>8130.3573959999603</v>
      </c>
      <c r="GB147">
        <f t="shared" si="87"/>
        <v>7390.0533719138375</v>
      </c>
      <c r="GM147">
        <v>4</v>
      </c>
      <c r="GN147">
        <f t="shared" si="104"/>
        <v>11026.431056371326</v>
      </c>
      <c r="GO147">
        <f t="shared" si="88"/>
        <v>9608.8976433289517</v>
      </c>
      <c r="GP147">
        <f t="shared" si="89"/>
        <v>8733.9661678826378</v>
      </c>
    </row>
    <row r="148" spans="2:198" x14ac:dyDescent="0.25">
      <c r="B148">
        <v>5</v>
      </c>
      <c r="C148">
        <f t="shared" si="90"/>
        <v>1322.4583602289522</v>
      </c>
      <c r="D148">
        <f t="shared" si="60"/>
        <v>1113.4744536005019</v>
      </c>
      <c r="E148">
        <f t="shared" si="61"/>
        <v>988.21781795612844</v>
      </c>
      <c r="Q148">
        <v>5</v>
      </c>
      <c r="R148">
        <f t="shared" si="91"/>
        <v>1362.7269009981831</v>
      </c>
      <c r="S148">
        <f t="shared" si="62"/>
        <v>1147.3794843967428</v>
      </c>
      <c r="T148">
        <f t="shared" si="63"/>
        <v>1018.3088141553262</v>
      </c>
      <c r="AE148">
        <v>5</v>
      </c>
      <c r="AF148">
        <f t="shared" si="92"/>
        <v>1458.8843202289524</v>
      </c>
      <c r="AG148">
        <f t="shared" si="64"/>
        <v>1228.3414511834164</v>
      </c>
      <c r="AH148">
        <f t="shared" si="65"/>
        <v>1090.1632315572265</v>
      </c>
      <c r="AS148">
        <v>5</v>
      </c>
      <c r="AT148">
        <f t="shared" si="93"/>
        <v>1988.9326487809572</v>
      </c>
      <c r="AU148">
        <f t="shared" si="66"/>
        <v>1674.6279209624154</v>
      </c>
      <c r="AV148">
        <f t="shared" si="67"/>
        <v>1486.2461770817049</v>
      </c>
      <c r="BF148">
        <v>5</v>
      </c>
      <c r="BG148">
        <f t="shared" si="94"/>
        <v>2234.9208222358193</v>
      </c>
      <c r="BH148">
        <f t="shared" si="68"/>
        <v>1881.7433623759496</v>
      </c>
      <c r="BI148">
        <f t="shared" si="69"/>
        <v>1670.0628501242438</v>
      </c>
      <c r="BS148">
        <v>5</v>
      </c>
      <c r="BT148">
        <f t="shared" si="95"/>
        <v>2966.0892204327583</v>
      </c>
      <c r="BU148">
        <f t="shared" si="70"/>
        <v>2497.3675341127009</v>
      </c>
      <c r="BV148">
        <f t="shared" si="71"/>
        <v>2216.43441141829</v>
      </c>
      <c r="CF148">
        <v>5</v>
      </c>
      <c r="CG148">
        <f t="shared" si="96"/>
        <v>3695.2554973093866</v>
      </c>
      <c r="CH148">
        <f t="shared" si="72"/>
        <v>3111.3059734209551</v>
      </c>
      <c r="CI148">
        <f t="shared" si="73"/>
        <v>2761.3098711926646</v>
      </c>
      <c r="CS148">
        <v>5</v>
      </c>
      <c r="CT148">
        <f t="shared" si="97"/>
        <v>2384.4838695705071</v>
      </c>
      <c r="CU148">
        <f t="shared" si="74"/>
        <v>2007.671434985348</v>
      </c>
      <c r="CV148">
        <f t="shared" si="75"/>
        <v>1781.8250596038422</v>
      </c>
      <c r="DG148">
        <v>5</v>
      </c>
      <c r="DH148">
        <f t="shared" si="98"/>
        <v>2203.9673957264959</v>
      </c>
      <c r="DI148">
        <f t="shared" si="76"/>
        <v>1855.6814078327718</v>
      </c>
      <c r="DJ148">
        <f t="shared" si="77"/>
        <v>1646.9326491869431</v>
      </c>
      <c r="DU148">
        <v>5</v>
      </c>
      <c r="DV148">
        <f t="shared" si="99"/>
        <v>2875.109741880342</v>
      </c>
      <c r="DW148">
        <f t="shared" si="78"/>
        <v>2420.7652544367857</v>
      </c>
      <c r="DX148">
        <f t="shared" si="79"/>
        <v>2148.4492525069049</v>
      </c>
      <c r="EI148">
        <v>5</v>
      </c>
      <c r="EJ148">
        <f t="shared" si="100"/>
        <v>4923.3981199123873</v>
      </c>
      <c r="EK148">
        <f t="shared" si="80"/>
        <v>4145.3691067279369</v>
      </c>
      <c r="EL148">
        <f t="shared" si="81"/>
        <v>3679.0494833779103</v>
      </c>
      <c r="EW148">
        <v>5</v>
      </c>
      <c r="EX148">
        <f t="shared" si="101"/>
        <v>5595.4769437585419</v>
      </c>
      <c r="EY148">
        <f t="shared" si="82"/>
        <v>4711.2414424202352</v>
      </c>
      <c r="EZ148">
        <f t="shared" si="83"/>
        <v>4181.2658773071562</v>
      </c>
      <c r="FK148">
        <v>5</v>
      </c>
      <c r="FL148">
        <f t="shared" si="102"/>
        <v>6267.8679268354645</v>
      </c>
      <c r="FM148">
        <f t="shared" si="84"/>
        <v>5277.3766078086283</v>
      </c>
      <c r="FN148">
        <f t="shared" si="85"/>
        <v>4683.7155347728294</v>
      </c>
      <c r="FY148">
        <v>5</v>
      </c>
      <c r="FZ148">
        <f t="shared" si="103"/>
        <v>9329.7721152115337</v>
      </c>
      <c r="GA148">
        <f t="shared" si="86"/>
        <v>7855.4177739130064</v>
      </c>
      <c r="GB148">
        <f t="shared" si="87"/>
        <v>6971.7484640696575</v>
      </c>
      <c r="GM148">
        <v>5</v>
      </c>
      <c r="GN148">
        <f t="shared" si="104"/>
        <v>11026.431056371326</v>
      </c>
      <c r="GO148">
        <f t="shared" si="88"/>
        <v>9283.9590756801481</v>
      </c>
      <c r="GP148">
        <f t="shared" si="89"/>
        <v>8239.5907244175833</v>
      </c>
    </row>
    <row r="149" spans="2:198" x14ac:dyDescent="0.25">
      <c r="B149">
        <v>6</v>
      </c>
      <c r="C149">
        <f t="shared" si="90"/>
        <v>1322.4583602289522</v>
      </c>
      <c r="D149">
        <f t="shared" si="60"/>
        <v>1075.8207281164268</v>
      </c>
      <c r="E149">
        <f t="shared" si="61"/>
        <v>932.28096033597024</v>
      </c>
      <c r="Q149">
        <v>6</v>
      </c>
      <c r="R149">
        <f t="shared" si="91"/>
        <v>1362.7269009981831</v>
      </c>
      <c r="S149">
        <f t="shared" si="62"/>
        <v>1108.5792119775292</v>
      </c>
      <c r="T149">
        <f t="shared" si="63"/>
        <v>960.66869259936436</v>
      </c>
      <c r="AE149">
        <v>6</v>
      </c>
      <c r="AF149">
        <f t="shared" si="92"/>
        <v>1458.8843202289524</v>
      </c>
      <c r="AG149">
        <f t="shared" si="64"/>
        <v>1186.8033344767307</v>
      </c>
      <c r="AH149">
        <f t="shared" si="65"/>
        <v>1028.4558788275722</v>
      </c>
      <c r="AS149">
        <v>6</v>
      </c>
      <c r="AT149">
        <f t="shared" si="93"/>
        <v>2383.1442818375608</v>
      </c>
      <c r="AU149">
        <f t="shared" si="66"/>
        <v>1938.6894087531925</v>
      </c>
      <c r="AV149">
        <f t="shared" si="67"/>
        <v>1680.022680869931</v>
      </c>
      <c r="BF149">
        <v>6</v>
      </c>
      <c r="BG149">
        <f t="shared" si="94"/>
        <v>2750.2569364395931</v>
      </c>
      <c r="BH149">
        <f t="shared" si="68"/>
        <v>2237.3357898054751</v>
      </c>
      <c r="BI149">
        <f t="shared" si="69"/>
        <v>1938.822616260424</v>
      </c>
      <c r="BS149">
        <v>6</v>
      </c>
      <c r="BT149">
        <f t="shared" si="95"/>
        <v>2966.0892204327583</v>
      </c>
      <c r="BU149">
        <f t="shared" si="70"/>
        <v>2412.9154918963291</v>
      </c>
      <c r="BV149">
        <f t="shared" si="71"/>
        <v>2090.9758598285753</v>
      </c>
      <c r="CF149">
        <v>6</v>
      </c>
      <c r="CG149">
        <f t="shared" si="96"/>
        <v>3695.2554973093866</v>
      </c>
      <c r="CH149">
        <f t="shared" si="72"/>
        <v>3006.0927279429516</v>
      </c>
      <c r="CI149">
        <f t="shared" si="73"/>
        <v>2605.0093124459099</v>
      </c>
      <c r="CS149">
        <v>6</v>
      </c>
      <c r="CT149">
        <f t="shared" si="97"/>
        <v>2384.4838695705071</v>
      </c>
      <c r="CU149">
        <f t="shared" si="74"/>
        <v>1939.779164237051</v>
      </c>
      <c r="CV149">
        <f t="shared" si="75"/>
        <v>1680.9670373621152</v>
      </c>
      <c r="DG149">
        <v>6</v>
      </c>
      <c r="DH149">
        <f t="shared" si="98"/>
        <v>2203.9673957264959</v>
      </c>
      <c r="DI149">
        <f t="shared" si="76"/>
        <v>1792.9288964567843</v>
      </c>
      <c r="DJ149">
        <f t="shared" si="77"/>
        <v>1553.7100464027765</v>
      </c>
      <c r="DU149">
        <v>6</v>
      </c>
      <c r="DV149">
        <f t="shared" si="99"/>
        <v>2875.109741880342</v>
      </c>
      <c r="DW149">
        <f t="shared" si="78"/>
        <v>2338.9036274751552</v>
      </c>
      <c r="DX149">
        <f t="shared" si="79"/>
        <v>2026.838917459344</v>
      </c>
      <c r="EI149">
        <v>6</v>
      </c>
      <c r="EJ149">
        <f t="shared" si="100"/>
        <v>4923.3981199123873</v>
      </c>
      <c r="EK149">
        <f t="shared" si="80"/>
        <v>4005.1875427323057</v>
      </c>
      <c r="EL149">
        <f t="shared" si="81"/>
        <v>3470.8013994131229</v>
      </c>
      <c r="EW149">
        <v>6</v>
      </c>
      <c r="EX149">
        <f t="shared" si="101"/>
        <v>5595.4769437585419</v>
      </c>
      <c r="EY149">
        <f t="shared" si="82"/>
        <v>4551.9240989567488</v>
      </c>
      <c r="EZ149">
        <f t="shared" si="83"/>
        <v>3944.5904502897697</v>
      </c>
      <c r="FK149">
        <v>6</v>
      </c>
      <c r="FL149">
        <f t="shared" si="102"/>
        <v>6267.8679268354645</v>
      </c>
      <c r="FM149">
        <f t="shared" si="84"/>
        <v>5098.9145969165493</v>
      </c>
      <c r="FN149">
        <f t="shared" si="85"/>
        <v>4418.5995611064427</v>
      </c>
      <c r="FY149">
        <v>6</v>
      </c>
      <c r="FZ149">
        <f t="shared" si="103"/>
        <v>9329.7721152115337</v>
      </c>
      <c r="GA149">
        <f t="shared" si="86"/>
        <v>7589.7756269690881</v>
      </c>
      <c r="GB149">
        <f t="shared" si="87"/>
        <v>6577.1211925185444</v>
      </c>
      <c r="GM149">
        <v>6</v>
      </c>
      <c r="GN149">
        <f t="shared" si="104"/>
        <v>11026.431056371326</v>
      </c>
      <c r="GO149">
        <f t="shared" si="88"/>
        <v>8970.0087687730884</v>
      </c>
      <c r="GP149">
        <f t="shared" si="89"/>
        <v>7773.1987966203606</v>
      </c>
    </row>
    <row r="150" spans="2:198" x14ac:dyDescent="0.25">
      <c r="B150">
        <v>7</v>
      </c>
      <c r="C150">
        <f t="shared" si="90"/>
        <v>1322.4583602289522</v>
      </c>
      <c r="D150">
        <f t="shared" si="60"/>
        <v>1039.4403170207024</v>
      </c>
      <c r="E150">
        <f t="shared" si="61"/>
        <v>879.51033993959447</v>
      </c>
      <c r="Q150">
        <v>7</v>
      </c>
      <c r="R150">
        <f t="shared" si="91"/>
        <v>1362.7269009981831</v>
      </c>
      <c r="S150">
        <f t="shared" si="62"/>
        <v>1071.0910260652456</v>
      </c>
      <c r="T150">
        <f t="shared" si="63"/>
        <v>906.29121943336247</v>
      </c>
      <c r="AE150">
        <v>7</v>
      </c>
      <c r="AF150">
        <f t="shared" si="92"/>
        <v>1458.8843202289524</v>
      </c>
      <c r="AG150">
        <f t="shared" si="64"/>
        <v>1146.6698883833149</v>
      </c>
      <c r="AH150">
        <f t="shared" si="65"/>
        <v>970.24139512035083</v>
      </c>
      <c r="AS150">
        <v>7</v>
      </c>
      <c r="AT150">
        <f t="shared" si="93"/>
        <v>1988.9326487809572</v>
      </c>
      <c r="AU150">
        <f t="shared" si="66"/>
        <v>1563.2830833507576</v>
      </c>
      <c r="AV150">
        <f t="shared" si="67"/>
        <v>1322.7538065874908</v>
      </c>
      <c r="BF150">
        <v>7</v>
      </c>
      <c r="BG150">
        <f t="shared" si="94"/>
        <v>2234.9208222358193</v>
      </c>
      <c r="BH150">
        <f t="shared" si="68"/>
        <v>1756.6275641214027</v>
      </c>
      <c r="BI150">
        <f t="shared" si="69"/>
        <v>1486.349991210612</v>
      </c>
      <c r="BS150">
        <v>7</v>
      </c>
      <c r="BT150">
        <f t="shared" si="95"/>
        <v>2966.0892204327583</v>
      </c>
      <c r="BU150">
        <f t="shared" si="70"/>
        <v>2331.319315841864</v>
      </c>
      <c r="BV150">
        <f t="shared" si="71"/>
        <v>1972.6187356873349</v>
      </c>
      <c r="CF150">
        <v>7</v>
      </c>
      <c r="CG150">
        <f t="shared" si="96"/>
        <v>3695.2554973093866</v>
      </c>
      <c r="CH150">
        <f t="shared" si="72"/>
        <v>2904.4374183023688</v>
      </c>
      <c r="CI150">
        <f t="shared" si="73"/>
        <v>2457.5559551376505</v>
      </c>
      <c r="CS150">
        <v>7</v>
      </c>
      <c r="CT150">
        <f t="shared" si="97"/>
        <v>2384.4838695705071</v>
      </c>
      <c r="CU150">
        <f t="shared" si="74"/>
        <v>1874.1827673787934</v>
      </c>
      <c r="CV150">
        <f t="shared" si="75"/>
        <v>1585.8179597755802</v>
      </c>
      <c r="DG150">
        <v>7</v>
      </c>
      <c r="DH150">
        <f t="shared" si="98"/>
        <v>2203.9673957264959</v>
      </c>
      <c r="DI150">
        <f t="shared" si="76"/>
        <v>1732.2984506828836</v>
      </c>
      <c r="DJ150">
        <f t="shared" si="77"/>
        <v>1465.7641947196003</v>
      </c>
      <c r="DU150">
        <v>7</v>
      </c>
      <c r="DV150">
        <f t="shared" si="99"/>
        <v>2875.109741880342</v>
      </c>
      <c r="DW150">
        <f t="shared" si="78"/>
        <v>2259.8102680919374</v>
      </c>
      <c r="DX150">
        <f t="shared" si="79"/>
        <v>1912.1121862823998</v>
      </c>
      <c r="EI150">
        <v>7</v>
      </c>
      <c r="EJ150">
        <f t="shared" si="100"/>
        <v>4923.3981199123873</v>
      </c>
      <c r="EK150">
        <f t="shared" si="80"/>
        <v>3869.7464180988463</v>
      </c>
      <c r="EL150">
        <f t="shared" si="81"/>
        <v>3274.340942842568</v>
      </c>
      <c r="EW150">
        <v>7</v>
      </c>
      <c r="EX150">
        <f t="shared" si="101"/>
        <v>5595.4769437585419</v>
      </c>
      <c r="EY150">
        <f t="shared" si="82"/>
        <v>4397.9942985089365</v>
      </c>
      <c r="EZ150">
        <f t="shared" si="83"/>
        <v>3721.3117455563861</v>
      </c>
      <c r="FK150">
        <v>7</v>
      </c>
      <c r="FL150">
        <f t="shared" si="102"/>
        <v>6267.8679268354645</v>
      </c>
      <c r="FM150">
        <f t="shared" si="84"/>
        <v>4926.4875332527045</v>
      </c>
      <c r="FN150">
        <f t="shared" si="85"/>
        <v>4168.4901519872092</v>
      </c>
      <c r="FY150">
        <v>7</v>
      </c>
      <c r="FZ150">
        <f t="shared" si="103"/>
        <v>9329.7721152115337</v>
      </c>
      <c r="GA150">
        <f t="shared" si="86"/>
        <v>7333.1165477962213</v>
      </c>
      <c r="GB150">
        <f t="shared" si="87"/>
        <v>6204.831313696739</v>
      </c>
      <c r="GM150">
        <v>7</v>
      </c>
      <c r="GN150">
        <f t="shared" si="104"/>
        <v>11026.431056371326</v>
      </c>
      <c r="GO150">
        <f t="shared" si="88"/>
        <v>8666.6751389111978</v>
      </c>
      <c r="GP150">
        <f t="shared" si="89"/>
        <v>7333.2064119059996</v>
      </c>
    </row>
    <row r="151" spans="2:198" x14ac:dyDescent="0.25">
      <c r="B151">
        <v>8</v>
      </c>
      <c r="C151">
        <f t="shared" si="90"/>
        <v>1322.4583602289522</v>
      </c>
      <c r="D151">
        <f t="shared" si="60"/>
        <v>1004.2901613726594</v>
      </c>
      <c r="E151">
        <f t="shared" si="61"/>
        <v>829.72673579207026</v>
      </c>
      <c r="Q151">
        <v>8</v>
      </c>
      <c r="R151">
        <f t="shared" si="91"/>
        <v>1362.7269009981831</v>
      </c>
      <c r="S151">
        <f t="shared" si="62"/>
        <v>1034.8705565847786</v>
      </c>
      <c r="T151">
        <f t="shared" si="63"/>
        <v>854.99171644656849</v>
      </c>
      <c r="AE151">
        <v>8</v>
      </c>
      <c r="AF151">
        <f t="shared" si="92"/>
        <v>1458.8843202289524</v>
      </c>
      <c r="AG151">
        <f t="shared" si="64"/>
        <v>1107.8936119645557</v>
      </c>
      <c r="AH151">
        <f t="shared" si="65"/>
        <v>915.32207086825565</v>
      </c>
      <c r="AS151">
        <v>8</v>
      </c>
      <c r="AT151">
        <f t="shared" si="93"/>
        <v>2383.1442818375608</v>
      </c>
      <c r="AU151">
        <f t="shared" si="66"/>
        <v>1809.787307758121</v>
      </c>
      <c r="AV151">
        <f t="shared" si="67"/>
        <v>1495.214205117418</v>
      </c>
      <c r="BF151">
        <v>8</v>
      </c>
      <c r="BG151">
        <f t="shared" si="94"/>
        <v>2750.2569364395931</v>
      </c>
      <c r="BH151">
        <f t="shared" si="68"/>
        <v>2088.5769000961291</v>
      </c>
      <c r="BI151">
        <f t="shared" si="69"/>
        <v>1725.5452262908721</v>
      </c>
      <c r="BS151">
        <v>8</v>
      </c>
      <c r="BT151">
        <f t="shared" si="95"/>
        <v>2966.0892204327583</v>
      </c>
      <c r="BU151">
        <f t="shared" si="70"/>
        <v>2252.4824307650865</v>
      </c>
      <c r="BV151">
        <f t="shared" si="71"/>
        <v>1860.9610714031464</v>
      </c>
      <c r="CF151">
        <v>8</v>
      </c>
      <c r="CG151">
        <f t="shared" si="96"/>
        <v>3695.2554973093866</v>
      </c>
      <c r="CH151">
        <f t="shared" si="72"/>
        <v>2806.2197278283761</v>
      </c>
      <c r="CI151">
        <f t="shared" si="73"/>
        <v>2318.4490142808027</v>
      </c>
      <c r="CS151">
        <v>8</v>
      </c>
      <c r="CT151">
        <f t="shared" si="97"/>
        <v>2384.4838695705071</v>
      </c>
      <c r="CU151">
        <f t="shared" si="74"/>
        <v>1810.8046061630857</v>
      </c>
      <c r="CV151">
        <f t="shared" si="75"/>
        <v>1496.0546790335663</v>
      </c>
      <c r="DG151">
        <v>8</v>
      </c>
      <c r="DH151">
        <f t="shared" si="98"/>
        <v>2203.9673957264959</v>
      </c>
      <c r="DI151">
        <f t="shared" si="76"/>
        <v>1673.7183098385351</v>
      </c>
      <c r="DJ151">
        <f t="shared" si="77"/>
        <v>1382.7964101128305</v>
      </c>
      <c r="DU151">
        <v>8</v>
      </c>
      <c r="DV151">
        <f t="shared" si="99"/>
        <v>2875.109741880342</v>
      </c>
      <c r="DW151">
        <f t="shared" si="78"/>
        <v>2183.3915633738529</v>
      </c>
      <c r="DX151">
        <f t="shared" si="79"/>
        <v>1803.879421021132</v>
      </c>
      <c r="EI151">
        <v>8</v>
      </c>
      <c r="EJ151">
        <f t="shared" si="100"/>
        <v>4923.3981199123873</v>
      </c>
      <c r="EK151">
        <f t="shared" si="80"/>
        <v>3738.8854281148283</v>
      </c>
      <c r="EL151">
        <f t="shared" si="81"/>
        <v>3089.0008894741213</v>
      </c>
      <c r="EW151">
        <v>8</v>
      </c>
      <c r="EX151">
        <f t="shared" si="101"/>
        <v>5595.4769437585419</v>
      </c>
      <c r="EY151">
        <f t="shared" si="82"/>
        <v>4249.2698536318239</v>
      </c>
      <c r="EZ151">
        <f t="shared" si="83"/>
        <v>3510.6714580720627</v>
      </c>
      <c r="FK151">
        <v>8</v>
      </c>
      <c r="FL151">
        <f t="shared" si="102"/>
        <v>6267.8679268354645</v>
      </c>
      <c r="FM151">
        <f t="shared" si="84"/>
        <v>4759.8913364760438</v>
      </c>
      <c r="FN151">
        <f t="shared" si="85"/>
        <v>3932.5378792332167</v>
      </c>
      <c r="FY151">
        <v>8</v>
      </c>
      <c r="FZ151">
        <f t="shared" si="103"/>
        <v>9329.7721152115337</v>
      </c>
      <c r="GA151">
        <f t="shared" si="86"/>
        <v>7085.1367611557707</v>
      </c>
      <c r="GB151">
        <f t="shared" si="87"/>
        <v>5853.6144468837165</v>
      </c>
      <c r="GM151">
        <v>8</v>
      </c>
      <c r="GN151">
        <f t="shared" si="104"/>
        <v>11026.431056371326</v>
      </c>
      <c r="GO151">
        <f t="shared" si="88"/>
        <v>8373.5991680301449</v>
      </c>
      <c r="GP151">
        <f t="shared" si="89"/>
        <v>6918.119256515095</v>
      </c>
    </row>
    <row r="152" spans="2:198" x14ac:dyDescent="0.25">
      <c r="B152">
        <v>9</v>
      </c>
      <c r="C152">
        <f t="shared" si="90"/>
        <v>1322.4583602289522</v>
      </c>
      <c r="D152">
        <f t="shared" si="60"/>
        <v>970.32865833107212</v>
      </c>
      <c r="E152">
        <f t="shared" si="61"/>
        <v>782.7610715019531</v>
      </c>
      <c r="Q152">
        <v>9</v>
      </c>
      <c r="R152">
        <f t="shared" si="91"/>
        <v>1362.7269009981831</v>
      </c>
      <c r="S152">
        <f t="shared" si="62"/>
        <v>999.87493389833696</v>
      </c>
      <c r="T152">
        <f t="shared" si="63"/>
        <v>806.595958911857</v>
      </c>
      <c r="AE152">
        <v>9</v>
      </c>
      <c r="AF152">
        <f t="shared" si="92"/>
        <v>1458.8843202289524</v>
      </c>
      <c r="AG152">
        <f t="shared" si="64"/>
        <v>1070.4286105937738</v>
      </c>
      <c r="AH152">
        <f t="shared" si="65"/>
        <v>863.51138761156187</v>
      </c>
      <c r="AS152">
        <v>9</v>
      </c>
      <c r="AT152">
        <f t="shared" si="93"/>
        <v>1988.9326487809572</v>
      </c>
      <c r="AU152">
        <f t="shared" si="66"/>
        <v>1459.3414860097162</v>
      </c>
      <c r="AV152">
        <f t="shared" si="67"/>
        <v>1177.2461788781513</v>
      </c>
      <c r="BF152">
        <v>9</v>
      </c>
      <c r="BG152">
        <f t="shared" si="94"/>
        <v>2234.9208222358193</v>
      </c>
      <c r="BH152">
        <f t="shared" si="68"/>
        <v>1639.8306276658996</v>
      </c>
      <c r="BI152">
        <f t="shared" si="69"/>
        <v>1322.8462007926416</v>
      </c>
      <c r="BS152">
        <v>9</v>
      </c>
      <c r="BT152">
        <f t="shared" si="95"/>
        <v>2966.0892204327583</v>
      </c>
      <c r="BU152">
        <f t="shared" si="70"/>
        <v>2176.3115273092626</v>
      </c>
      <c r="BV152">
        <f t="shared" si="71"/>
        <v>1755.6236522671193</v>
      </c>
      <c r="CF152">
        <v>9</v>
      </c>
      <c r="CG152">
        <f t="shared" si="96"/>
        <v>3695.2554973093866</v>
      </c>
      <c r="CH152">
        <f t="shared" si="72"/>
        <v>2711.3234085298322</v>
      </c>
      <c r="CI152">
        <f t="shared" si="73"/>
        <v>2187.2160512083042</v>
      </c>
      <c r="CS152">
        <v>9</v>
      </c>
      <c r="CT152">
        <f t="shared" si="97"/>
        <v>2384.4838695705071</v>
      </c>
      <c r="CU152">
        <f t="shared" si="74"/>
        <v>1749.5696677904214</v>
      </c>
      <c r="CV152">
        <f t="shared" si="75"/>
        <v>1411.3723387109117</v>
      </c>
      <c r="DG152">
        <v>9</v>
      </c>
      <c r="DH152">
        <f t="shared" si="98"/>
        <v>2203.9673957264959</v>
      </c>
      <c r="DI152">
        <f t="shared" si="76"/>
        <v>1617.1191399406139</v>
      </c>
      <c r="DJ152">
        <f t="shared" si="77"/>
        <v>1304.5249152007834</v>
      </c>
      <c r="DU152">
        <v>9</v>
      </c>
      <c r="DV152">
        <f t="shared" si="99"/>
        <v>2875.109741880342</v>
      </c>
      <c r="DW152">
        <f t="shared" si="78"/>
        <v>2109.5570660616941</v>
      </c>
      <c r="DX152">
        <f t="shared" si="79"/>
        <v>1701.7730386991811</v>
      </c>
      <c r="EI152">
        <v>9</v>
      </c>
      <c r="EJ152">
        <f t="shared" si="100"/>
        <v>4923.3981199123873</v>
      </c>
      <c r="EK152">
        <f t="shared" si="80"/>
        <v>3612.4496889998345</v>
      </c>
      <c r="EL152">
        <f t="shared" si="81"/>
        <v>2914.1517825227556</v>
      </c>
      <c r="EW152">
        <v>9</v>
      </c>
      <c r="EX152">
        <f t="shared" si="101"/>
        <v>5595.4769437585419</v>
      </c>
      <c r="EY152">
        <f t="shared" si="82"/>
        <v>4105.5747378085262</v>
      </c>
      <c r="EZ152">
        <f t="shared" si="83"/>
        <v>3311.9542057283611</v>
      </c>
      <c r="FK152">
        <v>9</v>
      </c>
      <c r="FL152">
        <f t="shared" si="102"/>
        <v>6267.8679268354645</v>
      </c>
      <c r="FM152">
        <f t="shared" si="84"/>
        <v>4598.9288275130866</v>
      </c>
      <c r="FN152">
        <f t="shared" si="85"/>
        <v>3709.9413955030345</v>
      </c>
      <c r="FY152">
        <v>9</v>
      </c>
      <c r="FZ152">
        <f t="shared" si="103"/>
        <v>9329.7721152115337</v>
      </c>
      <c r="GA152">
        <f t="shared" si="86"/>
        <v>6845.5427644017118</v>
      </c>
      <c r="GB152">
        <f t="shared" si="87"/>
        <v>5522.2777800789781</v>
      </c>
      <c r="GM152">
        <v>9</v>
      </c>
      <c r="GN152">
        <f t="shared" si="104"/>
        <v>11026.431056371326</v>
      </c>
      <c r="GO152">
        <f t="shared" si="88"/>
        <v>8090.4339787730878</v>
      </c>
      <c r="GP152">
        <f t="shared" si="89"/>
        <v>6526.5276004859388</v>
      </c>
    </row>
    <row r="153" spans="2:198" x14ac:dyDescent="0.25">
      <c r="B153">
        <v>10</v>
      </c>
      <c r="C153">
        <f t="shared" si="90"/>
        <v>1322.4583602289522</v>
      </c>
      <c r="D153">
        <f t="shared" si="60"/>
        <v>937.51561191407939</v>
      </c>
      <c r="E153">
        <f t="shared" si="61"/>
        <v>738.45384103957838</v>
      </c>
      <c r="Q153">
        <v>10</v>
      </c>
      <c r="R153">
        <f t="shared" si="91"/>
        <v>1362.7269009981831</v>
      </c>
      <c r="S153">
        <f t="shared" si="62"/>
        <v>966.0627380660261</v>
      </c>
      <c r="T153">
        <f t="shared" si="63"/>
        <v>760.93958387911039</v>
      </c>
      <c r="AE153">
        <v>10</v>
      </c>
      <c r="AF153">
        <f t="shared" si="92"/>
        <v>1458.8843202289524</v>
      </c>
      <c r="AG153">
        <f t="shared" si="64"/>
        <v>1034.2305416364964</v>
      </c>
      <c r="AH153">
        <f t="shared" si="65"/>
        <v>814.63338453920926</v>
      </c>
      <c r="AS153">
        <v>10</v>
      </c>
      <c r="AT153">
        <f t="shared" si="93"/>
        <v>2383.1442818375608</v>
      </c>
      <c r="AU153">
        <f t="shared" si="66"/>
        <v>1689.4558171795106</v>
      </c>
      <c r="AV153">
        <f t="shared" si="67"/>
        <v>1330.7353196132235</v>
      </c>
      <c r="BF153">
        <v>10</v>
      </c>
      <c r="BG153">
        <f t="shared" si="94"/>
        <v>2750.2569364395931</v>
      </c>
      <c r="BH153">
        <f t="shared" si="68"/>
        <v>1949.7088847778286</v>
      </c>
      <c r="BI153">
        <f t="shared" si="69"/>
        <v>1535.7291084824421</v>
      </c>
      <c r="BS153">
        <v>10</v>
      </c>
      <c r="BT153">
        <f t="shared" si="95"/>
        <v>2966.0892204327583</v>
      </c>
      <c r="BU153">
        <f t="shared" si="70"/>
        <v>2102.7164515065342</v>
      </c>
      <c r="BV153">
        <f t="shared" si="71"/>
        <v>1656.2487285538859</v>
      </c>
      <c r="CF153">
        <v>10</v>
      </c>
      <c r="CG153">
        <f t="shared" si="96"/>
        <v>3695.2554973093866</v>
      </c>
      <c r="CH153">
        <f t="shared" si="72"/>
        <v>2619.6361435070844</v>
      </c>
      <c r="CI153">
        <f t="shared" si="73"/>
        <v>2063.4113690644381</v>
      </c>
      <c r="CS153">
        <v>10</v>
      </c>
      <c r="CT153">
        <f t="shared" si="97"/>
        <v>2384.4838695705071</v>
      </c>
      <c r="CU153">
        <f t="shared" si="74"/>
        <v>1690.4054761260111</v>
      </c>
      <c r="CV153">
        <f t="shared" si="75"/>
        <v>1331.4833384065203</v>
      </c>
      <c r="DG153">
        <v>10</v>
      </c>
      <c r="DH153">
        <f t="shared" si="98"/>
        <v>2203.9673957264959</v>
      </c>
      <c r="DI153">
        <f t="shared" si="76"/>
        <v>1562.4339516334435</v>
      </c>
      <c r="DJ153">
        <f t="shared" si="77"/>
        <v>1230.6838822648899</v>
      </c>
      <c r="DU153">
        <v>10</v>
      </c>
      <c r="DV153">
        <f t="shared" si="99"/>
        <v>2875.109741880342</v>
      </c>
      <c r="DW153">
        <f t="shared" si="78"/>
        <v>2038.2193874992213</v>
      </c>
      <c r="DX153">
        <f t="shared" si="79"/>
        <v>1605.4462629237557</v>
      </c>
      <c r="EI153">
        <v>10</v>
      </c>
      <c r="EJ153">
        <f t="shared" si="100"/>
        <v>4923.3981199123873</v>
      </c>
      <c r="EK153">
        <f t="shared" si="80"/>
        <v>3490.2895545892125</v>
      </c>
      <c r="EL153">
        <f t="shared" si="81"/>
        <v>2749.1997948327885</v>
      </c>
      <c r="EW153">
        <v>10</v>
      </c>
      <c r="EX153">
        <f t="shared" si="101"/>
        <v>5595.4769437585419</v>
      </c>
      <c r="EY153">
        <f t="shared" si="82"/>
        <v>3966.7388771096871</v>
      </c>
      <c r="EZ153">
        <f t="shared" si="83"/>
        <v>3124.4850997437366</v>
      </c>
      <c r="FK153">
        <v>10</v>
      </c>
      <c r="FL153">
        <f t="shared" si="102"/>
        <v>6267.8679268354645</v>
      </c>
      <c r="FM153">
        <f t="shared" si="84"/>
        <v>4443.4094951817269</v>
      </c>
      <c r="FN153">
        <f t="shared" si="85"/>
        <v>3499.9447127387116</v>
      </c>
      <c r="FY153">
        <v>10</v>
      </c>
      <c r="FZ153">
        <f t="shared" si="103"/>
        <v>9329.7721152115337</v>
      </c>
      <c r="GA153">
        <f t="shared" si="86"/>
        <v>6614.0509800982727</v>
      </c>
      <c r="GB153">
        <f t="shared" si="87"/>
        <v>5209.6960189424317</v>
      </c>
      <c r="GM153">
        <v>10</v>
      </c>
      <c r="GN153">
        <f t="shared" si="104"/>
        <v>11026.431056371326</v>
      </c>
      <c r="GO153">
        <f t="shared" si="88"/>
        <v>7816.8444239353503</v>
      </c>
      <c r="GP153">
        <f t="shared" si="89"/>
        <v>6157.1015098923945</v>
      </c>
    </row>
    <row r="154" spans="2:198" x14ac:dyDescent="0.25">
      <c r="B154">
        <v>11</v>
      </c>
      <c r="C154">
        <f t="shared" si="90"/>
        <v>1322.4583602289522</v>
      </c>
      <c r="D154">
        <f t="shared" si="60"/>
        <v>905.81218542423119</v>
      </c>
      <c r="E154">
        <f t="shared" si="61"/>
        <v>696.65456701847006</v>
      </c>
      <c r="Q154">
        <v>11</v>
      </c>
      <c r="R154">
        <f t="shared" si="91"/>
        <v>1362.7269009981831</v>
      </c>
      <c r="S154">
        <f t="shared" si="62"/>
        <v>933.39394982224735</v>
      </c>
      <c r="T154">
        <f t="shared" si="63"/>
        <v>717.86753196142479</v>
      </c>
      <c r="AE154">
        <v>11</v>
      </c>
      <c r="AF154">
        <f t="shared" si="92"/>
        <v>1458.8843202289524</v>
      </c>
      <c r="AG154">
        <f t="shared" si="64"/>
        <v>999.2565619676293</v>
      </c>
      <c r="AH154">
        <f t="shared" si="65"/>
        <v>768.52206088604635</v>
      </c>
      <c r="AS154">
        <v>11</v>
      </c>
      <c r="AT154">
        <f t="shared" si="93"/>
        <v>1988.9326487809572</v>
      </c>
      <c r="AU154">
        <f t="shared" si="66"/>
        <v>1362.3108926786774</v>
      </c>
      <c r="AV154">
        <f t="shared" si="67"/>
        <v>1047.7449082219216</v>
      </c>
      <c r="BF154">
        <v>11</v>
      </c>
      <c r="BG154">
        <f t="shared" si="94"/>
        <v>2234.9208222358193</v>
      </c>
      <c r="BH154">
        <f t="shared" si="68"/>
        <v>1530.799437714672</v>
      </c>
      <c r="BI154">
        <f t="shared" si="69"/>
        <v>1177.3284093918132</v>
      </c>
      <c r="BS154">
        <v>11</v>
      </c>
      <c r="BT154">
        <f t="shared" si="95"/>
        <v>2966.0892204327583</v>
      </c>
      <c r="BU154">
        <f t="shared" si="70"/>
        <v>2031.6100980739459</v>
      </c>
      <c r="BV154">
        <f t="shared" si="71"/>
        <v>1562.4988005225337</v>
      </c>
      <c r="CF154">
        <v>11</v>
      </c>
      <c r="CG154">
        <f t="shared" si="96"/>
        <v>3695.2554973093866</v>
      </c>
      <c r="CH154">
        <f t="shared" si="72"/>
        <v>2531.0494140165069</v>
      </c>
      <c r="CI154">
        <f t="shared" si="73"/>
        <v>1946.614499117394</v>
      </c>
      <c r="CS154">
        <v>11</v>
      </c>
      <c r="CT154">
        <f t="shared" si="97"/>
        <v>2384.4838695705071</v>
      </c>
      <c r="CU154">
        <f t="shared" si="74"/>
        <v>1633.2420059188512</v>
      </c>
      <c r="CV154">
        <f t="shared" si="75"/>
        <v>1256.1163569872831</v>
      </c>
      <c r="DG154">
        <v>11</v>
      </c>
      <c r="DH154">
        <f t="shared" si="98"/>
        <v>2203.9673957264959</v>
      </c>
      <c r="DI154">
        <f t="shared" si="76"/>
        <v>1509.5980209018776</v>
      </c>
      <c r="DJ154">
        <f t="shared" si="77"/>
        <v>1161.0225304385754</v>
      </c>
      <c r="DU154">
        <v>11</v>
      </c>
      <c r="DV154">
        <f t="shared" si="99"/>
        <v>2875.109741880342</v>
      </c>
      <c r="DW154">
        <f t="shared" si="78"/>
        <v>1969.2940942021462</v>
      </c>
      <c r="DX154">
        <f t="shared" si="79"/>
        <v>1514.5719461544863</v>
      </c>
      <c r="EI154">
        <v>11</v>
      </c>
      <c r="EJ154">
        <f t="shared" si="100"/>
        <v>4923.3981199123873</v>
      </c>
      <c r="EK154">
        <f t="shared" si="80"/>
        <v>3372.2604392166299</v>
      </c>
      <c r="EL154">
        <f t="shared" si="81"/>
        <v>2593.5847121064035</v>
      </c>
      <c r="EW154">
        <v>11</v>
      </c>
      <c r="EX154">
        <f t="shared" si="101"/>
        <v>5595.4769437585419</v>
      </c>
      <c r="EY154">
        <f t="shared" si="82"/>
        <v>3832.5979488982484</v>
      </c>
      <c r="EZ154">
        <f t="shared" si="83"/>
        <v>2947.6274525884301</v>
      </c>
      <c r="FK154">
        <v>11</v>
      </c>
      <c r="FL154">
        <f t="shared" si="102"/>
        <v>6267.8679268354645</v>
      </c>
      <c r="FM154">
        <f t="shared" si="84"/>
        <v>4293.149270706982</v>
      </c>
      <c r="FN154">
        <f t="shared" si="85"/>
        <v>3301.8346346591611</v>
      </c>
      <c r="FY154">
        <v>11</v>
      </c>
      <c r="FZ154">
        <f t="shared" si="103"/>
        <v>9329.7721152115337</v>
      </c>
      <c r="GA154">
        <f t="shared" si="86"/>
        <v>6390.3874203848036</v>
      </c>
      <c r="GB154">
        <f t="shared" si="87"/>
        <v>4914.8075650400297</v>
      </c>
      <c r="GM154">
        <v>11</v>
      </c>
      <c r="GN154">
        <f t="shared" si="104"/>
        <v>11026.431056371326</v>
      </c>
      <c r="GO154">
        <f t="shared" si="88"/>
        <v>7552.506689792609</v>
      </c>
      <c r="GP154">
        <f t="shared" si="89"/>
        <v>5808.5863300871633</v>
      </c>
    </row>
    <row r="155" spans="2:198" x14ac:dyDescent="0.25">
      <c r="B155">
        <v>12</v>
      </c>
      <c r="C155">
        <f t="shared" si="90"/>
        <v>1322.4583602289522</v>
      </c>
      <c r="D155">
        <f t="shared" si="60"/>
        <v>875.1808554823491</v>
      </c>
      <c r="E155">
        <f t="shared" si="61"/>
        <v>657.22128964006606</v>
      </c>
      <c r="Q155">
        <v>12</v>
      </c>
      <c r="R155">
        <f t="shared" si="91"/>
        <v>1362.7269009981831</v>
      </c>
      <c r="S155">
        <f t="shared" si="62"/>
        <v>901.82990320990086</v>
      </c>
      <c r="T155">
        <f t="shared" si="63"/>
        <v>677.23352071832517</v>
      </c>
      <c r="AE155">
        <v>12</v>
      </c>
      <c r="AF155">
        <f t="shared" si="92"/>
        <v>1458.8843202289524</v>
      </c>
      <c r="AG155">
        <f t="shared" si="64"/>
        <v>965.46527726341003</v>
      </c>
      <c r="AH155">
        <f t="shared" si="65"/>
        <v>725.02081215664748</v>
      </c>
      <c r="AS155">
        <v>12</v>
      </c>
      <c r="AT155">
        <f t="shared" si="93"/>
        <v>2383.1442818375608</v>
      </c>
      <c r="AU155">
        <f t="shared" si="66"/>
        <v>1577.1250831333386</v>
      </c>
      <c r="AV155">
        <f t="shared" si="67"/>
        <v>1184.3496970569804</v>
      </c>
      <c r="BF155">
        <v>12</v>
      </c>
      <c r="BG155">
        <f t="shared" si="94"/>
        <v>2750.2569364395931</v>
      </c>
      <c r="BH155">
        <f t="shared" si="68"/>
        <v>1820.0741065395493</v>
      </c>
      <c r="BI155">
        <f t="shared" si="69"/>
        <v>1366.7934393756157</v>
      </c>
      <c r="BS155">
        <v>12</v>
      </c>
      <c r="BT155">
        <f t="shared" si="95"/>
        <v>2966.0892204327583</v>
      </c>
      <c r="BU155">
        <f t="shared" si="70"/>
        <v>1962.9083073178222</v>
      </c>
      <c r="BV155">
        <f t="shared" si="71"/>
        <v>1474.0554721910694</v>
      </c>
      <c r="CF155">
        <v>12</v>
      </c>
      <c r="CG155">
        <f t="shared" si="96"/>
        <v>3695.2554973093866</v>
      </c>
      <c r="CH155">
        <f t="shared" si="72"/>
        <v>2445.4583710304414</v>
      </c>
      <c r="CI155">
        <f t="shared" si="73"/>
        <v>1836.4287727522583</v>
      </c>
      <c r="CS155">
        <v>12</v>
      </c>
      <c r="CT155">
        <f t="shared" si="97"/>
        <v>2384.4838695705071</v>
      </c>
      <c r="CU155">
        <f t="shared" si="74"/>
        <v>1578.0115999215955</v>
      </c>
      <c r="CV155">
        <f t="shared" si="75"/>
        <v>1185.0154311200783</v>
      </c>
      <c r="DG155">
        <v>12</v>
      </c>
      <c r="DH155">
        <f t="shared" si="98"/>
        <v>2203.9673957264959</v>
      </c>
      <c r="DI155">
        <f t="shared" si="76"/>
        <v>1458.5488124655824</v>
      </c>
      <c r="DJ155">
        <f t="shared" si="77"/>
        <v>1095.3042739986558</v>
      </c>
      <c r="DU155">
        <v>12</v>
      </c>
      <c r="DV155">
        <f t="shared" si="99"/>
        <v>2875.109741880342</v>
      </c>
      <c r="DW155">
        <f t="shared" si="78"/>
        <v>1902.699607924779</v>
      </c>
      <c r="DX155">
        <f t="shared" si="79"/>
        <v>1428.8414586363076</v>
      </c>
      <c r="EI155">
        <v>12</v>
      </c>
      <c r="EJ155">
        <f t="shared" si="100"/>
        <v>4923.3981199123873</v>
      </c>
      <c r="EK155">
        <f t="shared" si="80"/>
        <v>3258.2226465861163</v>
      </c>
      <c r="EL155">
        <f t="shared" si="81"/>
        <v>2446.7780302890601</v>
      </c>
      <c r="EW155">
        <v>12</v>
      </c>
      <c r="EX155">
        <f t="shared" si="101"/>
        <v>5595.4769437585419</v>
      </c>
      <c r="EY155">
        <f t="shared" si="82"/>
        <v>3702.9931873413029</v>
      </c>
      <c r="EZ155">
        <f t="shared" si="83"/>
        <v>2780.7806156494626</v>
      </c>
      <c r="FK155">
        <v>12</v>
      </c>
      <c r="FL155">
        <f t="shared" si="102"/>
        <v>6267.8679268354645</v>
      </c>
      <c r="FM155">
        <f t="shared" si="84"/>
        <v>4147.9703098618184</v>
      </c>
      <c r="FN155">
        <f t="shared" si="85"/>
        <v>3114.9383345841143</v>
      </c>
      <c r="FY155">
        <v>12</v>
      </c>
      <c r="FZ155">
        <f t="shared" si="103"/>
        <v>9329.7721152115337</v>
      </c>
      <c r="GA155">
        <f t="shared" si="86"/>
        <v>6174.2873626906321</v>
      </c>
      <c r="GB155">
        <f t="shared" si="87"/>
        <v>4636.6109104151219</v>
      </c>
      <c r="GM155">
        <v>12</v>
      </c>
      <c r="GN155">
        <f t="shared" si="104"/>
        <v>11026.431056371326</v>
      </c>
      <c r="GO155">
        <f t="shared" si="88"/>
        <v>7297.1079128431011</v>
      </c>
      <c r="GP155">
        <f t="shared" si="89"/>
        <v>5479.7984246105316</v>
      </c>
    </row>
    <row r="156" spans="2:198" x14ac:dyDescent="0.25">
      <c r="B156">
        <v>13</v>
      </c>
      <c r="C156">
        <f t="shared" si="90"/>
        <v>1322.4583602289522</v>
      </c>
      <c r="D156">
        <f t="shared" si="60"/>
        <v>845.58536761579637</v>
      </c>
      <c r="E156">
        <f t="shared" si="61"/>
        <v>620.02008456609997</v>
      </c>
      <c r="Q156">
        <v>13</v>
      </c>
      <c r="R156">
        <f t="shared" si="91"/>
        <v>1362.7269009981831</v>
      </c>
      <c r="S156">
        <f t="shared" si="62"/>
        <v>871.33323981632964</v>
      </c>
      <c r="T156">
        <f t="shared" si="63"/>
        <v>638.89954784747658</v>
      </c>
      <c r="AE156">
        <v>13</v>
      </c>
      <c r="AF156">
        <f t="shared" si="92"/>
        <v>1458.8843202289524</v>
      </c>
      <c r="AG156">
        <f t="shared" si="64"/>
        <v>932.81669300812587</v>
      </c>
      <c r="AH156">
        <f t="shared" si="65"/>
        <v>683.98189826098815</v>
      </c>
      <c r="AS156">
        <v>13</v>
      </c>
      <c r="AT156">
        <f t="shared" si="93"/>
        <v>1988.9326487809572</v>
      </c>
      <c r="AU156">
        <f t="shared" si="66"/>
        <v>1271.731795541252</v>
      </c>
      <c r="AV156">
        <f t="shared" si="67"/>
        <v>932.48923836055667</v>
      </c>
      <c r="BF156">
        <v>13</v>
      </c>
      <c r="BG156">
        <f t="shared" si="94"/>
        <v>2234.9208222358193</v>
      </c>
      <c r="BH156">
        <f t="shared" si="68"/>
        <v>1429.0176552215198</v>
      </c>
      <c r="BI156">
        <f t="shared" si="69"/>
        <v>1047.8180930863412</v>
      </c>
      <c r="BS156">
        <v>13</v>
      </c>
      <c r="BT156">
        <f t="shared" si="95"/>
        <v>2966.0892204327583</v>
      </c>
      <c r="BU156">
        <f t="shared" si="70"/>
        <v>1896.5297655244663</v>
      </c>
      <c r="BV156">
        <f t="shared" si="71"/>
        <v>1390.6183699915748</v>
      </c>
      <c r="CF156">
        <v>13</v>
      </c>
      <c r="CG156">
        <f t="shared" si="96"/>
        <v>3695.2554973093866</v>
      </c>
      <c r="CH156">
        <f t="shared" si="72"/>
        <v>2362.7617111405239</v>
      </c>
      <c r="CI156">
        <f t="shared" si="73"/>
        <v>1732.4799742945831</v>
      </c>
      <c r="CS156">
        <v>13</v>
      </c>
      <c r="CT156">
        <f t="shared" si="97"/>
        <v>2384.4838695705071</v>
      </c>
      <c r="CU156">
        <f t="shared" si="74"/>
        <v>1524.648888813136</v>
      </c>
      <c r="CV156">
        <f t="shared" si="75"/>
        <v>1117.9390859623379</v>
      </c>
      <c r="DG156">
        <v>13</v>
      </c>
      <c r="DH156">
        <f t="shared" si="98"/>
        <v>2203.9673957264959</v>
      </c>
      <c r="DI156">
        <f t="shared" si="76"/>
        <v>1409.225905763848</v>
      </c>
      <c r="DJ156">
        <f t="shared" si="77"/>
        <v>1033.3059188666564</v>
      </c>
      <c r="DU156">
        <v>13</v>
      </c>
      <c r="DV156">
        <f t="shared" si="99"/>
        <v>2875.109741880342</v>
      </c>
      <c r="DW156">
        <f t="shared" si="78"/>
        <v>1838.3571091060671</v>
      </c>
      <c r="DX156">
        <f t="shared" si="79"/>
        <v>1347.9636402229316</v>
      </c>
      <c r="EI156">
        <v>13</v>
      </c>
      <c r="EJ156">
        <f t="shared" si="100"/>
        <v>4923.3981199123873</v>
      </c>
      <c r="EK156">
        <f t="shared" si="80"/>
        <v>3148.041204431031</v>
      </c>
      <c r="EL156">
        <f t="shared" si="81"/>
        <v>2308.2811606500563</v>
      </c>
      <c r="EW156">
        <v>13</v>
      </c>
      <c r="EX156">
        <f t="shared" si="101"/>
        <v>5595.4769437585419</v>
      </c>
      <c r="EY156">
        <f t="shared" si="82"/>
        <v>3577.7711954988445</v>
      </c>
      <c r="EZ156">
        <f t="shared" si="83"/>
        <v>2623.3779392919455</v>
      </c>
      <c r="FK156">
        <v>13</v>
      </c>
      <c r="FL156">
        <f t="shared" si="102"/>
        <v>6267.8679268354645</v>
      </c>
      <c r="FM156">
        <f t="shared" si="84"/>
        <v>4007.7007824751881</v>
      </c>
      <c r="FN156">
        <f t="shared" si="85"/>
        <v>2938.6210703623715</v>
      </c>
      <c r="FY156">
        <v>13</v>
      </c>
      <c r="FZ156">
        <f t="shared" si="103"/>
        <v>9329.7721152115337</v>
      </c>
      <c r="GA156">
        <f t="shared" si="86"/>
        <v>5965.4950364160713</v>
      </c>
      <c r="GB156">
        <f t="shared" si="87"/>
        <v>4374.1612362406804</v>
      </c>
      <c r="GM156">
        <v>13</v>
      </c>
      <c r="GN156">
        <f t="shared" si="104"/>
        <v>11026.431056371326</v>
      </c>
      <c r="GO156">
        <f t="shared" si="88"/>
        <v>7050.3458095102442</v>
      </c>
      <c r="GP156">
        <f t="shared" si="89"/>
        <v>5169.6211552929535</v>
      </c>
    </row>
    <row r="157" spans="2:198" x14ac:dyDescent="0.25">
      <c r="B157">
        <v>14</v>
      </c>
      <c r="C157">
        <f t="shared" si="90"/>
        <v>1322.4583602289522</v>
      </c>
      <c r="D157">
        <f t="shared" si="60"/>
        <v>816.99069334859541</v>
      </c>
      <c r="E157">
        <f t="shared" si="61"/>
        <v>584.92460808122644</v>
      </c>
      <c r="Q157">
        <v>14</v>
      </c>
      <c r="R157">
        <f t="shared" si="91"/>
        <v>1362.7269009981831</v>
      </c>
      <c r="S157">
        <f t="shared" si="62"/>
        <v>841.86786455684012</v>
      </c>
      <c r="T157">
        <f t="shared" si="63"/>
        <v>602.73542249761942</v>
      </c>
      <c r="AE157">
        <v>14</v>
      </c>
      <c r="AF157">
        <f t="shared" si="92"/>
        <v>1458.8843202289524</v>
      </c>
      <c r="AG157">
        <f t="shared" si="64"/>
        <v>901.27216715760937</v>
      </c>
      <c r="AH157">
        <f t="shared" si="65"/>
        <v>645.26594175564924</v>
      </c>
      <c r="AS157">
        <v>14</v>
      </c>
      <c r="AT157">
        <f t="shared" si="93"/>
        <v>2383.1442818375608</v>
      </c>
      <c r="AU157">
        <f t="shared" si="66"/>
        <v>1472.2631409212245</v>
      </c>
      <c r="AV157">
        <f t="shared" si="67"/>
        <v>1054.0670141126561</v>
      </c>
      <c r="BF157">
        <v>14</v>
      </c>
      <c r="BG157">
        <f t="shared" si="94"/>
        <v>2750.2569364395931</v>
      </c>
      <c r="BH157">
        <f t="shared" si="68"/>
        <v>1699.0586539144899</v>
      </c>
      <c r="BI157">
        <f t="shared" si="69"/>
        <v>1216.4412952791167</v>
      </c>
      <c r="BS157">
        <v>14</v>
      </c>
      <c r="BT157">
        <f t="shared" si="95"/>
        <v>2966.0892204327583</v>
      </c>
      <c r="BU157">
        <f t="shared" si="70"/>
        <v>1832.3959087192909</v>
      </c>
      <c r="BV157">
        <f t="shared" si="71"/>
        <v>1311.9041226335612</v>
      </c>
      <c r="CF157">
        <v>14</v>
      </c>
      <c r="CG157">
        <f t="shared" si="96"/>
        <v>3695.2554973093866</v>
      </c>
      <c r="CH157">
        <f t="shared" si="72"/>
        <v>2282.8615566575104</v>
      </c>
      <c r="CI157">
        <f t="shared" si="73"/>
        <v>1634.4150700892294</v>
      </c>
      <c r="CS157">
        <v>14</v>
      </c>
      <c r="CT157">
        <f t="shared" si="97"/>
        <v>2384.4838695705071</v>
      </c>
      <c r="CU157">
        <f t="shared" si="74"/>
        <v>1473.0907138291168</v>
      </c>
      <c r="CV157">
        <f t="shared" si="75"/>
        <v>1054.6595150588093</v>
      </c>
      <c r="DG157">
        <v>14</v>
      </c>
      <c r="DH157">
        <f t="shared" si="98"/>
        <v>2203.9673957264959</v>
      </c>
      <c r="DI157">
        <f t="shared" si="76"/>
        <v>1361.5709234433314</v>
      </c>
      <c r="DJ157">
        <f t="shared" si="77"/>
        <v>974.81690459118533</v>
      </c>
      <c r="DU157">
        <v>14</v>
      </c>
      <c r="DV157">
        <f t="shared" si="99"/>
        <v>2875.109741880342</v>
      </c>
      <c r="DW157">
        <f t="shared" si="78"/>
        <v>1776.190443580741</v>
      </c>
      <c r="DX157">
        <f t="shared" si="79"/>
        <v>1271.6638115310677</v>
      </c>
      <c r="EI157">
        <v>14</v>
      </c>
      <c r="EJ157">
        <f t="shared" si="100"/>
        <v>4923.3981199123873</v>
      </c>
      <c r="EK157">
        <f t="shared" si="80"/>
        <v>3041.5857047642808</v>
      </c>
      <c r="EL157">
        <f t="shared" si="81"/>
        <v>2177.6237364623175</v>
      </c>
      <c r="EW157">
        <v>14</v>
      </c>
      <c r="EX157">
        <f t="shared" si="101"/>
        <v>5595.4769437585419</v>
      </c>
      <c r="EY157">
        <f t="shared" si="82"/>
        <v>3456.7837637669986</v>
      </c>
      <c r="EZ157">
        <f t="shared" si="83"/>
        <v>2474.8848483886277</v>
      </c>
      <c r="FK157">
        <v>14</v>
      </c>
      <c r="FL157">
        <f t="shared" si="102"/>
        <v>6267.8679268354645</v>
      </c>
      <c r="FM157">
        <f t="shared" si="84"/>
        <v>3872.1746690581522</v>
      </c>
      <c r="FN157">
        <f t="shared" si="85"/>
        <v>2772.2840286437472</v>
      </c>
      <c r="FY157">
        <v>14</v>
      </c>
      <c r="FZ157">
        <f t="shared" si="103"/>
        <v>9329.7721152115337</v>
      </c>
      <c r="GA157">
        <f t="shared" si="86"/>
        <v>5763.7633202087636</v>
      </c>
      <c r="GB157">
        <f t="shared" si="87"/>
        <v>4126.5672040006421</v>
      </c>
      <c r="GM157">
        <v>14</v>
      </c>
      <c r="GN157">
        <f t="shared" si="104"/>
        <v>11026.431056371326</v>
      </c>
      <c r="GO157">
        <f t="shared" si="88"/>
        <v>6811.9283183673851</v>
      </c>
      <c r="GP157">
        <f t="shared" si="89"/>
        <v>4877.0010898990131</v>
      </c>
    </row>
    <row r="158" spans="2:198" x14ac:dyDescent="0.25">
      <c r="B158">
        <v>15</v>
      </c>
      <c r="C158">
        <f t="shared" si="90"/>
        <v>1322.4583602289522</v>
      </c>
      <c r="D158">
        <f t="shared" si="60"/>
        <v>789.36298874260444</v>
      </c>
      <c r="E158">
        <f t="shared" si="61"/>
        <v>551.81566800115684</v>
      </c>
      <c r="Q158">
        <v>15</v>
      </c>
      <c r="R158">
        <f t="shared" si="91"/>
        <v>1362.7269009981831</v>
      </c>
      <c r="S158">
        <f t="shared" si="62"/>
        <v>813.39890295346879</v>
      </c>
      <c r="T158">
        <f t="shared" si="63"/>
        <v>568.61832311096157</v>
      </c>
      <c r="AE158">
        <v>15</v>
      </c>
      <c r="AF158">
        <f t="shared" si="92"/>
        <v>1458.8843202289524</v>
      </c>
      <c r="AG158">
        <f t="shared" si="64"/>
        <v>870.79436440348741</v>
      </c>
      <c r="AH158">
        <f t="shared" si="65"/>
        <v>608.74145448646129</v>
      </c>
      <c r="AS158">
        <v>15</v>
      </c>
      <c r="AT158">
        <f t="shared" si="93"/>
        <v>1988.9326487809572</v>
      </c>
      <c r="AU158">
        <f t="shared" si="66"/>
        <v>1187.1752391339373</v>
      </c>
      <c r="AV158">
        <f t="shared" si="67"/>
        <v>829.91210249248525</v>
      </c>
      <c r="BF158">
        <v>15</v>
      </c>
      <c r="BG158">
        <f t="shared" si="94"/>
        <v>2234.9208222358193</v>
      </c>
      <c r="BH158">
        <f t="shared" si="68"/>
        <v>1334.0032721617958</v>
      </c>
      <c r="BI158">
        <f t="shared" si="69"/>
        <v>932.55437262935288</v>
      </c>
      <c r="BS158">
        <v>15</v>
      </c>
      <c r="BT158">
        <f t="shared" si="95"/>
        <v>2966.0892204327583</v>
      </c>
      <c r="BU158">
        <f t="shared" si="70"/>
        <v>1770.4308296804745</v>
      </c>
      <c r="BV158">
        <f t="shared" si="71"/>
        <v>1237.6453987109064</v>
      </c>
      <c r="CF158">
        <v>15</v>
      </c>
      <c r="CG158">
        <f t="shared" si="96"/>
        <v>3695.2554973093866</v>
      </c>
      <c r="CH158">
        <f t="shared" si="72"/>
        <v>2205.663339765711</v>
      </c>
      <c r="CI158">
        <f t="shared" si="73"/>
        <v>1541.9010095181407</v>
      </c>
      <c r="CS158">
        <v>15</v>
      </c>
      <c r="CT158">
        <f t="shared" si="97"/>
        <v>2384.4838695705071</v>
      </c>
      <c r="CU158">
        <f t="shared" si="74"/>
        <v>1423.2760520088086</v>
      </c>
      <c r="CV158">
        <f t="shared" si="75"/>
        <v>994.96180665925385</v>
      </c>
      <c r="DG158">
        <v>15</v>
      </c>
      <c r="DH158">
        <f t="shared" si="98"/>
        <v>2203.9673957264959</v>
      </c>
      <c r="DI158">
        <f t="shared" si="76"/>
        <v>1315.5274622640884</v>
      </c>
      <c r="DJ158">
        <f t="shared" si="77"/>
        <v>919.63858923696694</v>
      </c>
      <c r="DU158">
        <v>15</v>
      </c>
      <c r="DV158">
        <f t="shared" si="99"/>
        <v>2875.109741880342</v>
      </c>
      <c r="DW158">
        <f t="shared" si="78"/>
        <v>1716.1260324451605</v>
      </c>
      <c r="DX158">
        <f t="shared" si="79"/>
        <v>1199.6828410670446</v>
      </c>
      <c r="EI158">
        <v>15</v>
      </c>
      <c r="EJ158">
        <f t="shared" si="100"/>
        <v>4923.3981199123873</v>
      </c>
      <c r="EK158">
        <f t="shared" si="80"/>
        <v>2938.7301495307065</v>
      </c>
      <c r="EL158">
        <f t="shared" si="81"/>
        <v>2054.3620155304875</v>
      </c>
      <c r="EW158">
        <v>15</v>
      </c>
      <c r="EX158">
        <f t="shared" si="101"/>
        <v>5595.4769437585419</v>
      </c>
      <c r="EY158">
        <f t="shared" si="82"/>
        <v>3339.8876944608687</v>
      </c>
      <c r="EZ158">
        <f t="shared" si="83"/>
        <v>2334.7970267817236</v>
      </c>
      <c r="FK158">
        <v>15</v>
      </c>
      <c r="FL158">
        <f t="shared" si="102"/>
        <v>6267.8679268354645</v>
      </c>
      <c r="FM158">
        <f t="shared" si="84"/>
        <v>3741.2315643073939</v>
      </c>
      <c r="FN158">
        <f t="shared" si="85"/>
        <v>2615.3622911733455</v>
      </c>
      <c r="FY158">
        <v>15</v>
      </c>
      <c r="FZ158">
        <f t="shared" si="103"/>
        <v>9329.7721152115337</v>
      </c>
      <c r="GA158">
        <f t="shared" si="86"/>
        <v>5568.8534494770674</v>
      </c>
      <c r="GB158">
        <f t="shared" si="87"/>
        <v>3892.9879283024916</v>
      </c>
      <c r="GM158">
        <v>15</v>
      </c>
      <c r="GN158">
        <f t="shared" si="104"/>
        <v>11026.431056371326</v>
      </c>
      <c r="GO158">
        <f t="shared" si="88"/>
        <v>6581.573254461242</v>
      </c>
      <c r="GP158">
        <f t="shared" si="89"/>
        <v>4600.9444244330298</v>
      </c>
    </row>
    <row r="159" spans="2:198" x14ac:dyDescent="0.25">
      <c r="B159">
        <v>16</v>
      </c>
      <c r="C159">
        <f t="shared" si="90"/>
        <v>1322.4583602289522</v>
      </c>
      <c r="D159">
        <f t="shared" si="60"/>
        <v>762.66955434068075</v>
      </c>
      <c r="E159">
        <f t="shared" si="61"/>
        <v>520.58081886901607</v>
      </c>
      <c r="Q159">
        <v>16</v>
      </c>
      <c r="R159">
        <f t="shared" si="91"/>
        <v>1362.7269009981831</v>
      </c>
      <c r="S159">
        <f t="shared" si="62"/>
        <v>785.89265985842417</v>
      </c>
      <c r="T159">
        <f t="shared" si="63"/>
        <v>536.4323802933601</v>
      </c>
      <c r="AE159">
        <v>16</v>
      </c>
      <c r="AF159">
        <f t="shared" si="92"/>
        <v>1458.8843202289524</v>
      </c>
      <c r="AG159">
        <f t="shared" si="64"/>
        <v>841.347211984046</v>
      </c>
      <c r="AH159">
        <f t="shared" si="65"/>
        <v>574.28439102496372</v>
      </c>
      <c r="AS159">
        <v>16</v>
      </c>
      <c r="AT159">
        <f t="shared" si="93"/>
        <v>2383.1442818375608</v>
      </c>
      <c r="AU159">
        <f t="shared" si="66"/>
        <v>1374.3733958050129</v>
      </c>
      <c r="AV159">
        <f t="shared" si="67"/>
        <v>938.11589009670354</v>
      </c>
      <c r="BF159">
        <v>16</v>
      </c>
      <c r="BG159">
        <f t="shared" si="94"/>
        <v>2750.2569364395931</v>
      </c>
      <c r="BH159">
        <f t="shared" si="68"/>
        <v>1586.089433979314</v>
      </c>
      <c r="BI159">
        <f t="shared" si="69"/>
        <v>1082.6284222847248</v>
      </c>
      <c r="BS159">
        <v>16</v>
      </c>
      <c r="BT159">
        <f t="shared" si="95"/>
        <v>2966.0892204327583</v>
      </c>
      <c r="BU159">
        <f t="shared" si="70"/>
        <v>1710.5611880970771</v>
      </c>
      <c r="BV159">
        <f t="shared" si="71"/>
        <v>1167.5899987838743</v>
      </c>
      <c r="CF159">
        <v>16</v>
      </c>
      <c r="CG159">
        <f t="shared" si="96"/>
        <v>3695.2554973093866</v>
      </c>
      <c r="CH159">
        <f t="shared" si="72"/>
        <v>2131.0756905948901</v>
      </c>
      <c r="CI159">
        <f t="shared" si="73"/>
        <v>1454.6235938850386</v>
      </c>
      <c r="CS159">
        <v>16</v>
      </c>
      <c r="CT159">
        <f t="shared" si="97"/>
        <v>2384.4838695705071</v>
      </c>
      <c r="CU159">
        <f t="shared" si="74"/>
        <v>1375.1459439698638</v>
      </c>
      <c r="CV159">
        <f t="shared" si="75"/>
        <v>938.64321382948503</v>
      </c>
      <c r="DG159">
        <v>16</v>
      </c>
      <c r="DH159">
        <f t="shared" si="98"/>
        <v>2203.9673957264959</v>
      </c>
      <c r="DI159">
        <f t="shared" si="76"/>
        <v>1271.0410263421147</v>
      </c>
      <c r="DJ159">
        <f t="shared" si="77"/>
        <v>867.58357475185585</v>
      </c>
      <c r="DU159">
        <v>16</v>
      </c>
      <c r="DV159">
        <f t="shared" si="99"/>
        <v>2875.109741880342</v>
      </c>
      <c r="DW159">
        <f t="shared" si="78"/>
        <v>1658.09278497117</v>
      </c>
      <c r="DX159">
        <f t="shared" si="79"/>
        <v>1131.7762651575895</v>
      </c>
      <c r="EI159">
        <v>16</v>
      </c>
      <c r="EJ159">
        <f t="shared" si="100"/>
        <v>4923.3981199123873</v>
      </c>
      <c r="EK159">
        <f t="shared" si="80"/>
        <v>2839.352801478944</v>
      </c>
      <c r="EL159">
        <f t="shared" si="81"/>
        <v>1938.0773731419699</v>
      </c>
      <c r="EW159">
        <v>16</v>
      </c>
      <c r="EX159">
        <f t="shared" si="101"/>
        <v>5595.4769437585419</v>
      </c>
      <c r="EY159">
        <f t="shared" si="82"/>
        <v>3226.9446323293428</v>
      </c>
      <c r="EZ159">
        <f t="shared" si="83"/>
        <v>2202.6387045110605</v>
      </c>
      <c r="FK159">
        <v>16</v>
      </c>
      <c r="FL159">
        <f t="shared" si="102"/>
        <v>6267.8679268354645</v>
      </c>
      <c r="FM159">
        <f t="shared" si="84"/>
        <v>3614.7164872535213</v>
      </c>
      <c r="FN159">
        <f t="shared" si="85"/>
        <v>2467.3229162012699</v>
      </c>
      <c r="FY159">
        <v>16</v>
      </c>
      <c r="FZ159">
        <f t="shared" si="103"/>
        <v>9329.7721152115337</v>
      </c>
      <c r="GA159">
        <f t="shared" si="86"/>
        <v>5380.5347337942685</v>
      </c>
      <c r="GB159">
        <f t="shared" si="87"/>
        <v>3672.630121040087</v>
      </c>
      <c r="GM159">
        <v>16</v>
      </c>
      <c r="GN159">
        <f t="shared" si="104"/>
        <v>11026.431056371326</v>
      </c>
      <c r="GO159">
        <f t="shared" si="88"/>
        <v>6359.0079753248729</v>
      </c>
      <c r="GP159">
        <f t="shared" si="89"/>
        <v>4340.5136079556896</v>
      </c>
    </row>
    <row r="160" spans="2:198" x14ac:dyDescent="0.25">
      <c r="B160">
        <v>17</v>
      </c>
      <c r="C160">
        <f t="shared" si="90"/>
        <v>1322.4583602289522</v>
      </c>
      <c r="D160">
        <f t="shared" si="60"/>
        <v>736.87879646442582</v>
      </c>
      <c r="E160">
        <f t="shared" si="61"/>
        <v>491.11398006510939</v>
      </c>
      <c r="Q160">
        <v>17</v>
      </c>
      <c r="R160">
        <f t="shared" si="91"/>
        <v>1362.7269009981831</v>
      </c>
      <c r="S160">
        <f t="shared" si="62"/>
        <v>759.31657957335665</v>
      </c>
      <c r="T160">
        <f t="shared" si="63"/>
        <v>506.06828329562268</v>
      </c>
      <c r="AE160">
        <v>17</v>
      </c>
      <c r="AF160">
        <f t="shared" si="92"/>
        <v>1458.8843202289524</v>
      </c>
      <c r="AG160">
        <f t="shared" si="64"/>
        <v>812.89585698941642</v>
      </c>
      <c r="AH160">
        <f t="shared" si="65"/>
        <v>541.77772738204112</v>
      </c>
      <c r="AS160">
        <v>17</v>
      </c>
      <c r="AT160">
        <f t="shared" si="93"/>
        <v>1988.9326487809572</v>
      </c>
      <c r="AU160">
        <f t="shared" si="66"/>
        <v>1108.240788941574</v>
      </c>
      <c r="AV160">
        <f t="shared" si="67"/>
        <v>738.61881674304504</v>
      </c>
      <c r="BF160">
        <v>17</v>
      </c>
      <c r="BG160">
        <f t="shared" si="94"/>
        <v>2234.9208222358193</v>
      </c>
      <c r="BH160">
        <f t="shared" si="68"/>
        <v>1245.3063288868316</v>
      </c>
      <c r="BI160">
        <f t="shared" si="69"/>
        <v>829.9700717598372</v>
      </c>
      <c r="BS160">
        <v>17</v>
      </c>
      <c r="BT160">
        <f t="shared" si="95"/>
        <v>2966.0892204327583</v>
      </c>
      <c r="BU160">
        <f t="shared" si="70"/>
        <v>1652.716123765292</v>
      </c>
      <c r="BV160">
        <f t="shared" si="71"/>
        <v>1101.4999988527115</v>
      </c>
      <c r="CF160">
        <v>17</v>
      </c>
      <c r="CG160">
        <f t="shared" si="96"/>
        <v>3695.2554973093866</v>
      </c>
      <c r="CH160">
        <f t="shared" si="72"/>
        <v>2059.0103290771885</v>
      </c>
      <c r="CI160">
        <f t="shared" si="73"/>
        <v>1372.286409325508</v>
      </c>
      <c r="CS160">
        <v>17</v>
      </c>
      <c r="CT160">
        <f t="shared" si="97"/>
        <v>2384.4838695705071</v>
      </c>
      <c r="CU160">
        <f t="shared" si="74"/>
        <v>1328.6434241254722</v>
      </c>
      <c r="CV160">
        <f t="shared" si="75"/>
        <v>885.51246587687262</v>
      </c>
      <c r="DG160">
        <v>17</v>
      </c>
      <c r="DH160">
        <f t="shared" si="98"/>
        <v>2203.9673957264959</v>
      </c>
      <c r="DI160">
        <f t="shared" si="76"/>
        <v>1228.0589626493861</v>
      </c>
      <c r="DJ160">
        <f t="shared" si="77"/>
        <v>818.47507052061871</v>
      </c>
      <c r="DU160">
        <v>17</v>
      </c>
      <c r="DV160">
        <f t="shared" si="99"/>
        <v>2875.109741880342</v>
      </c>
      <c r="DW160">
        <f t="shared" si="78"/>
        <v>1602.0220144648986</v>
      </c>
      <c r="DX160">
        <f t="shared" si="79"/>
        <v>1067.713457695839</v>
      </c>
      <c r="EI160">
        <v>17</v>
      </c>
      <c r="EJ160">
        <f t="shared" si="100"/>
        <v>4923.3981199123873</v>
      </c>
      <c r="EK160">
        <f t="shared" si="80"/>
        <v>2743.3360400762745</v>
      </c>
      <c r="EL160">
        <f t="shared" si="81"/>
        <v>1828.3748803226129</v>
      </c>
      <c r="EW160">
        <v>17</v>
      </c>
      <c r="EX160">
        <f t="shared" si="101"/>
        <v>5595.4769437585419</v>
      </c>
      <c r="EY160">
        <f t="shared" si="82"/>
        <v>3117.8209008012973</v>
      </c>
      <c r="EZ160">
        <f t="shared" si="83"/>
        <v>2077.9610419915666</v>
      </c>
      <c r="FK160">
        <v>17</v>
      </c>
      <c r="FL160">
        <f t="shared" si="102"/>
        <v>6267.8679268354645</v>
      </c>
      <c r="FM160">
        <f t="shared" si="84"/>
        <v>3492.4796978294894</v>
      </c>
      <c r="FN160">
        <f t="shared" si="85"/>
        <v>2327.6631284917639</v>
      </c>
      <c r="FY160">
        <v>17</v>
      </c>
      <c r="FZ160">
        <f t="shared" si="103"/>
        <v>9329.7721152115337</v>
      </c>
      <c r="GA160">
        <f t="shared" si="86"/>
        <v>5198.5842838591971</v>
      </c>
      <c r="GB160">
        <f t="shared" si="87"/>
        <v>3464.7453972076291</v>
      </c>
      <c r="GM160">
        <v>17</v>
      </c>
      <c r="GN160">
        <f t="shared" si="104"/>
        <v>11026.431056371326</v>
      </c>
      <c r="GO160">
        <f t="shared" si="88"/>
        <v>6143.9690582849016</v>
      </c>
      <c r="GP160">
        <f t="shared" si="89"/>
        <v>4094.8241584487632</v>
      </c>
    </row>
    <row r="161" spans="2:198" x14ac:dyDescent="0.25">
      <c r="B161">
        <v>18</v>
      </c>
      <c r="C161">
        <f t="shared" si="90"/>
        <v>1322.4583602289522</v>
      </c>
      <c r="D161">
        <f t="shared" si="60"/>
        <v>711.96018982070132</v>
      </c>
      <c r="E161">
        <f t="shared" si="61"/>
        <v>463.31507553312207</v>
      </c>
      <c r="Q161">
        <v>18</v>
      </c>
      <c r="R161">
        <f t="shared" si="91"/>
        <v>1362.7269009981831</v>
      </c>
      <c r="S161">
        <f t="shared" si="62"/>
        <v>733.63920731725284</v>
      </c>
      <c r="T161">
        <f t="shared" si="63"/>
        <v>477.42290876945532</v>
      </c>
      <c r="AE161">
        <v>18</v>
      </c>
      <c r="AF161">
        <f t="shared" si="92"/>
        <v>1458.8843202289524</v>
      </c>
      <c r="AG161">
        <f t="shared" si="64"/>
        <v>785.40662511054734</v>
      </c>
      <c r="AH161">
        <f t="shared" si="65"/>
        <v>511.11106356796336</v>
      </c>
      <c r="AS161">
        <v>18</v>
      </c>
      <c r="AT161">
        <f t="shared" si="93"/>
        <v>2383.1442818375608</v>
      </c>
      <c r="AU161">
        <f t="shared" si="66"/>
        <v>1282.9922712828893</v>
      </c>
      <c r="AV161">
        <f t="shared" si="67"/>
        <v>834.91980250685606</v>
      </c>
      <c r="BF161">
        <v>18</v>
      </c>
      <c r="BG161">
        <f t="shared" si="94"/>
        <v>2750.2569364395931</v>
      </c>
      <c r="BH161">
        <f t="shared" si="68"/>
        <v>1480.6314583577812</v>
      </c>
      <c r="BI161">
        <f t="shared" si="69"/>
        <v>963.5354416916382</v>
      </c>
      <c r="BS161">
        <v>18</v>
      </c>
      <c r="BT161">
        <f t="shared" si="95"/>
        <v>2966.0892204327583</v>
      </c>
      <c r="BU161">
        <f t="shared" si="70"/>
        <v>1596.827172720089</v>
      </c>
      <c r="BV161">
        <f t="shared" si="71"/>
        <v>1039.1509423138789</v>
      </c>
      <c r="CF161">
        <v>18</v>
      </c>
      <c r="CG161">
        <f t="shared" si="96"/>
        <v>3695.2554973093866</v>
      </c>
      <c r="CH161">
        <f t="shared" si="72"/>
        <v>1989.3819604610521</v>
      </c>
      <c r="CI161">
        <f t="shared" si="73"/>
        <v>1294.6098201184038</v>
      </c>
      <c r="CS161">
        <v>18</v>
      </c>
      <c r="CT161">
        <f t="shared" si="97"/>
        <v>2384.4838695705071</v>
      </c>
      <c r="CU161">
        <f t="shared" si="74"/>
        <v>1283.7134532613259</v>
      </c>
      <c r="CV161">
        <f t="shared" si="75"/>
        <v>835.38911875176666</v>
      </c>
      <c r="DG161">
        <v>18</v>
      </c>
      <c r="DH161">
        <f t="shared" si="98"/>
        <v>2203.9673957264959</v>
      </c>
      <c r="DI161">
        <f t="shared" si="76"/>
        <v>1186.5303986950591</v>
      </c>
      <c r="DJ161">
        <f t="shared" si="77"/>
        <v>772.14629294397992</v>
      </c>
      <c r="DU161">
        <v>18</v>
      </c>
      <c r="DV161">
        <f t="shared" si="99"/>
        <v>2875.109741880342</v>
      </c>
      <c r="DW161">
        <f t="shared" si="78"/>
        <v>1547.8473569709165</v>
      </c>
      <c r="DX161">
        <f t="shared" si="79"/>
        <v>1007.2768468828671</v>
      </c>
      <c r="EI161">
        <v>18</v>
      </c>
      <c r="EJ161">
        <f t="shared" si="100"/>
        <v>4923.3981199123873</v>
      </c>
      <c r="EK161">
        <f t="shared" si="80"/>
        <v>2650.5662222959177</v>
      </c>
      <c r="EL161">
        <f t="shared" si="81"/>
        <v>1724.8819625685028</v>
      </c>
      <c r="EW161">
        <v>18</v>
      </c>
      <c r="EX161">
        <f t="shared" si="101"/>
        <v>5595.4769437585419</v>
      </c>
      <c r="EY161">
        <f t="shared" si="82"/>
        <v>3012.3873437693696</v>
      </c>
      <c r="EZ161">
        <f t="shared" si="83"/>
        <v>1960.3406056524211</v>
      </c>
      <c r="FK161">
        <v>18</v>
      </c>
      <c r="FL161">
        <f t="shared" si="102"/>
        <v>6267.8679268354645</v>
      </c>
      <c r="FM161">
        <f t="shared" si="84"/>
        <v>3374.376519642019</v>
      </c>
      <c r="FN161">
        <f t="shared" si="85"/>
        <v>2195.9086117846828</v>
      </c>
      <c r="FY161">
        <v>18</v>
      </c>
      <c r="FZ161">
        <f t="shared" si="103"/>
        <v>9329.7721152115337</v>
      </c>
      <c r="GA161">
        <f t="shared" si="86"/>
        <v>5022.7867476900456</v>
      </c>
      <c r="GB161">
        <f t="shared" si="87"/>
        <v>3268.6277332147442</v>
      </c>
      <c r="GM161">
        <v>18</v>
      </c>
      <c r="GN161">
        <f t="shared" si="104"/>
        <v>11026.431056371326</v>
      </c>
      <c r="GO161">
        <f t="shared" si="88"/>
        <v>5936.2019886810649</v>
      </c>
      <c r="GP161">
        <f t="shared" si="89"/>
        <v>3863.0416589139277</v>
      </c>
    </row>
    <row r="162" spans="2:198" x14ac:dyDescent="0.25">
      <c r="B162">
        <v>19</v>
      </c>
      <c r="C162">
        <f t="shared" si="90"/>
        <v>1322.4583602289522</v>
      </c>
      <c r="D162">
        <f t="shared" si="60"/>
        <v>687.88424137265838</v>
      </c>
      <c r="E162">
        <f t="shared" si="61"/>
        <v>437.08969389917172</v>
      </c>
      <c r="Q162">
        <v>19</v>
      </c>
      <c r="R162">
        <f t="shared" si="91"/>
        <v>1362.7269009981831</v>
      </c>
      <c r="S162">
        <f t="shared" si="62"/>
        <v>708.83015199734587</v>
      </c>
      <c r="T162">
        <f t="shared" si="63"/>
        <v>450.39897053722194</v>
      </c>
      <c r="AE162">
        <v>19</v>
      </c>
      <c r="AF162">
        <f t="shared" si="92"/>
        <v>1458.8843202289524</v>
      </c>
      <c r="AG162">
        <f t="shared" si="64"/>
        <v>758.84698078313761</v>
      </c>
      <c r="AH162">
        <f t="shared" si="65"/>
        <v>482.18024864902196</v>
      </c>
      <c r="AS162">
        <v>19</v>
      </c>
      <c r="AT162">
        <f t="shared" si="93"/>
        <v>1988.9326487809572</v>
      </c>
      <c r="AU162">
        <f t="shared" si="66"/>
        <v>1034.5546350594639</v>
      </c>
      <c r="AV162">
        <f t="shared" si="67"/>
        <v>657.36811742884026</v>
      </c>
      <c r="BF162">
        <v>19</v>
      </c>
      <c r="BG162">
        <f t="shared" si="94"/>
        <v>2234.9208222358193</v>
      </c>
      <c r="BH162">
        <f t="shared" si="68"/>
        <v>1162.5067832498605</v>
      </c>
      <c r="BI162">
        <f t="shared" si="69"/>
        <v>738.67040918461828</v>
      </c>
      <c r="BS162">
        <v>19</v>
      </c>
      <c r="BT162">
        <f t="shared" si="95"/>
        <v>2966.0892204327583</v>
      </c>
      <c r="BU162">
        <f t="shared" si="70"/>
        <v>1542.8281862029849</v>
      </c>
      <c r="BV162">
        <f t="shared" si="71"/>
        <v>980.3310776546025</v>
      </c>
      <c r="CF162">
        <v>19</v>
      </c>
      <c r="CG162">
        <f t="shared" si="96"/>
        <v>3695.2554973093866</v>
      </c>
      <c r="CH162">
        <f t="shared" si="72"/>
        <v>1922.1081743585046</v>
      </c>
      <c r="CI162">
        <f t="shared" si="73"/>
        <v>1221.3300189796259</v>
      </c>
      <c r="CS162">
        <v>19</v>
      </c>
      <c r="CT162">
        <f t="shared" si="97"/>
        <v>2384.4838695705071</v>
      </c>
      <c r="CU162">
        <f t="shared" si="74"/>
        <v>1240.3028533925856</v>
      </c>
      <c r="CV162">
        <f t="shared" si="75"/>
        <v>788.10294221864763</v>
      </c>
      <c r="DG162">
        <v>19</v>
      </c>
      <c r="DH162">
        <f t="shared" si="98"/>
        <v>2203.9673957264959</v>
      </c>
      <c r="DI162">
        <f t="shared" si="76"/>
        <v>1146.4061823140669</v>
      </c>
      <c r="DJ162">
        <f t="shared" si="77"/>
        <v>728.43989900375448</v>
      </c>
      <c r="DU162">
        <v>19</v>
      </c>
      <c r="DV162">
        <f t="shared" si="99"/>
        <v>2875.109741880342</v>
      </c>
      <c r="DW162">
        <f t="shared" si="78"/>
        <v>1495.5046927255235</v>
      </c>
      <c r="DX162">
        <f t="shared" si="79"/>
        <v>950.26117630459146</v>
      </c>
      <c r="EI162">
        <v>19</v>
      </c>
      <c r="EJ162">
        <f t="shared" si="100"/>
        <v>4923.3981199123873</v>
      </c>
      <c r="EK162">
        <f t="shared" si="80"/>
        <v>2560.9335481119979</v>
      </c>
      <c r="EL162">
        <f t="shared" si="81"/>
        <v>1627.2471344985872</v>
      </c>
      <c r="EW162">
        <v>19</v>
      </c>
      <c r="EX162">
        <f t="shared" si="101"/>
        <v>5595.4769437585419</v>
      </c>
      <c r="EY162">
        <f t="shared" si="82"/>
        <v>2910.519172724029</v>
      </c>
      <c r="EZ162">
        <f t="shared" si="83"/>
        <v>1849.3779298607744</v>
      </c>
      <c r="FK162">
        <v>19</v>
      </c>
      <c r="FL162">
        <f t="shared" si="102"/>
        <v>6267.8679268354645</v>
      </c>
      <c r="FM162">
        <f t="shared" si="84"/>
        <v>3260.2671687362508</v>
      </c>
      <c r="FN162">
        <f t="shared" si="85"/>
        <v>2071.6118979100779</v>
      </c>
      <c r="FY162">
        <v>19</v>
      </c>
      <c r="FZ162">
        <f t="shared" si="103"/>
        <v>9329.7721152115337</v>
      </c>
      <c r="GA162">
        <f t="shared" si="86"/>
        <v>4852.9340557391752</v>
      </c>
      <c r="GB162">
        <f t="shared" si="87"/>
        <v>3083.6110690705132</v>
      </c>
      <c r="GM162">
        <v>19</v>
      </c>
      <c r="GN162">
        <f t="shared" si="104"/>
        <v>11026.431056371326</v>
      </c>
      <c r="GO162">
        <f t="shared" si="88"/>
        <v>5735.4608586290487</v>
      </c>
      <c r="GP162">
        <f t="shared" si="89"/>
        <v>3644.3789235037048</v>
      </c>
    </row>
    <row r="163" spans="2:198" x14ac:dyDescent="0.25">
      <c r="B163">
        <v>20</v>
      </c>
      <c r="C163">
        <f t="shared" si="90"/>
        <v>1322.4583602289522</v>
      </c>
      <c r="D163">
        <f t="shared" si="60"/>
        <v>664.62245543252027</v>
      </c>
      <c r="E163">
        <f t="shared" si="61"/>
        <v>412.34876782940728</v>
      </c>
      <c r="Q163">
        <v>20</v>
      </c>
      <c r="R163">
        <f t="shared" si="91"/>
        <v>1362.7269009981831</v>
      </c>
      <c r="S163">
        <f t="shared" si="62"/>
        <v>684.86005023898156</v>
      </c>
      <c r="T163">
        <f t="shared" si="63"/>
        <v>424.90468918605848</v>
      </c>
      <c r="AE163">
        <v>20</v>
      </c>
      <c r="AF163">
        <f t="shared" si="92"/>
        <v>1458.8843202289524</v>
      </c>
      <c r="AG163">
        <f t="shared" si="64"/>
        <v>733.18548867936011</v>
      </c>
      <c r="AH163">
        <f t="shared" si="65"/>
        <v>454.88702702737925</v>
      </c>
      <c r="AS163">
        <v>20</v>
      </c>
      <c r="AT163">
        <f t="shared" si="93"/>
        <v>2383.1442818375608</v>
      </c>
      <c r="AU163">
        <f t="shared" si="66"/>
        <v>1197.6870137299723</v>
      </c>
      <c r="AV163">
        <f t="shared" si="67"/>
        <v>743.07565192849415</v>
      </c>
      <c r="BF163">
        <v>20</v>
      </c>
      <c r="BG163">
        <f t="shared" si="94"/>
        <v>2750.2569364395931</v>
      </c>
      <c r="BH163">
        <f t="shared" si="68"/>
        <v>1382.185309676101</v>
      </c>
      <c r="BI163">
        <f t="shared" si="69"/>
        <v>857.54311293310616</v>
      </c>
      <c r="BS163">
        <v>20</v>
      </c>
      <c r="BT163">
        <f t="shared" si="95"/>
        <v>2966.0892204327583</v>
      </c>
      <c r="BU163">
        <f t="shared" si="70"/>
        <v>1490.6552523700336</v>
      </c>
      <c r="BV163">
        <f t="shared" si="71"/>
        <v>924.84063929679485</v>
      </c>
      <c r="CF163">
        <v>20</v>
      </c>
      <c r="CG163">
        <f t="shared" si="96"/>
        <v>3695.2554973093866</v>
      </c>
      <c r="CH163">
        <f t="shared" si="72"/>
        <v>1857.1093472062848</v>
      </c>
      <c r="CI163">
        <f t="shared" si="73"/>
        <v>1152.1981311128548</v>
      </c>
      <c r="CS163">
        <v>20</v>
      </c>
      <c r="CT163">
        <f t="shared" si="97"/>
        <v>2384.4838695705071</v>
      </c>
      <c r="CU163">
        <f t="shared" si="74"/>
        <v>1198.3602448237543</v>
      </c>
      <c r="CV163">
        <f t="shared" si="75"/>
        <v>743.49334171570536</v>
      </c>
      <c r="DG163">
        <v>20</v>
      </c>
      <c r="DH163">
        <f t="shared" si="98"/>
        <v>2203.9673957264959</v>
      </c>
      <c r="DI163">
        <f t="shared" si="76"/>
        <v>1107.6388234918522</v>
      </c>
      <c r="DJ163">
        <f t="shared" si="77"/>
        <v>687.20745189033448</v>
      </c>
      <c r="DU163">
        <v>20</v>
      </c>
      <c r="DV163">
        <f t="shared" si="99"/>
        <v>2875.109741880342</v>
      </c>
      <c r="DW163">
        <f t="shared" si="78"/>
        <v>1444.9320702662064</v>
      </c>
      <c r="DX163">
        <f t="shared" si="79"/>
        <v>896.47280783452027</v>
      </c>
      <c r="EI163">
        <v>20</v>
      </c>
      <c r="EJ163">
        <f t="shared" si="100"/>
        <v>4923.3981199123873</v>
      </c>
      <c r="EK163">
        <f t="shared" si="80"/>
        <v>2474.3319305429932</v>
      </c>
      <c r="EL163">
        <f t="shared" si="81"/>
        <v>1535.1388061307428</v>
      </c>
      <c r="EW163">
        <v>20</v>
      </c>
      <c r="EX163">
        <f t="shared" si="101"/>
        <v>5595.4769437585419</v>
      </c>
      <c r="EY163">
        <f t="shared" si="82"/>
        <v>2812.0958190570332</v>
      </c>
      <c r="EZ163">
        <f t="shared" si="83"/>
        <v>1744.6961602460137</v>
      </c>
      <c r="FK163">
        <v>20</v>
      </c>
      <c r="FL163">
        <f t="shared" si="102"/>
        <v>6267.8679268354645</v>
      </c>
      <c r="FM163">
        <f t="shared" si="84"/>
        <v>3150.016588150967</v>
      </c>
      <c r="FN163">
        <f t="shared" si="85"/>
        <v>1954.3508470849793</v>
      </c>
      <c r="FY163">
        <v>20</v>
      </c>
      <c r="FZ163">
        <f t="shared" si="103"/>
        <v>9329.7721152115337</v>
      </c>
      <c r="GA163">
        <f t="shared" si="86"/>
        <v>4688.8251746272226</v>
      </c>
      <c r="GB163">
        <f t="shared" si="87"/>
        <v>2909.067046292937</v>
      </c>
      <c r="GM163">
        <v>20</v>
      </c>
      <c r="GN163">
        <f t="shared" si="104"/>
        <v>11026.431056371326</v>
      </c>
      <c r="GO163">
        <f t="shared" si="88"/>
        <v>5541.5080759700959</v>
      </c>
      <c r="GP163">
        <f t="shared" si="89"/>
        <v>3438.0933240600989</v>
      </c>
    </row>
    <row r="164" spans="2:198" x14ac:dyDescent="0.25">
      <c r="B164">
        <v>21</v>
      </c>
      <c r="C164">
        <f t="shared" si="90"/>
        <v>1322.4583602289522</v>
      </c>
      <c r="D164">
        <f t="shared" si="60"/>
        <v>642.14729993480228</v>
      </c>
      <c r="E164">
        <f t="shared" si="61"/>
        <v>389.0082715371766</v>
      </c>
      <c r="Q164">
        <v>21</v>
      </c>
      <c r="R164">
        <f t="shared" si="91"/>
        <v>1362.7269009981831</v>
      </c>
      <c r="S164">
        <f t="shared" si="62"/>
        <v>661.7005316318664</v>
      </c>
      <c r="T164">
        <f t="shared" si="63"/>
        <v>400.85348036420601</v>
      </c>
      <c r="AE164">
        <v>21</v>
      </c>
      <c r="AF164">
        <f t="shared" si="92"/>
        <v>1458.8843202289524</v>
      </c>
      <c r="AG164">
        <f t="shared" si="64"/>
        <v>708.39177650179738</v>
      </c>
      <c r="AH164">
        <f t="shared" si="65"/>
        <v>429.13870474281049</v>
      </c>
      <c r="AS164">
        <v>21</v>
      </c>
      <c r="AT164">
        <f t="shared" si="93"/>
        <v>1988.9326487809572</v>
      </c>
      <c r="AU164">
        <f t="shared" si="66"/>
        <v>965.7678219416689</v>
      </c>
      <c r="AV164">
        <f t="shared" si="67"/>
        <v>585.05528429053061</v>
      </c>
      <c r="BF164">
        <v>21</v>
      </c>
      <c r="BG164">
        <f t="shared" si="94"/>
        <v>2234.9208222358193</v>
      </c>
      <c r="BH164">
        <f t="shared" si="68"/>
        <v>1085.2125214122718</v>
      </c>
      <c r="BI164">
        <f t="shared" si="69"/>
        <v>657.41403451817212</v>
      </c>
      <c r="BS164">
        <v>21</v>
      </c>
      <c r="BT164">
        <f t="shared" si="95"/>
        <v>2966.0892204327583</v>
      </c>
      <c r="BU164">
        <f t="shared" si="70"/>
        <v>1440.2466206473757</v>
      </c>
      <c r="BV164">
        <f t="shared" si="71"/>
        <v>872.49116914791944</v>
      </c>
      <c r="CF164">
        <v>21</v>
      </c>
      <c r="CG164">
        <f t="shared" si="96"/>
        <v>3695.2554973093866</v>
      </c>
      <c r="CH164">
        <f t="shared" si="72"/>
        <v>1794.3085480253962</v>
      </c>
      <c r="CI164">
        <f t="shared" si="73"/>
        <v>1086.979368974391</v>
      </c>
      <c r="CS164">
        <v>21</v>
      </c>
      <c r="CT164">
        <f t="shared" si="97"/>
        <v>2384.4838695705071</v>
      </c>
      <c r="CU164">
        <f t="shared" si="74"/>
        <v>1157.8359853369609</v>
      </c>
      <c r="CV164">
        <f t="shared" si="75"/>
        <v>701.40881293934456</v>
      </c>
      <c r="DG164">
        <v>21</v>
      </c>
      <c r="DH164">
        <f t="shared" si="98"/>
        <v>2203.9673957264959</v>
      </c>
      <c r="DI164">
        <f t="shared" si="76"/>
        <v>1070.1824381563792</v>
      </c>
      <c r="DJ164">
        <f t="shared" si="77"/>
        <v>648.30891687767394</v>
      </c>
      <c r="DU164">
        <v>21</v>
      </c>
      <c r="DV164">
        <f t="shared" si="99"/>
        <v>2875.109741880342</v>
      </c>
      <c r="DW164">
        <f t="shared" si="78"/>
        <v>1396.069633107446</v>
      </c>
      <c r="DX164">
        <f t="shared" si="79"/>
        <v>845.72906399483031</v>
      </c>
      <c r="EI164">
        <v>21</v>
      </c>
      <c r="EJ164">
        <f t="shared" si="100"/>
        <v>4923.3981199123873</v>
      </c>
      <c r="EK164">
        <f t="shared" si="80"/>
        <v>2390.6588700898492</v>
      </c>
      <c r="EL164">
        <f t="shared" si="81"/>
        <v>1448.2441567271155</v>
      </c>
      <c r="EW164">
        <v>21</v>
      </c>
      <c r="EX164">
        <f t="shared" si="101"/>
        <v>5595.4769437585419</v>
      </c>
      <c r="EY164">
        <f t="shared" si="82"/>
        <v>2717.0007913594527</v>
      </c>
      <c r="EZ164">
        <f t="shared" si="83"/>
        <v>1645.9397738169937</v>
      </c>
      <c r="FK164">
        <v>21</v>
      </c>
      <c r="FL164">
        <f t="shared" si="102"/>
        <v>6267.8679268354645</v>
      </c>
      <c r="FM164">
        <f t="shared" si="84"/>
        <v>3043.494288068568</v>
      </c>
      <c r="FN164">
        <f t="shared" si="85"/>
        <v>1843.7272142311122</v>
      </c>
      <c r="FY164">
        <v>21</v>
      </c>
      <c r="FZ164">
        <f t="shared" si="103"/>
        <v>9329.7721152115337</v>
      </c>
      <c r="GA164">
        <f t="shared" si="86"/>
        <v>4530.2658692050472</v>
      </c>
      <c r="GB164">
        <f t="shared" si="87"/>
        <v>2744.402873861261</v>
      </c>
      <c r="GM164">
        <v>21</v>
      </c>
      <c r="GN164">
        <f t="shared" si="104"/>
        <v>11026.431056371326</v>
      </c>
      <c r="GO164">
        <f t="shared" si="88"/>
        <v>5354.1140830628956</v>
      </c>
      <c r="GP164">
        <f t="shared" si="89"/>
        <v>3243.484267981225</v>
      </c>
    </row>
    <row r="165" spans="2:198" x14ac:dyDescent="0.25">
      <c r="B165">
        <v>22</v>
      </c>
      <c r="C165">
        <f t="shared" si="90"/>
        <v>1322.4583602289522</v>
      </c>
      <c r="D165">
        <f t="shared" si="60"/>
        <v>620.4321738500505</v>
      </c>
      <c r="E165">
        <f t="shared" si="61"/>
        <v>366.98893541243075</v>
      </c>
      <c r="Q165">
        <v>22</v>
      </c>
      <c r="R165">
        <f t="shared" si="91"/>
        <v>1362.7269009981831</v>
      </c>
      <c r="S165">
        <f t="shared" si="62"/>
        <v>639.32418515156166</v>
      </c>
      <c r="T165">
        <f t="shared" si="63"/>
        <v>378.16366072094905</v>
      </c>
      <c r="AE165">
        <v>22</v>
      </c>
      <c r="AF165">
        <f t="shared" si="92"/>
        <v>1458.8843202289524</v>
      </c>
      <c r="AG165">
        <f t="shared" si="64"/>
        <v>684.43649903555297</v>
      </c>
      <c r="AH165">
        <f t="shared" si="65"/>
        <v>404.84783466302878</v>
      </c>
      <c r="AS165">
        <v>22</v>
      </c>
      <c r="AT165">
        <f t="shared" si="93"/>
        <v>2383.1442818375608</v>
      </c>
      <c r="AU165">
        <f t="shared" si="66"/>
        <v>1118.0536430068123</v>
      </c>
      <c r="AV165">
        <f t="shared" si="67"/>
        <v>661.33468487762002</v>
      </c>
      <c r="BF165">
        <v>22</v>
      </c>
      <c r="BG165">
        <f t="shared" si="94"/>
        <v>2750.2569364395931</v>
      </c>
      <c r="BH165">
        <f t="shared" si="68"/>
        <v>1290.2847764718908</v>
      </c>
      <c r="BI165">
        <f t="shared" si="69"/>
        <v>763.21031766919361</v>
      </c>
      <c r="BS165">
        <v>22</v>
      </c>
      <c r="BT165">
        <f t="shared" si="95"/>
        <v>2966.0892204327583</v>
      </c>
      <c r="BU165">
        <f t="shared" si="70"/>
        <v>1391.5426286448076</v>
      </c>
      <c r="BV165">
        <f t="shared" si="71"/>
        <v>823.10487655464101</v>
      </c>
      <c r="CF165">
        <v>22</v>
      </c>
      <c r="CG165">
        <f t="shared" si="96"/>
        <v>3695.2554973093866</v>
      </c>
      <c r="CH165">
        <f t="shared" si="72"/>
        <v>1733.6314473675325</v>
      </c>
      <c r="CI165">
        <f t="shared" si="73"/>
        <v>1025.452234881501</v>
      </c>
      <c r="CS165">
        <v>22</v>
      </c>
      <c r="CT165">
        <f t="shared" si="97"/>
        <v>2384.4838695705071</v>
      </c>
      <c r="CU165">
        <f t="shared" si="74"/>
        <v>1118.6821114366771</v>
      </c>
      <c r="CV165">
        <f t="shared" si="75"/>
        <v>661.70642730126838</v>
      </c>
      <c r="DG165">
        <v>22</v>
      </c>
      <c r="DH165">
        <f t="shared" si="98"/>
        <v>2203.9673957264959</v>
      </c>
      <c r="DI165">
        <f t="shared" si="76"/>
        <v>1033.9926938708977</v>
      </c>
      <c r="DJ165">
        <f t="shared" si="77"/>
        <v>611.61218573365454</v>
      </c>
      <c r="DU165">
        <v>22</v>
      </c>
      <c r="DV165">
        <f t="shared" si="99"/>
        <v>2875.109741880342</v>
      </c>
      <c r="DW165">
        <f t="shared" si="78"/>
        <v>1348.859548896083</v>
      </c>
      <c r="DX165">
        <f t="shared" si="79"/>
        <v>797.85760754229273</v>
      </c>
      <c r="EI165">
        <v>22</v>
      </c>
      <c r="EJ165">
        <f t="shared" si="100"/>
        <v>4923.3981199123873</v>
      </c>
      <c r="EK165">
        <f t="shared" si="80"/>
        <v>2309.8153334201438</v>
      </c>
      <c r="EL165">
        <f t="shared" si="81"/>
        <v>1366.268072384071</v>
      </c>
      <c r="EW165">
        <v>22</v>
      </c>
      <c r="EX165">
        <f t="shared" si="101"/>
        <v>5595.4769437585419</v>
      </c>
      <c r="EY165">
        <f t="shared" si="82"/>
        <v>2625.1215375453648</v>
      </c>
      <c r="EZ165">
        <f t="shared" si="83"/>
        <v>1552.7733715254658</v>
      </c>
      <c r="FK165">
        <v>22</v>
      </c>
      <c r="FL165">
        <f t="shared" si="102"/>
        <v>6267.8679268354645</v>
      </c>
      <c r="FM165">
        <f t="shared" si="84"/>
        <v>2940.574191370597</v>
      </c>
      <c r="FN165">
        <f t="shared" si="85"/>
        <v>1739.3652964444452</v>
      </c>
      <c r="FY165">
        <v>22</v>
      </c>
      <c r="FZ165">
        <f t="shared" si="103"/>
        <v>9329.7721152115337</v>
      </c>
      <c r="GA165">
        <f t="shared" si="86"/>
        <v>4377.0684726618811</v>
      </c>
      <c r="GB165">
        <f t="shared" si="87"/>
        <v>2589.0593149634533</v>
      </c>
      <c r="GM165">
        <v>22</v>
      </c>
      <c r="GN165">
        <f t="shared" si="104"/>
        <v>11026.431056371326</v>
      </c>
      <c r="GO165">
        <f t="shared" si="88"/>
        <v>5173.0570850849235</v>
      </c>
      <c r="GP165">
        <f t="shared" si="89"/>
        <v>3059.8908188502119</v>
      </c>
    </row>
    <row r="166" spans="2:198" x14ac:dyDescent="0.25">
      <c r="B166">
        <v>23</v>
      </c>
      <c r="C166">
        <f t="shared" si="90"/>
        <v>1322.4583602289522</v>
      </c>
      <c r="D166">
        <f t="shared" si="60"/>
        <v>599.45137570053191</v>
      </c>
      <c r="E166">
        <f t="shared" si="61"/>
        <v>346.21597680417989</v>
      </c>
      <c r="Q166">
        <v>23</v>
      </c>
      <c r="R166">
        <f t="shared" si="91"/>
        <v>1362.7269009981831</v>
      </c>
      <c r="S166">
        <f t="shared" si="62"/>
        <v>617.70452671648468</v>
      </c>
      <c r="T166">
        <f t="shared" si="63"/>
        <v>356.75817049146133</v>
      </c>
      <c r="AE166">
        <v>23</v>
      </c>
      <c r="AF166">
        <f t="shared" si="92"/>
        <v>1458.8843202289524</v>
      </c>
      <c r="AG166">
        <f t="shared" si="64"/>
        <v>661.29130341599318</v>
      </c>
      <c r="AH166">
        <f t="shared" si="65"/>
        <v>381.93191949342332</v>
      </c>
      <c r="AS166">
        <v>23</v>
      </c>
      <c r="AT166">
        <f t="shared" si="93"/>
        <v>1988.9326487809572</v>
      </c>
      <c r="AU166">
        <f t="shared" si="66"/>
        <v>901.55459585210281</v>
      </c>
      <c r="AV166">
        <f t="shared" si="67"/>
        <v>520.69712023009117</v>
      </c>
      <c r="BF166">
        <v>23</v>
      </c>
      <c r="BG166">
        <f t="shared" si="94"/>
        <v>2234.9208222358193</v>
      </c>
      <c r="BH166">
        <f t="shared" si="68"/>
        <v>1013.0575009099599</v>
      </c>
      <c r="BI166">
        <f t="shared" si="69"/>
        <v>585.09615033657167</v>
      </c>
      <c r="BS166">
        <v>23</v>
      </c>
      <c r="BT166">
        <f t="shared" si="95"/>
        <v>2966.0892204327583</v>
      </c>
      <c r="BU166">
        <f t="shared" si="70"/>
        <v>1344.4856315408767</v>
      </c>
      <c r="BV166">
        <f t="shared" si="71"/>
        <v>776.51403448551025</v>
      </c>
      <c r="CF166">
        <v>23</v>
      </c>
      <c r="CG166">
        <f t="shared" si="96"/>
        <v>3695.2554973093866</v>
      </c>
      <c r="CH166">
        <f t="shared" si="72"/>
        <v>1675.0062293406113</v>
      </c>
      <c r="CI166">
        <f t="shared" si="73"/>
        <v>967.4077687561329</v>
      </c>
      <c r="CS166">
        <v>23</v>
      </c>
      <c r="CT166">
        <f t="shared" si="97"/>
        <v>2384.4838695705071</v>
      </c>
      <c r="CU166">
        <f t="shared" si="74"/>
        <v>1080.8522815813305</v>
      </c>
      <c r="CV166">
        <f t="shared" si="75"/>
        <v>624.25134651063047</v>
      </c>
      <c r="DG166">
        <v>23</v>
      </c>
      <c r="DH166">
        <f t="shared" si="98"/>
        <v>2203.9673957264959</v>
      </c>
      <c r="DI166">
        <f t="shared" si="76"/>
        <v>999.02675736318622</v>
      </c>
      <c r="DJ166">
        <f t="shared" si="77"/>
        <v>576.99262805061744</v>
      </c>
      <c r="DU166">
        <v>23</v>
      </c>
      <c r="DV166">
        <f t="shared" si="99"/>
        <v>2875.109741880342</v>
      </c>
      <c r="DW166">
        <f t="shared" si="78"/>
        <v>1303.2459409623991</v>
      </c>
      <c r="DX166">
        <f t="shared" si="79"/>
        <v>752.69585617197413</v>
      </c>
      <c r="EI166">
        <v>23</v>
      </c>
      <c r="EJ166">
        <f t="shared" si="100"/>
        <v>4923.3981199123873</v>
      </c>
      <c r="EK166">
        <f t="shared" si="80"/>
        <v>2231.7056361547284</v>
      </c>
      <c r="EL166">
        <f t="shared" si="81"/>
        <v>1288.9321437585575</v>
      </c>
      <c r="EW166">
        <v>23</v>
      </c>
      <c r="EX166">
        <f t="shared" si="101"/>
        <v>5595.4769437585419</v>
      </c>
      <c r="EY166">
        <f t="shared" si="82"/>
        <v>2536.3493116380337</v>
      </c>
      <c r="EZ166">
        <f t="shared" si="83"/>
        <v>1464.8805391749675</v>
      </c>
      <c r="FK166">
        <v>23</v>
      </c>
      <c r="FL166">
        <f t="shared" si="102"/>
        <v>6267.8679268354645</v>
      </c>
      <c r="FM166">
        <f t="shared" si="84"/>
        <v>2841.1344844160358</v>
      </c>
      <c r="FN166">
        <f t="shared" si="85"/>
        <v>1640.9106570230615</v>
      </c>
      <c r="FY166">
        <v>23</v>
      </c>
      <c r="FZ166">
        <f t="shared" si="103"/>
        <v>9329.7721152115337</v>
      </c>
      <c r="GA166">
        <f t="shared" si="86"/>
        <v>4229.0516644076151</v>
      </c>
      <c r="GB166">
        <f t="shared" si="87"/>
        <v>2442.5087877013707</v>
      </c>
      <c r="GM166">
        <v>23</v>
      </c>
      <c r="GN166">
        <f t="shared" si="104"/>
        <v>11026.431056371326</v>
      </c>
      <c r="GO166">
        <f t="shared" si="88"/>
        <v>4998.1227875216646</v>
      </c>
      <c r="GP166">
        <f t="shared" si="89"/>
        <v>2886.6894517454825</v>
      </c>
    </row>
    <row r="167" spans="2:198" x14ac:dyDescent="0.25">
      <c r="B167">
        <v>24</v>
      </c>
      <c r="C167">
        <f t="shared" si="90"/>
        <v>1322.4583602289522</v>
      </c>
      <c r="D167">
        <f t="shared" si="60"/>
        <v>579.1800731406106</v>
      </c>
      <c r="E167">
        <f t="shared" si="61"/>
        <v>326.61884604167921</v>
      </c>
      <c r="Q167">
        <v>24</v>
      </c>
      <c r="R167">
        <f t="shared" si="91"/>
        <v>1362.7269009981831</v>
      </c>
      <c r="S167">
        <f t="shared" si="62"/>
        <v>596.8159678420144</v>
      </c>
      <c r="T167">
        <f t="shared" si="63"/>
        <v>336.56431178439755</v>
      </c>
      <c r="AE167">
        <v>24</v>
      </c>
      <c r="AF167">
        <f t="shared" si="92"/>
        <v>1458.8843202289524</v>
      </c>
      <c r="AG167">
        <f t="shared" si="64"/>
        <v>638.9287955710081</v>
      </c>
      <c r="AH167">
        <f t="shared" si="65"/>
        <v>360.31313159756922</v>
      </c>
      <c r="AS167">
        <v>24</v>
      </c>
      <c r="AT167">
        <f t="shared" si="93"/>
        <v>2383.1442818375608</v>
      </c>
      <c r="AU167">
        <f t="shared" si="66"/>
        <v>1043.7150393304978</v>
      </c>
      <c r="AV167">
        <f t="shared" si="67"/>
        <v>588.58551519902107</v>
      </c>
      <c r="BF167">
        <v>24</v>
      </c>
      <c r="BG167">
        <f t="shared" si="94"/>
        <v>2750.2569364395931</v>
      </c>
      <c r="BH167">
        <f t="shared" si="68"/>
        <v>1204.4946453563828</v>
      </c>
      <c r="BI167">
        <f t="shared" si="69"/>
        <v>679.25446570771953</v>
      </c>
      <c r="BS167">
        <v>24</v>
      </c>
      <c r="BT167">
        <f t="shared" si="95"/>
        <v>2966.0892204327583</v>
      </c>
      <c r="BU167">
        <f t="shared" si="70"/>
        <v>1299.01993385592</v>
      </c>
      <c r="BV167">
        <f t="shared" si="71"/>
        <v>732.56040989199096</v>
      </c>
      <c r="CF167">
        <v>24</v>
      </c>
      <c r="CG167">
        <f t="shared" si="96"/>
        <v>3695.2554973093866</v>
      </c>
      <c r="CH167">
        <f t="shared" si="72"/>
        <v>1618.3635066092866</v>
      </c>
      <c r="CI167">
        <f t="shared" si="73"/>
        <v>912.64883844918211</v>
      </c>
      <c r="CS167">
        <v>24</v>
      </c>
      <c r="CT167">
        <f t="shared" si="97"/>
        <v>2384.4838695705071</v>
      </c>
      <c r="CU167">
        <f t="shared" si="74"/>
        <v>1044.3017213346191</v>
      </c>
      <c r="CV167">
        <f t="shared" si="75"/>
        <v>588.91636463267037</v>
      </c>
      <c r="DG167">
        <v>24</v>
      </c>
      <c r="DH167">
        <f t="shared" si="98"/>
        <v>2203.9673957264959</v>
      </c>
      <c r="DI167">
        <f t="shared" si="76"/>
        <v>965.24324382916564</v>
      </c>
      <c r="DJ167">
        <f t="shared" si="77"/>
        <v>544.33266797228066</v>
      </c>
      <c r="DU167">
        <v>24</v>
      </c>
      <c r="DV167">
        <f t="shared" si="99"/>
        <v>2875.109741880342</v>
      </c>
      <c r="DW167">
        <f t="shared" si="78"/>
        <v>1259.1748221858932</v>
      </c>
      <c r="DX167">
        <f t="shared" si="79"/>
        <v>710.09043035091906</v>
      </c>
      <c r="EI167">
        <v>24</v>
      </c>
      <c r="EJ167">
        <f t="shared" si="100"/>
        <v>4923.3981199123873</v>
      </c>
      <c r="EK167">
        <f t="shared" si="80"/>
        <v>2156.2373296180958</v>
      </c>
      <c r="EL167">
        <f t="shared" si="81"/>
        <v>1215.9737205269412</v>
      </c>
      <c r="EW167">
        <v>24</v>
      </c>
      <c r="EX167">
        <f t="shared" si="101"/>
        <v>5595.4769437585419</v>
      </c>
      <c r="EY167">
        <f t="shared" si="82"/>
        <v>2450.5790450609024</v>
      </c>
      <c r="EZ167">
        <f t="shared" si="83"/>
        <v>1381.9627728065732</v>
      </c>
      <c r="FK167">
        <v>24</v>
      </c>
      <c r="FL167">
        <f t="shared" si="102"/>
        <v>6267.8679268354645</v>
      </c>
      <c r="FM167">
        <f t="shared" si="84"/>
        <v>2745.0574728657357</v>
      </c>
      <c r="FN167">
        <f t="shared" si="85"/>
        <v>1548.0289217198695</v>
      </c>
      <c r="FY167">
        <v>24</v>
      </c>
      <c r="FZ167">
        <f t="shared" si="103"/>
        <v>9329.7721152115337</v>
      </c>
      <c r="GA167">
        <f t="shared" si="86"/>
        <v>4086.0402554662955</v>
      </c>
      <c r="GB167">
        <f t="shared" si="87"/>
        <v>2304.2535733031805</v>
      </c>
      <c r="GM167">
        <v>24</v>
      </c>
      <c r="GN167">
        <f t="shared" si="104"/>
        <v>11026.431056371326</v>
      </c>
      <c r="GO167">
        <f t="shared" si="88"/>
        <v>4829.1041425330104</v>
      </c>
      <c r="GP167">
        <f t="shared" si="89"/>
        <v>2723.2919356089465</v>
      </c>
    </row>
    <row r="168" spans="2:198" x14ac:dyDescent="0.25">
      <c r="B168">
        <v>25</v>
      </c>
      <c r="C168">
        <f t="shared" si="90"/>
        <v>1322.4583602289522</v>
      </c>
      <c r="D168">
        <f t="shared" si="60"/>
        <v>559.5942735658075</v>
      </c>
      <c r="E168">
        <f t="shared" si="61"/>
        <v>308.13098683177282</v>
      </c>
      <c r="Q168">
        <v>25</v>
      </c>
      <c r="R168">
        <f t="shared" si="91"/>
        <v>1362.7269009981831</v>
      </c>
      <c r="S168">
        <f t="shared" si="62"/>
        <v>576.63378535460333</v>
      </c>
      <c r="T168">
        <f t="shared" si="63"/>
        <v>317.51350168339388</v>
      </c>
      <c r="AE168">
        <v>25</v>
      </c>
      <c r="AF168">
        <f t="shared" si="92"/>
        <v>1458.8843202289524</v>
      </c>
      <c r="AG168">
        <f t="shared" si="64"/>
        <v>617.32250779807543</v>
      </c>
      <c r="AH168">
        <f t="shared" si="65"/>
        <v>339.91804867695208</v>
      </c>
      <c r="AS168">
        <v>25</v>
      </c>
      <c r="AT168">
        <f t="shared" si="93"/>
        <v>1988.9326487809572</v>
      </c>
      <c r="AU168">
        <f t="shared" si="66"/>
        <v>841.61086219244612</v>
      </c>
      <c r="AV168">
        <f t="shared" si="67"/>
        <v>463.41858333044792</v>
      </c>
      <c r="BF168">
        <v>25</v>
      </c>
      <c r="BG168">
        <f t="shared" si="94"/>
        <v>2234.9208222358193</v>
      </c>
      <c r="BH168">
        <f t="shared" si="68"/>
        <v>945.70001718589481</v>
      </c>
      <c r="BI168">
        <f t="shared" si="69"/>
        <v>520.7334908655854</v>
      </c>
      <c r="BS168">
        <v>25</v>
      </c>
      <c r="BT168">
        <f t="shared" si="95"/>
        <v>2966.0892204327583</v>
      </c>
      <c r="BU168">
        <f t="shared" si="70"/>
        <v>1255.09172353229</v>
      </c>
      <c r="BV168">
        <f t="shared" si="71"/>
        <v>691.09472631319898</v>
      </c>
      <c r="CF168">
        <v>25</v>
      </c>
      <c r="CG168">
        <f t="shared" si="96"/>
        <v>3695.2554973093866</v>
      </c>
      <c r="CH168">
        <f t="shared" si="72"/>
        <v>1563.6362382698421</v>
      </c>
      <c r="CI168">
        <f t="shared" si="73"/>
        <v>860.98947023507742</v>
      </c>
      <c r="CS168">
        <v>25</v>
      </c>
      <c r="CT168">
        <f t="shared" si="97"/>
        <v>2384.4838695705071</v>
      </c>
      <c r="CU168">
        <f t="shared" si="74"/>
        <v>1008.9871703716128</v>
      </c>
      <c r="CV168">
        <f t="shared" si="75"/>
        <v>555.58147606855698</v>
      </c>
      <c r="DG168">
        <v>25</v>
      </c>
      <c r="DH168">
        <f t="shared" si="98"/>
        <v>2203.9673957264959</v>
      </c>
      <c r="DI168">
        <f t="shared" si="76"/>
        <v>932.60216795088479</v>
      </c>
      <c r="DJ168">
        <f t="shared" si="77"/>
        <v>513.52138487951015</v>
      </c>
      <c r="DU168">
        <v>25</v>
      </c>
      <c r="DV168">
        <f t="shared" si="99"/>
        <v>2875.109741880342</v>
      </c>
      <c r="DW168">
        <f t="shared" si="78"/>
        <v>1216.5940310974813</v>
      </c>
      <c r="DX168">
        <f t="shared" si="79"/>
        <v>669.89663240652749</v>
      </c>
      <c r="EI168">
        <v>25</v>
      </c>
      <c r="EJ168">
        <f t="shared" si="100"/>
        <v>4923.3981199123873</v>
      </c>
      <c r="EK168">
        <f t="shared" si="80"/>
        <v>2083.3210914184501</v>
      </c>
      <c r="EL168">
        <f t="shared" si="81"/>
        <v>1147.1450193650389</v>
      </c>
      <c r="EW168">
        <v>25</v>
      </c>
      <c r="EX168">
        <f t="shared" si="101"/>
        <v>5595.4769437585419</v>
      </c>
      <c r="EY168">
        <f t="shared" si="82"/>
        <v>2367.7092222810656</v>
      </c>
      <c r="EZ168">
        <f t="shared" si="83"/>
        <v>1303.7384649118617</v>
      </c>
      <c r="FK168">
        <v>25</v>
      </c>
      <c r="FL168">
        <f t="shared" si="102"/>
        <v>6267.8679268354645</v>
      </c>
      <c r="FM168">
        <f t="shared" si="84"/>
        <v>2652.2294423823532</v>
      </c>
      <c r="FN168">
        <f t="shared" si="85"/>
        <v>1460.4046431319523</v>
      </c>
      <c r="FY168">
        <v>25</v>
      </c>
      <c r="FZ168">
        <f t="shared" si="103"/>
        <v>9329.7721152115337</v>
      </c>
      <c r="GA168">
        <f t="shared" si="86"/>
        <v>3947.864981126856</v>
      </c>
      <c r="GB168">
        <f t="shared" si="87"/>
        <v>2173.8241257577174</v>
      </c>
      <c r="GM168">
        <v>25</v>
      </c>
      <c r="GN168">
        <f t="shared" si="104"/>
        <v>11026.431056371326</v>
      </c>
      <c r="GO168">
        <f t="shared" si="88"/>
        <v>4665.8011038966288</v>
      </c>
      <c r="GP168">
        <f t="shared" si="89"/>
        <v>2569.1433354801379</v>
      </c>
    </row>
    <row r="169" spans="2:198" x14ac:dyDescent="0.25">
      <c r="B169">
        <v>26</v>
      </c>
      <c r="C169">
        <f t="shared" si="90"/>
        <v>1322.4583602289522</v>
      </c>
      <c r="D169">
        <f t="shared" si="60"/>
        <v>540.67079571575596</v>
      </c>
      <c r="E169">
        <f t="shared" si="61"/>
        <v>290.68961021865363</v>
      </c>
      <c r="Q169">
        <v>26</v>
      </c>
      <c r="R169">
        <f t="shared" si="91"/>
        <v>1362.7269009981831</v>
      </c>
      <c r="S169">
        <f t="shared" si="62"/>
        <v>557.1340921300515</v>
      </c>
      <c r="T169">
        <f t="shared" si="63"/>
        <v>299.54103932395651</v>
      </c>
      <c r="AE169">
        <v>26</v>
      </c>
      <c r="AF169">
        <f t="shared" si="92"/>
        <v>1458.8843202289524</v>
      </c>
      <c r="AG169">
        <f t="shared" si="64"/>
        <v>596.44686743775412</v>
      </c>
      <c r="AH169">
        <f t="shared" si="65"/>
        <v>320.67740441221895</v>
      </c>
      <c r="AS169">
        <v>26</v>
      </c>
      <c r="AT169">
        <f t="shared" si="93"/>
        <v>2383.1442818375608</v>
      </c>
      <c r="AU169">
        <f t="shared" si="66"/>
        <v>974.31915734836093</v>
      </c>
      <c r="AV169">
        <f t="shared" si="67"/>
        <v>523.83901317107609</v>
      </c>
      <c r="BF169">
        <v>26</v>
      </c>
      <c r="BG169">
        <f t="shared" si="94"/>
        <v>2750.2569364395931</v>
      </c>
      <c r="BH169">
        <f t="shared" si="68"/>
        <v>1124.4086399742191</v>
      </c>
      <c r="BI169">
        <f t="shared" si="69"/>
        <v>604.53405634364492</v>
      </c>
      <c r="BS169">
        <v>26</v>
      </c>
      <c r="BT169">
        <f t="shared" si="95"/>
        <v>2966.0892204327583</v>
      </c>
      <c r="BU169">
        <f t="shared" si="70"/>
        <v>1212.6490082437583</v>
      </c>
      <c r="BV169">
        <f t="shared" si="71"/>
        <v>651.9761568992443</v>
      </c>
      <c r="CF169">
        <v>26</v>
      </c>
      <c r="CG169">
        <f t="shared" si="96"/>
        <v>3695.2554973093866</v>
      </c>
      <c r="CH169">
        <f t="shared" si="72"/>
        <v>1510.759650502263</v>
      </c>
      <c r="CI169">
        <f t="shared" si="73"/>
        <v>812.25421720290319</v>
      </c>
      <c r="CS169">
        <v>26</v>
      </c>
      <c r="CT169">
        <f t="shared" si="97"/>
        <v>2384.4838695705071</v>
      </c>
      <c r="CU169">
        <f t="shared" si="74"/>
        <v>974.86683127692061</v>
      </c>
      <c r="CV169">
        <f t="shared" si="75"/>
        <v>524.13346798920463</v>
      </c>
      <c r="DG169">
        <v>26</v>
      </c>
      <c r="DH169">
        <f t="shared" si="98"/>
        <v>2203.9673957264959</v>
      </c>
      <c r="DI169">
        <f t="shared" si="76"/>
        <v>901.06489657090322</v>
      </c>
      <c r="DJ169">
        <f t="shared" si="77"/>
        <v>484.45413667878307</v>
      </c>
      <c r="DU169">
        <v>26</v>
      </c>
      <c r="DV169">
        <f t="shared" si="99"/>
        <v>2875.109741880342</v>
      </c>
      <c r="DW169">
        <f t="shared" si="78"/>
        <v>1175.4531701424942</v>
      </c>
      <c r="DX169">
        <f t="shared" si="79"/>
        <v>631.97795510049752</v>
      </c>
      <c r="EI169">
        <v>26</v>
      </c>
      <c r="EJ169">
        <f t="shared" si="100"/>
        <v>4923.3981199123873</v>
      </c>
      <c r="EK169">
        <f t="shared" si="80"/>
        <v>2012.8706197279712</v>
      </c>
      <c r="EL169">
        <f t="shared" si="81"/>
        <v>1082.212282419848</v>
      </c>
      <c r="EW169">
        <v>26</v>
      </c>
      <c r="EX169">
        <f t="shared" si="101"/>
        <v>5595.4769437585419</v>
      </c>
      <c r="EY169">
        <f t="shared" si="82"/>
        <v>2287.6417606580344</v>
      </c>
      <c r="EZ169">
        <f t="shared" si="83"/>
        <v>1229.941948030058</v>
      </c>
      <c r="FK169">
        <v>26</v>
      </c>
      <c r="FL169">
        <f t="shared" si="102"/>
        <v>6267.8679268354645</v>
      </c>
      <c r="FM169">
        <f t="shared" si="84"/>
        <v>2562.5405240409214</v>
      </c>
      <c r="FN169">
        <f t="shared" si="85"/>
        <v>1377.7402293697662</v>
      </c>
      <c r="FY169">
        <v>26</v>
      </c>
      <c r="FZ169">
        <f t="shared" si="103"/>
        <v>9329.7721152115337</v>
      </c>
      <c r="GA169">
        <f t="shared" si="86"/>
        <v>3814.3623006056578</v>
      </c>
      <c r="GB169">
        <f t="shared" si="87"/>
        <v>2050.7774771299219</v>
      </c>
      <c r="GM169">
        <v>26</v>
      </c>
      <c r="GN169">
        <f t="shared" si="104"/>
        <v>11026.431056371326</v>
      </c>
      <c r="GO169">
        <f t="shared" si="88"/>
        <v>4508.0203902382891</v>
      </c>
      <c r="GP169">
        <f t="shared" si="89"/>
        <v>2423.7201278114508</v>
      </c>
    </row>
    <row r="170" spans="2:198" x14ac:dyDescent="0.25">
      <c r="B170">
        <v>27</v>
      </c>
      <c r="C170">
        <f t="shared" si="90"/>
        <v>1322.4583602289522</v>
      </c>
      <c r="D170">
        <f t="shared" si="60"/>
        <v>522.38724223744543</v>
      </c>
      <c r="E170">
        <f t="shared" si="61"/>
        <v>274.23548133835243</v>
      </c>
      <c r="Q170">
        <v>27</v>
      </c>
      <c r="R170">
        <f t="shared" si="91"/>
        <v>1362.7269009981831</v>
      </c>
      <c r="S170">
        <f t="shared" si="62"/>
        <v>538.29380882130579</v>
      </c>
      <c r="T170">
        <f t="shared" si="63"/>
        <v>282.5858861546759</v>
      </c>
      <c r="AE170">
        <v>27</v>
      </c>
      <c r="AF170">
        <f t="shared" si="92"/>
        <v>1458.8843202289524</v>
      </c>
      <c r="AG170">
        <f t="shared" si="64"/>
        <v>576.27716660652573</v>
      </c>
      <c r="AH170">
        <f t="shared" si="65"/>
        <v>302.52585321907441</v>
      </c>
      <c r="AS170">
        <v>27</v>
      </c>
      <c r="AT170">
        <f t="shared" si="93"/>
        <v>1988.9326487809572</v>
      </c>
      <c r="AU170">
        <f t="shared" si="66"/>
        <v>785.65274540124267</v>
      </c>
      <c r="AV170">
        <f t="shared" si="67"/>
        <v>412.44088940054093</v>
      </c>
      <c r="BF170">
        <v>27</v>
      </c>
      <c r="BG170">
        <f t="shared" si="94"/>
        <v>2234.9208222358193</v>
      </c>
      <c r="BH170">
        <f t="shared" si="68"/>
        <v>882.82108537972397</v>
      </c>
      <c r="BI170">
        <f t="shared" si="69"/>
        <v>463.45095306655867</v>
      </c>
      <c r="BS170">
        <v>27</v>
      </c>
      <c r="BT170">
        <f t="shared" si="95"/>
        <v>2966.0892204327583</v>
      </c>
      <c r="BU170">
        <f t="shared" si="70"/>
        <v>1171.6415538587037</v>
      </c>
      <c r="BV170">
        <f t="shared" si="71"/>
        <v>615.07184613136246</v>
      </c>
      <c r="CF170">
        <v>27</v>
      </c>
      <c r="CG170">
        <f t="shared" si="96"/>
        <v>3695.2554973093866</v>
      </c>
      <c r="CH170">
        <f t="shared" si="72"/>
        <v>1459.6711599055682</v>
      </c>
      <c r="CI170">
        <f t="shared" si="73"/>
        <v>766.27756339896519</v>
      </c>
      <c r="CS170">
        <v>27</v>
      </c>
      <c r="CT170">
        <f t="shared" si="97"/>
        <v>2384.4838695705071</v>
      </c>
      <c r="CU170">
        <f t="shared" si="74"/>
        <v>941.90032007431944</v>
      </c>
      <c r="CV170">
        <f t="shared" si="75"/>
        <v>494.4655358388722</v>
      </c>
      <c r="DG170">
        <v>27</v>
      </c>
      <c r="DH170">
        <f t="shared" si="98"/>
        <v>2203.9673957264959</v>
      </c>
      <c r="DI170">
        <f t="shared" si="76"/>
        <v>870.59410296705619</v>
      </c>
      <c r="DJ170">
        <f t="shared" si="77"/>
        <v>457.0322044139462</v>
      </c>
      <c r="DU170">
        <v>27</v>
      </c>
      <c r="DV170">
        <f t="shared" si="99"/>
        <v>2875.109741880342</v>
      </c>
      <c r="DW170">
        <f t="shared" si="78"/>
        <v>1135.7035460313953</v>
      </c>
      <c r="DX170">
        <f t="shared" si="79"/>
        <v>596.20561801933718</v>
      </c>
      <c r="EI170">
        <v>27</v>
      </c>
      <c r="EJ170">
        <f t="shared" si="100"/>
        <v>4923.3981199123873</v>
      </c>
      <c r="EK170">
        <f t="shared" si="80"/>
        <v>1944.8025311381364</v>
      </c>
      <c r="EL170">
        <f t="shared" si="81"/>
        <v>1020.9549834149507</v>
      </c>
      <c r="EW170">
        <v>27</v>
      </c>
      <c r="EX170">
        <f t="shared" si="101"/>
        <v>5595.4769437585419</v>
      </c>
      <c r="EY170">
        <f t="shared" si="82"/>
        <v>2210.281894355589</v>
      </c>
      <c r="EZ170">
        <f t="shared" si="83"/>
        <v>1160.3225924811866</v>
      </c>
      <c r="FK170">
        <v>27</v>
      </c>
      <c r="FL170">
        <f t="shared" si="102"/>
        <v>6267.8679268354645</v>
      </c>
      <c r="FM170">
        <f t="shared" si="84"/>
        <v>2475.8845642907449</v>
      </c>
      <c r="FN170">
        <f t="shared" si="85"/>
        <v>1299.7549333677039</v>
      </c>
      <c r="FY170">
        <v>27</v>
      </c>
      <c r="FZ170">
        <f t="shared" si="103"/>
        <v>9329.7721152115337</v>
      </c>
      <c r="GA170">
        <f t="shared" si="86"/>
        <v>3685.3742034837273</v>
      </c>
      <c r="GB170">
        <f t="shared" si="87"/>
        <v>1934.6957331414355</v>
      </c>
      <c r="GM170">
        <v>27</v>
      </c>
      <c r="GN170">
        <f t="shared" si="104"/>
        <v>11026.431056371326</v>
      </c>
      <c r="GO170">
        <f t="shared" si="88"/>
        <v>4355.5752562688785</v>
      </c>
      <c r="GP170">
        <f t="shared" si="89"/>
        <v>2286.5284224636325</v>
      </c>
    </row>
    <row r="171" spans="2:198" x14ac:dyDescent="0.25">
      <c r="B171">
        <v>28</v>
      </c>
      <c r="C171">
        <f t="shared" si="90"/>
        <v>1322.4583602289522</v>
      </c>
      <c r="D171">
        <f t="shared" si="60"/>
        <v>504.72197317627575</v>
      </c>
      <c r="E171">
        <f t="shared" si="61"/>
        <v>258.71271824372866</v>
      </c>
      <c r="Q171">
        <v>28</v>
      </c>
      <c r="R171">
        <f t="shared" si="91"/>
        <v>1362.7269009981831</v>
      </c>
      <c r="S171">
        <f t="shared" si="62"/>
        <v>520.09063654232443</v>
      </c>
      <c r="T171">
        <f t="shared" si="63"/>
        <v>266.59045863648669</v>
      </c>
      <c r="AE171">
        <v>28</v>
      </c>
      <c r="AF171">
        <f t="shared" si="92"/>
        <v>1458.8843202289524</v>
      </c>
      <c r="AG171">
        <f t="shared" si="64"/>
        <v>556.78953295316489</v>
      </c>
      <c r="AH171">
        <f t="shared" si="65"/>
        <v>285.40174831988151</v>
      </c>
      <c r="AS171">
        <v>28</v>
      </c>
      <c r="AT171">
        <f t="shared" si="93"/>
        <v>2383.1442818375608</v>
      </c>
      <c r="AU171">
        <f t="shared" si="66"/>
        <v>909.53735895667205</v>
      </c>
      <c r="AV171">
        <f t="shared" si="67"/>
        <v>466.21485686283012</v>
      </c>
      <c r="BF171">
        <v>28</v>
      </c>
      <c r="BG171">
        <f t="shared" si="94"/>
        <v>2750.2569364395931</v>
      </c>
      <c r="BH171">
        <f t="shared" si="68"/>
        <v>1049.647497000368</v>
      </c>
      <c r="BI171">
        <f t="shared" si="69"/>
        <v>538.03315801321185</v>
      </c>
      <c r="BS171">
        <v>28</v>
      </c>
      <c r="BT171">
        <f t="shared" si="95"/>
        <v>2966.0892204327583</v>
      </c>
      <c r="BU171">
        <f t="shared" si="70"/>
        <v>1132.0208249842549</v>
      </c>
      <c r="BV171">
        <f t="shared" si="71"/>
        <v>580.25645861449289</v>
      </c>
      <c r="CF171">
        <v>28</v>
      </c>
      <c r="CG171">
        <f t="shared" si="96"/>
        <v>3695.2554973093866</v>
      </c>
      <c r="CH171">
        <f t="shared" si="72"/>
        <v>1410.3102994256697</v>
      </c>
      <c r="CI171">
        <f t="shared" si="73"/>
        <v>722.90336169713692</v>
      </c>
      <c r="CS171">
        <v>28</v>
      </c>
      <c r="CT171">
        <f t="shared" si="97"/>
        <v>2384.4838695705071</v>
      </c>
      <c r="CU171">
        <f t="shared" si="74"/>
        <v>910.04861842929415</v>
      </c>
      <c r="CV171">
        <f t="shared" si="75"/>
        <v>466.47692060270964</v>
      </c>
      <c r="DG171">
        <v>28</v>
      </c>
      <c r="DH171">
        <f t="shared" si="98"/>
        <v>2203.9673957264959</v>
      </c>
      <c r="DI171">
        <f t="shared" si="76"/>
        <v>841.15372267348425</v>
      </c>
      <c r="DJ171">
        <f t="shared" si="77"/>
        <v>431.1624569942889</v>
      </c>
      <c r="DU171">
        <v>28</v>
      </c>
      <c r="DV171">
        <f t="shared" si="99"/>
        <v>2875.109741880342</v>
      </c>
      <c r="DW171">
        <f t="shared" si="78"/>
        <v>1097.2981121076284</v>
      </c>
      <c r="DX171">
        <f t="shared" si="79"/>
        <v>562.45813020692185</v>
      </c>
      <c r="EI171">
        <v>28</v>
      </c>
      <c r="EJ171">
        <f t="shared" si="100"/>
        <v>4923.3981199123873</v>
      </c>
      <c r="EK171">
        <f t="shared" si="80"/>
        <v>1879.0362619692139</v>
      </c>
      <c r="EL171">
        <f t="shared" si="81"/>
        <v>963.16507869334976</v>
      </c>
      <c r="EW171">
        <v>28</v>
      </c>
      <c r="EX171">
        <f t="shared" si="101"/>
        <v>5595.4769437585419</v>
      </c>
      <c r="EY171">
        <f t="shared" si="82"/>
        <v>2135.5380621793129</v>
      </c>
      <c r="EZ171">
        <f t="shared" si="83"/>
        <v>1094.6439551709307</v>
      </c>
      <c r="FK171">
        <v>28</v>
      </c>
      <c r="FL171">
        <f t="shared" si="102"/>
        <v>6267.8679268354645</v>
      </c>
      <c r="FM171">
        <f t="shared" si="84"/>
        <v>2392.1589993147295</v>
      </c>
      <c r="FN171">
        <f t="shared" si="85"/>
        <v>1226.183899403494</v>
      </c>
      <c r="FY171">
        <v>28</v>
      </c>
      <c r="FZ171">
        <f t="shared" si="103"/>
        <v>9329.7721152115337</v>
      </c>
      <c r="GA171">
        <f t="shared" si="86"/>
        <v>3560.7480226895918</v>
      </c>
      <c r="GB171">
        <f t="shared" si="87"/>
        <v>1825.1846539070145</v>
      </c>
      <c r="GM171">
        <v>28</v>
      </c>
      <c r="GN171">
        <f t="shared" si="104"/>
        <v>11026.431056371326</v>
      </c>
      <c r="GO171">
        <f t="shared" si="88"/>
        <v>4208.2852717573705</v>
      </c>
      <c r="GP171">
        <f t="shared" si="89"/>
        <v>2157.1022853430495</v>
      </c>
    </row>
    <row r="172" spans="2:198" x14ac:dyDescent="0.25">
      <c r="B172">
        <v>29</v>
      </c>
      <c r="C172">
        <f t="shared" si="90"/>
        <v>1322.4583602289522</v>
      </c>
      <c r="D172">
        <f t="shared" si="60"/>
        <v>487.6540803635516</v>
      </c>
      <c r="E172">
        <f t="shared" si="61"/>
        <v>244.06860211672515</v>
      </c>
      <c r="Q172">
        <v>29</v>
      </c>
      <c r="R172">
        <f t="shared" si="91"/>
        <v>1362.7269009981831</v>
      </c>
      <c r="S172">
        <f t="shared" si="62"/>
        <v>502.50303047567593</v>
      </c>
      <c r="T172">
        <f t="shared" si="63"/>
        <v>251.5004326759308</v>
      </c>
      <c r="AE172">
        <v>29</v>
      </c>
      <c r="AF172">
        <f t="shared" si="92"/>
        <v>1458.8843202289524</v>
      </c>
      <c r="AG172">
        <f t="shared" si="64"/>
        <v>537.96090140402418</v>
      </c>
      <c r="AH172">
        <f t="shared" si="65"/>
        <v>269.24693237724671</v>
      </c>
      <c r="AS172">
        <v>29</v>
      </c>
      <c r="AT172">
        <f t="shared" si="93"/>
        <v>1988.9326487809572</v>
      </c>
      <c r="AU172">
        <f t="shared" si="66"/>
        <v>733.41524460430151</v>
      </c>
      <c r="AV172">
        <f t="shared" si="67"/>
        <v>367.07092328278827</v>
      </c>
      <c r="BF172">
        <v>29</v>
      </c>
      <c r="BG172">
        <f t="shared" si="94"/>
        <v>2234.9208222358193</v>
      </c>
      <c r="BH172">
        <f t="shared" si="68"/>
        <v>824.12292971105433</v>
      </c>
      <c r="BI172">
        <f t="shared" si="69"/>
        <v>412.46969835044376</v>
      </c>
      <c r="BS172">
        <v>29</v>
      </c>
      <c r="BT172">
        <f t="shared" si="95"/>
        <v>2966.0892204327583</v>
      </c>
      <c r="BU172">
        <f t="shared" si="70"/>
        <v>1093.7399275210194</v>
      </c>
      <c r="BV172">
        <f t="shared" si="71"/>
        <v>547.41175340989889</v>
      </c>
      <c r="CF172">
        <v>29</v>
      </c>
      <c r="CG172">
        <f t="shared" si="96"/>
        <v>3695.2554973093866</v>
      </c>
      <c r="CH172">
        <f t="shared" si="72"/>
        <v>1362.6186467880871</v>
      </c>
      <c r="CI172">
        <f t="shared" si="73"/>
        <v>681.98430348786496</v>
      </c>
      <c r="CS172">
        <v>29</v>
      </c>
      <c r="CT172">
        <f t="shared" si="97"/>
        <v>2384.4838695705071</v>
      </c>
      <c r="CU172">
        <f t="shared" si="74"/>
        <v>879.27402746791722</v>
      </c>
      <c r="CV172">
        <f t="shared" si="75"/>
        <v>440.07256660632981</v>
      </c>
      <c r="DG172">
        <v>29</v>
      </c>
      <c r="DH172">
        <f t="shared" si="98"/>
        <v>2203.9673957264959</v>
      </c>
      <c r="DI172">
        <f t="shared" si="76"/>
        <v>812.70891079563717</v>
      </c>
      <c r="DJ172">
        <f t="shared" si="77"/>
        <v>406.75703490027252</v>
      </c>
      <c r="DU172">
        <v>29</v>
      </c>
      <c r="DV172">
        <f t="shared" si="99"/>
        <v>2875.109741880342</v>
      </c>
      <c r="DW172">
        <f t="shared" si="78"/>
        <v>1060.1914126643753</v>
      </c>
      <c r="DX172">
        <f t="shared" si="79"/>
        <v>530.62087755369987</v>
      </c>
      <c r="EI172">
        <v>29</v>
      </c>
      <c r="EJ172">
        <f t="shared" si="100"/>
        <v>4923.3981199123873</v>
      </c>
      <c r="EK172">
        <f t="shared" si="80"/>
        <v>1815.4939729171153</v>
      </c>
      <c r="EL172">
        <f t="shared" si="81"/>
        <v>908.64630065410347</v>
      </c>
      <c r="EW172">
        <v>29</v>
      </c>
      <c r="EX172">
        <f t="shared" si="101"/>
        <v>5595.4769437585419</v>
      </c>
      <c r="EY172">
        <f t="shared" si="82"/>
        <v>2063.3217992070659</v>
      </c>
      <c r="EZ172">
        <f t="shared" si="83"/>
        <v>1032.6829765763496</v>
      </c>
      <c r="FK172">
        <v>29</v>
      </c>
      <c r="FL172">
        <f t="shared" si="102"/>
        <v>6267.8679268354645</v>
      </c>
      <c r="FM172">
        <f t="shared" si="84"/>
        <v>2311.2647336374202</v>
      </c>
      <c r="FN172">
        <f t="shared" si="85"/>
        <v>1156.777263588202</v>
      </c>
      <c r="FY172">
        <v>29</v>
      </c>
      <c r="FZ172">
        <f t="shared" si="103"/>
        <v>9329.7721152115337</v>
      </c>
      <c r="GA172">
        <f t="shared" si="86"/>
        <v>3440.3362538063698</v>
      </c>
      <c r="GB172">
        <f t="shared" si="87"/>
        <v>1721.8723150066173</v>
      </c>
      <c r="GM172">
        <v>29</v>
      </c>
      <c r="GN172">
        <f t="shared" si="104"/>
        <v>11026.431056371326</v>
      </c>
      <c r="GO172">
        <f t="shared" si="88"/>
        <v>4065.9761079781365</v>
      </c>
      <c r="GP172">
        <f t="shared" si="89"/>
        <v>2035.0021559840088</v>
      </c>
    </row>
    <row r="173" spans="2:198" x14ac:dyDescent="0.25">
      <c r="B173">
        <v>30</v>
      </c>
      <c r="C173">
        <f t="shared" si="90"/>
        <v>1322.4583602289522</v>
      </c>
      <c r="D173">
        <f t="shared" si="60"/>
        <v>471.16336267009808</v>
      </c>
      <c r="E173">
        <f t="shared" si="61"/>
        <v>230.2533982233256</v>
      </c>
      <c r="Q173">
        <v>30</v>
      </c>
      <c r="R173">
        <f t="shared" si="91"/>
        <v>1362.7269009981831</v>
      </c>
      <c r="S173">
        <f t="shared" si="62"/>
        <v>485.51017437263368</v>
      </c>
      <c r="T173">
        <f t="shared" si="63"/>
        <v>237.26455912823661</v>
      </c>
      <c r="AE173">
        <v>30</v>
      </c>
      <c r="AF173">
        <f t="shared" si="92"/>
        <v>1458.8843202289524</v>
      </c>
      <c r="AG173">
        <f t="shared" si="64"/>
        <v>519.7689868637915</v>
      </c>
      <c r="AH173">
        <f t="shared" si="65"/>
        <v>254.00653997853462</v>
      </c>
      <c r="AS173">
        <v>30</v>
      </c>
      <c r="AT173">
        <f t="shared" si="93"/>
        <v>2383.1442818375608</v>
      </c>
      <c r="AU173">
        <f t="shared" si="66"/>
        <v>849.0628569690515</v>
      </c>
      <c r="AV173">
        <f t="shared" si="67"/>
        <v>414.92956288966724</v>
      </c>
      <c r="BF173">
        <v>30</v>
      </c>
      <c r="BG173">
        <f t="shared" si="94"/>
        <v>2750.2569364395931</v>
      </c>
      <c r="BH173">
        <f t="shared" si="68"/>
        <v>979.85717006265554</v>
      </c>
      <c r="BI173">
        <f t="shared" si="69"/>
        <v>478.84759524137752</v>
      </c>
      <c r="BS173">
        <v>30</v>
      </c>
      <c r="BT173">
        <f t="shared" si="95"/>
        <v>2966.0892204327583</v>
      </c>
      <c r="BU173">
        <f t="shared" si="70"/>
        <v>1056.7535531604051</v>
      </c>
      <c r="BV173">
        <f t="shared" si="71"/>
        <v>516.42618246216875</v>
      </c>
      <c r="CF173">
        <v>30</v>
      </c>
      <c r="CG173">
        <f t="shared" si="96"/>
        <v>3695.2554973093866</v>
      </c>
      <c r="CH173">
        <f t="shared" si="72"/>
        <v>1316.5397553508085</v>
      </c>
      <c r="CI173">
        <f t="shared" si="73"/>
        <v>643.38141838477827</v>
      </c>
      <c r="CS173">
        <v>30</v>
      </c>
      <c r="CT173">
        <f t="shared" si="97"/>
        <v>2384.4838695705071</v>
      </c>
      <c r="CU173">
        <f t="shared" si="74"/>
        <v>849.54012315740783</v>
      </c>
      <c r="CV173">
        <f t="shared" si="75"/>
        <v>415.16279868521679</v>
      </c>
      <c r="DG173">
        <v>30</v>
      </c>
      <c r="DH173">
        <f t="shared" si="98"/>
        <v>2203.9673957264959</v>
      </c>
      <c r="DI173">
        <f t="shared" si="76"/>
        <v>785.22600076873152</v>
      </c>
      <c r="DJ173">
        <f t="shared" si="77"/>
        <v>383.73305179270989</v>
      </c>
      <c r="DU173">
        <v>30</v>
      </c>
      <c r="DV173">
        <f t="shared" si="99"/>
        <v>2875.109741880342</v>
      </c>
      <c r="DW173">
        <f t="shared" si="78"/>
        <v>1024.3395291443239</v>
      </c>
      <c r="DX173">
        <f t="shared" si="79"/>
        <v>500.58573354122626</v>
      </c>
      <c r="EI173">
        <v>30</v>
      </c>
      <c r="EJ173">
        <f t="shared" si="100"/>
        <v>4923.3981199123873</v>
      </c>
      <c r="EK173">
        <f t="shared" si="80"/>
        <v>1754.1004569247489</v>
      </c>
      <c r="EL173">
        <f t="shared" si="81"/>
        <v>857.21349118311639</v>
      </c>
      <c r="EW173">
        <v>30</v>
      </c>
      <c r="EX173">
        <f t="shared" si="101"/>
        <v>5595.4769437585419</v>
      </c>
      <c r="EY173">
        <f t="shared" si="82"/>
        <v>1993.5476320841217</v>
      </c>
      <c r="EZ173">
        <f t="shared" si="83"/>
        <v>974.22922318523547</v>
      </c>
      <c r="FK173">
        <v>30</v>
      </c>
      <c r="FL173">
        <f t="shared" si="102"/>
        <v>6267.8679268354645</v>
      </c>
      <c r="FM173">
        <f t="shared" si="84"/>
        <v>2233.106022838087</v>
      </c>
      <c r="FN173">
        <f t="shared" si="85"/>
        <v>1091.2993052718887</v>
      </c>
      <c r="FY173">
        <v>30</v>
      </c>
      <c r="FZ173">
        <f t="shared" si="103"/>
        <v>9329.7721152115337</v>
      </c>
      <c r="GA173">
        <f t="shared" si="86"/>
        <v>3323.9963804892459</v>
      </c>
      <c r="GB173">
        <f t="shared" si="87"/>
        <v>1624.4078443458654</v>
      </c>
      <c r="GM173">
        <v>30</v>
      </c>
      <c r="GN173">
        <f t="shared" si="104"/>
        <v>11026.431056371326</v>
      </c>
      <c r="GO173">
        <f t="shared" si="88"/>
        <v>3928.4793313798418</v>
      </c>
      <c r="GP173">
        <f t="shared" si="89"/>
        <v>1919.8133547018949</v>
      </c>
    </row>
    <row r="174" spans="2:198" x14ac:dyDescent="0.25">
      <c r="B174" t="s">
        <v>1615</v>
      </c>
      <c r="Q174" t="s">
        <v>1615</v>
      </c>
      <c r="AE174" t="s">
        <v>1615</v>
      </c>
      <c r="AS174" t="s">
        <v>1615</v>
      </c>
      <c r="BF174" t="s">
        <v>1615</v>
      </c>
      <c r="BS174" t="s">
        <v>1615</v>
      </c>
      <c r="CF174" t="s">
        <v>1615</v>
      </c>
      <c r="CS174" t="s">
        <v>1615</v>
      </c>
      <c r="DG174" t="s">
        <v>1615</v>
      </c>
      <c r="DU174" t="s">
        <v>1615</v>
      </c>
      <c r="EI174" t="s">
        <v>1615</v>
      </c>
      <c r="EW174" t="s">
        <v>1615</v>
      </c>
      <c r="FK174" t="s">
        <v>1615</v>
      </c>
      <c r="FY174" t="s">
        <v>1615</v>
      </c>
      <c r="GM174" t="s">
        <v>1615</v>
      </c>
    </row>
    <row r="175" spans="2:198" x14ac:dyDescent="0.25">
      <c r="C175">
        <f>SUM(C144:C173)</f>
        <v>39673.750806868564</v>
      </c>
      <c r="D175">
        <f t="shared" ref="D175:E175" si="105">SUM(D144:D173)</f>
        <v>24322.714215967309</v>
      </c>
      <c r="E175">
        <f t="shared" si="105"/>
        <v>18203.416033427093</v>
      </c>
      <c r="R175">
        <f>SUM(R144:R173)</f>
        <v>40881.807029945492</v>
      </c>
      <c r="S175">
        <f t="shared" ref="S175:T175" si="106">SUM(S144:S173)</f>
        <v>25063.335046444325</v>
      </c>
      <c r="T175">
        <f t="shared" si="106"/>
        <v>18757.705697832422</v>
      </c>
      <c r="AF175">
        <f>SUM(AF144:AF173)</f>
        <v>43766.529606868564</v>
      </c>
      <c r="AG175">
        <f t="shared" ref="AG175:AH175" si="107">SUM(AG144:AG173)</f>
        <v>26831.866667576091</v>
      </c>
      <c r="AH175">
        <f t="shared" si="107"/>
        <v>20081.296337506938</v>
      </c>
      <c r="AT175">
        <f>SUM(AT144:AT173)</f>
        <v>65581.15395927777</v>
      </c>
      <c r="AU175">
        <f t="shared" ref="AU175:AV175" si="108">SUM(AU144:AU173)</f>
        <v>40143.369206774376</v>
      </c>
      <c r="AV175">
        <f t="shared" si="108"/>
        <v>30011.427211754984</v>
      </c>
      <c r="BG175">
        <f>SUM(BG144:BG173)</f>
        <v>74777.666380131195</v>
      </c>
      <c r="BH175">
        <f t="shared" ref="BH175:BI175" si="109">SUM(BH144:BH173)</f>
        <v>45762.300985327674</v>
      </c>
      <c r="BI175">
        <f t="shared" si="109"/>
        <v>34206.761443509204</v>
      </c>
      <c r="BT175">
        <f>SUM(BT144:BT173)</f>
        <v>88982.676612982745</v>
      </c>
      <c r="BU175">
        <f t="shared" ref="BU175:BV175" si="110">SUM(BU144:BU173)</f>
        <v>54552.44763635307</v>
      </c>
      <c r="BV175">
        <f t="shared" si="110"/>
        <v>40827.717299509801</v>
      </c>
      <c r="CG175">
        <f>SUM(CG144:CG173)</f>
        <v>110857.66491928152</v>
      </c>
      <c r="CH175">
        <f t="shared" ref="CH175:CI175" si="111">SUM(CH144:CH173)</f>
        <v>67963.30691310238</v>
      </c>
      <c r="CI175">
        <f t="shared" si="111"/>
        <v>50864.567982076755</v>
      </c>
      <c r="CT175">
        <f>SUM(CT144:CT173)</f>
        <v>71534.516087115175</v>
      </c>
      <c r="CU175">
        <f t="shared" ref="CU175:CV175" si="112">SUM(CU144:CU173)</f>
        <v>43855.535611802938</v>
      </c>
      <c r="CV175">
        <f t="shared" si="112"/>
        <v>32822.017848088144</v>
      </c>
      <c r="DH175">
        <f>SUM(DH144:DH173)</f>
        <v>66119.021871794888</v>
      </c>
      <c r="DI175">
        <f t="shared" ref="DI175:DJ175" si="113">SUM(DI144:DI173)</f>
        <v>40535.468427364787</v>
      </c>
      <c r="DJ175">
        <f t="shared" si="113"/>
        <v>30337.239065563073</v>
      </c>
      <c r="DV175">
        <f>SUM(DV144:DV173)</f>
        <v>86253.292256410219</v>
      </c>
      <c r="DW175">
        <f t="shared" ref="DW175:DX175" si="114">SUM(DW144:DW173)</f>
        <v>52879.14893531493</v>
      </c>
      <c r="DX175">
        <f t="shared" si="114"/>
        <v>39575.40013898522</v>
      </c>
      <c r="EJ175">
        <f>SUM(EJ144:EJ173)</f>
        <v>147701.94359737157</v>
      </c>
      <c r="EK175">
        <f t="shared" ref="EK175:EL175" si="115">SUM(EK144:EK173)</f>
        <v>90551.361799646984</v>
      </c>
      <c r="EL175">
        <f t="shared" si="115"/>
        <v>67769.743812154455</v>
      </c>
      <c r="EX175">
        <f>SUM(EX144:EX173)</f>
        <v>167864.30831275639</v>
      </c>
      <c r="EY175">
        <f t="shared" ref="EY175:EZ175" si="116">SUM(EY144:EY173)</f>
        <v>102912.26604784082</v>
      </c>
      <c r="EZ175">
        <f t="shared" si="116"/>
        <v>77020.795342888363</v>
      </c>
      <c r="FL175">
        <f>SUM(FL144:FL173)</f>
        <v>188036.03780506385</v>
      </c>
      <c r="FM175">
        <f t="shared" ref="FM175:FN175" si="117">SUM(FM144:FM173)</f>
        <v>115278.91154278244</v>
      </c>
      <c r="FN175">
        <f t="shared" si="117"/>
        <v>86276.143692726197</v>
      </c>
      <c r="FZ175">
        <f>SUM(FZ144:FZ173)</f>
        <v>279893.16345634585</v>
      </c>
      <c r="GA175">
        <f t="shared" ref="GA175:GB175" si="118">SUM(GA144:GA173)</f>
        <v>171593.5924206372</v>
      </c>
      <c r="GB175">
        <f t="shared" si="118"/>
        <v>128422.737847761</v>
      </c>
      <c r="GN175">
        <f>SUM(GN144:GN173)</f>
        <v>330792.93169113976</v>
      </c>
      <c r="GO175">
        <f t="shared" ref="GO175:GP175" si="119">SUM(GO144:GO173)</f>
        <v>202798.62071404295</v>
      </c>
      <c r="GP175">
        <f t="shared" si="119"/>
        <v>151776.96169449034</v>
      </c>
    </row>
    <row r="176" spans="2:198" ht="15.75" thickBot="1" x14ac:dyDescent="0.3"/>
    <row r="177" spans="1:200" s="88" customFormat="1" ht="15.75" thickBot="1" x14ac:dyDescent="0.3">
      <c r="A177" s="86" t="s">
        <v>1627</v>
      </c>
      <c r="O177" s="90"/>
      <c r="AC177" s="90"/>
      <c r="AQ177" s="90"/>
      <c r="BD177" s="90"/>
      <c r="BQ177" s="90"/>
      <c r="CD177" s="90"/>
      <c r="CQ177" s="90"/>
      <c r="DE177" s="90"/>
      <c r="DS177" s="90"/>
      <c r="EG177" s="90"/>
      <c r="EU177" s="90"/>
      <c r="FI177" s="90"/>
      <c r="FW177" s="90"/>
      <c r="GK177" s="90"/>
    </row>
    <row r="179" spans="1:200" x14ac:dyDescent="0.25">
      <c r="B179" t="s">
        <v>1626</v>
      </c>
      <c r="C179" t="s">
        <v>128</v>
      </c>
      <c r="Q179" t="s">
        <v>1626</v>
      </c>
      <c r="R179" t="s">
        <v>128</v>
      </c>
      <c r="AE179" t="s">
        <v>1626</v>
      </c>
      <c r="AF179" t="s">
        <v>128</v>
      </c>
      <c r="AS179" t="s">
        <v>1626</v>
      </c>
      <c r="AT179" t="s">
        <v>128</v>
      </c>
      <c r="BF179" t="s">
        <v>1626</v>
      </c>
      <c r="BG179" t="s">
        <v>128</v>
      </c>
      <c r="BS179" t="s">
        <v>1626</v>
      </c>
      <c r="BT179" t="s">
        <v>128</v>
      </c>
      <c r="CF179" t="s">
        <v>1626</v>
      </c>
      <c r="CG179" t="s">
        <v>128</v>
      </c>
      <c r="CS179" t="s">
        <v>1626</v>
      </c>
      <c r="CT179" t="s">
        <v>128</v>
      </c>
      <c r="DG179" t="s">
        <v>1626</v>
      </c>
      <c r="DH179" t="s">
        <v>128</v>
      </c>
      <c r="DU179" t="s">
        <v>1626</v>
      </c>
      <c r="DV179" t="s">
        <v>128</v>
      </c>
      <c r="EI179" t="s">
        <v>1626</v>
      </c>
      <c r="EJ179" t="s">
        <v>128</v>
      </c>
      <c r="EW179" t="s">
        <v>1626</v>
      </c>
      <c r="EX179" t="s">
        <v>128</v>
      </c>
      <c r="FK179" t="s">
        <v>1626</v>
      </c>
      <c r="FL179" t="s">
        <v>128</v>
      </c>
      <c r="FY179" t="s">
        <v>1626</v>
      </c>
      <c r="FZ179" t="s">
        <v>128</v>
      </c>
      <c r="GM179" t="s">
        <v>1626</v>
      </c>
      <c r="GN179" t="s">
        <v>128</v>
      </c>
    </row>
    <row r="180" spans="1:200" x14ac:dyDescent="0.25">
      <c r="B180" t="s">
        <v>1614</v>
      </c>
      <c r="Q180" t="s">
        <v>1614</v>
      </c>
      <c r="AE180" t="s">
        <v>1614</v>
      </c>
      <c r="AS180" t="s">
        <v>1614</v>
      </c>
      <c r="BF180" t="s">
        <v>1614</v>
      </c>
      <c r="BS180" t="s">
        <v>1614</v>
      </c>
      <c r="CF180" t="s">
        <v>1614</v>
      </c>
      <c r="CS180" t="s">
        <v>1614</v>
      </c>
      <c r="DG180" t="s">
        <v>1614</v>
      </c>
      <c r="DU180" t="s">
        <v>1614</v>
      </c>
      <c r="EI180" t="s">
        <v>1614</v>
      </c>
      <c r="EW180" t="s">
        <v>1614</v>
      </c>
      <c r="FK180" t="s">
        <v>1614</v>
      </c>
      <c r="FY180" t="s">
        <v>1614</v>
      </c>
      <c r="GM180" t="s">
        <v>1614</v>
      </c>
    </row>
    <row r="181" spans="1:200" x14ac:dyDescent="0.25">
      <c r="B181">
        <v>0</v>
      </c>
      <c r="C181" s="5">
        <f>C175+H12</f>
        <v>43216.093446054423</v>
      </c>
      <c r="Q181">
        <v>0</v>
      </c>
      <c r="R181" s="5">
        <f>R175+U12</f>
        <v>47444.57381414406</v>
      </c>
      <c r="AE181">
        <v>0</v>
      </c>
      <c r="AF181" s="5">
        <f>AF175+AI12</f>
        <v>54682.81094552725</v>
      </c>
      <c r="AS181">
        <v>0</v>
      </c>
      <c r="AT181" s="5">
        <f>AT175+AW11</f>
        <v>83184.622684698465</v>
      </c>
      <c r="BF181">
        <v>0</v>
      </c>
      <c r="BG181" s="5">
        <f>BG175+BJ11</f>
        <v>102067.43468774867</v>
      </c>
      <c r="BS181">
        <v>0</v>
      </c>
      <c r="BT181" s="5">
        <f>BT175+BW11</f>
        <v>124761.79322960129</v>
      </c>
      <c r="CF181">
        <v>0</v>
      </c>
      <c r="CG181" s="5">
        <f>CG175+CJ11</f>
        <v>150856.65894531913</v>
      </c>
      <c r="CS181">
        <v>0</v>
      </c>
      <c r="CT181" s="5">
        <f>CT175+CW43</f>
        <v>93812.204833405674</v>
      </c>
      <c r="DG181">
        <v>0</v>
      </c>
      <c r="DH181" s="5">
        <f>DH175+DK43</f>
        <v>90534.311185821512</v>
      </c>
      <c r="DU181">
        <v>0</v>
      </c>
      <c r="DV181" s="5">
        <f>DV175+DY43</f>
        <v>118412.79922405258</v>
      </c>
      <c r="EI181">
        <v>0</v>
      </c>
      <c r="EJ181" s="5">
        <f>EJ175+EM43</f>
        <v>189604.43275060231</v>
      </c>
      <c r="EW181">
        <v>0</v>
      </c>
      <c r="EX181" s="5">
        <f>EX175+FA43</f>
        <v>211508.23140819967</v>
      </c>
      <c r="FK181">
        <v>0</v>
      </c>
      <c r="FL181" s="5">
        <f>FL175+FO43</f>
        <v>244717.55705685125</v>
      </c>
      <c r="FY181">
        <v>0</v>
      </c>
      <c r="FZ181" s="5">
        <f>FZ175+GC43</f>
        <v>344379.31027941592</v>
      </c>
      <c r="GM181">
        <v>0</v>
      </c>
      <c r="GN181" s="5">
        <f>GN175+GQ45</f>
        <v>844131.08801922156</v>
      </c>
    </row>
    <row r="182" spans="1:200" x14ac:dyDescent="0.25">
      <c r="B182">
        <v>3.5000000000000003E-2</v>
      </c>
      <c r="C182" s="5">
        <f>D175+H12</f>
        <v>27865.056855153169</v>
      </c>
      <c r="E182" s="5">
        <f>C182-D175</f>
        <v>3542.3426391858593</v>
      </c>
      <c r="G182">
        <f>E182/C182</f>
        <v>0.12712490261905793</v>
      </c>
      <c r="Q182">
        <v>3.5000000000000003E-2</v>
      </c>
      <c r="R182" s="5">
        <f>S175+U12</f>
        <v>31626.101830642889</v>
      </c>
      <c r="T182" s="5">
        <f>R182-S175</f>
        <v>6562.766784198564</v>
      </c>
      <c r="V182">
        <f>T182/R182</f>
        <v>0.20751108749798006</v>
      </c>
      <c r="AE182">
        <v>3.5000000000000003E-2</v>
      </c>
      <c r="AF182" s="5">
        <f>AG175+AI12</f>
        <v>37748.148006234776</v>
      </c>
      <c r="AH182" s="5">
        <f>AF182-AG175</f>
        <v>10916.281338658686</v>
      </c>
      <c r="AJ182">
        <f>AH182/AF182</f>
        <v>0.28918720295511369</v>
      </c>
      <c r="AS182">
        <v>3.5000000000000003E-2</v>
      </c>
      <c r="AT182" s="5">
        <f>AU175+AW11</f>
        <v>57746.837932195071</v>
      </c>
      <c r="AV182" s="5">
        <f>AT182-AU175</f>
        <v>17603.468725420695</v>
      </c>
      <c r="AX182">
        <f>AV182/AT182</f>
        <v>0.30483866053566877</v>
      </c>
      <c r="BF182">
        <v>3.5000000000000003E-2</v>
      </c>
      <c r="BG182" s="5">
        <f>BH175+BJ11</f>
        <v>73052.069292945147</v>
      </c>
      <c r="BI182" s="5">
        <f>BG182-BH175</f>
        <v>27289.768307617473</v>
      </c>
      <c r="BK182">
        <f>BI182/BG182</f>
        <v>0.37356598617601278</v>
      </c>
      <c r="BS182">
        <v>3.5000000000000003E-2</v>
      </c>
      <c r="BT182" s="5">
        <f>BU175+BW11</f>
        <v>90331.564252971613</v>
      </c>
      <c r="BV182" s="5">
        <f>BT182-BU175</f>
        <v>35779.116616618543</v>
      </c>
      <c r="BX182">
        <f>BV182/BT182</f>
        <v>0.39608653865906596</v>
      </c>
      <c r="CF182">
        <v>3.5000000000000003E-2</v>
      </c>
      <c r="CG182" s="5">
        <f>CH175+CJ11</f>
        <v>107962.30093913998</v>
      </c>
      <c r="CI182" s="5">
        <f>CG182-CH175</f>
        <v>39998.994026037602</v>
      </c>
      <c r="CK182">
        <f>CI182/CG182</f>
        <v>0.37049038116171362</v>
      </c>
      <c r="CS182">
        <v>3.5000000000000003E-2</v>
      </c>
      <c r="CT182" s="5">
        <f>CU175+CW45</f>
        <v>131173.77118116349</v>
      </c>
      <c r="CV182" s="5">
        <f>CT182-CU175</f>
        <v>87318.23556936055</v>
      </c>
      <c r="CX182">
        <f>CV182/CT182</f>
        <v>0.66566840903556657</v>
      </c>
      <c r="DG182">
        <v>3.5000000000000003E-2</v>
      </c>
      <c r="DH182" s="5">
        <f>DI175+DK45</f>
        <v>152793.00393227796</v>
      </c>
      <c r="DJ182" s="5">
        <f>DH182-DI175</f>
        <v>112257.53550491318</v>
      </c>
      <c r="DL182">
        <f>DJ182/DH182</f>
        <v>0.73470337394943019</v>
      </c>
      <c r="DU182">
        <v>3.5000000000000003E-2</v>
      </c>
      <c r="DV182" s="5">
        <f>DW175+DY45</f>
        <v>216524.82518928716</v>
      </c>
      <c r="DX182" s="5">
        <f>DV182-DW175</f>
        <v>163645.67625397223</v>
      </c>
      <c r="DZ182">
        <f>DX182/DV182</f>
        <v>0.75578251182474021</v>
      </c>
      <c r="EI182">
        <v>3.5000000000000003E-2</v>
      </c>
      <c r="EJ182" s="5">
        <f>EK175+EM45</f>
        <v>307583.94333465089</v>
      </c>
      <c r="EL182" s="5">
        <f>EJ182-EK175</f>
        <v>217032.5815350039</v>
      </c>
      <c r="EN182">
        <f>EL182/EJ182</f>
        <v>0.70560439268077391</v>
      </c>
      <c r="EW182">
        <v>3.5000000000000003E-2</v>
      </c>
      <c r="EX182" s="5">
        <f>EY175+FA45</f>
        <v>365377.00462050055</v>
      </c>
      <c r="EZ182" s="5">
        <f>EX182-EY175</f>
        <v>262464.73857265973</v>
      </c>
      <c r="FB182">
        <f>EZ182/EX182</f>
        <v>0.71833951029641063</v>
      </c>
      <c r="FK182">
        <v>3.5000000000000003E-2</v>
      </c>
      <c r="FL182" s="5">
        <f>FM175+FO45</f>
        <v>434481.54936722957</v>
      </c>
      <c r="FN182" s="5">
        <f>FL182-FM175</f>
        <v>319202.63782444713</v>
      </c>
      <c r="FP182">
        <f>FN182/FL182</f>
        <v>0.73467478259854213</v>
      </c>
      <c r="FY182">
        <v>3.5000000000000003E-2</v>
      </c>
      <c r="FZ182" s="5">
        <f>GA175+GC45</f>
        <v>585978.70400725352</v>
      </c>
      <c r="GB182" s="5">
        <f>FZ182-GA175</f>
        <v>414385.11158661632</v>
      </c>
      <c r="GD182">
        <f>GB182/FZ182</f>
        <v>0.70716752802246352</v>
      </c>
      <c r="GM182">
        <v>3.5000000000000003E-2</v>
      </c>
      <c r="GN182" s="5">
        <f>GO175+GQ45</f>
        <v>716136.77704212465</v>
      </c>
      <c r="GP182" s="5">
        <f>GN182-GO175</f>
        <v>513338.15632808174</v>
      </c>
      <c r="GR182">
        <f>GP182/GN182</f>
        <v>0.71681579941800155</v>
      </c>
    </row>
    <row r="183" spans="1:200" x14ac:dyDescent="0.25">
      <c r="B183">
        <v>0.06</v>
      </c>
      <c r="C183" s="5">
        <f>E175+H12</f>
        <v>21745.758672612952</v>
      </c>
      <c r="Q183">
        <v>0.06</v>
      </c>
      <c r="R183" s="5">
        <f>T175+U12</f>
        <v>25320.472482030986</v>
      </c>
      <c r="AE183">
        <v>0.06</v>
      </c>
      <c r="AF183" s="5">
        <f>AH175+AI12</f>
        <v>30997.577676165623</v>
      </c>
      <c r="AS183">
        <v>0.06</v>
      </c>
      <c r="AT183" s="5">
        <f>AV175+AW11</f>
        <v>47614.895937175679</v>
      </c>
      <c r="BF183">
        <v>0.06</v>
      </c>
      <c r="BG183" s="5">
        <f>BI175+BJ11</f>
        <v>61496.529751126684</v>
      </c>
      <c r="BS183">
        <v>0.06</v>
      </c>
      <c r="BT183" s="5">
        <f>BV175+BW11</f>
        <v>76606.833916128337</v>
      </c>
      <c r="CF183">
        <v>0.06</v>
      </c>
      <c r="CG183" s="5">
        <f>CI175+CJ11</f>
        <v>90863.562008114357</v>
      </c>
      <c r="CS183">
        <v>0.06</v>
      </c>
      <c r="CT183" s="5">
        <f>CV175+CW43</f>
        <v>55099.706594378644</v>
      </c>
      <c r="DG183">
        <v>0.06</v>
      </c>
      <c r="DH183" s="5">
        <f>DJ175+DK43</f>
        <v>54752.528379589705</v>
      </c>
      <c r="DU183">
        <v>0.06</v>
      </c>
      <c r="DV183" s="5">
        <f>DX175+DY43</f>
        <v>71734.907106627579</v>
      </c>
      <c r="EI183">
        <v>0.06</v>
      </c>
      <c r="EJ183" s="5">
        <f>EL175+EM43</f>
        <v>109672.23296538521</v>
      </c>
      <c r="EW183">
        <v>0.06</v>
      </c>
      <c r="EX183" s="5">
        <f>EZ175+FA43</f>
        <v>120664.71843833165</v>
      </c>
      <c r="FK183">
        <v>0.06</v>
      </c>
      <c r="FL183" s="5">
        <f>FN175+FO43</f>
        <v>142957.66294451361</v>
      </c>
      <c r="FY183">
        <v>0.06</v>
      </c>
      <c r="FZ183" s="5">
        <f>GB175+GC43</f>
        <v>192908.88467083106</v>
      </c>
      <c r="GM183">
        <v>0.06</v>
      </c>
      <c r="GN183" s="5">
        <f>GP175+GQ45</f>
        <v>665115.11802257202</v>
      </c>
    </row>
  </sheetData>
  <mergeCells count="15">
    <mergeCell ref="FJ1:FW1"/>
    <mergeCell ref="FX1:GK1"/>
    <mergeCell ref="GL1:GY1"/>
    <mergeCell ref="CR1:DE1"/>
    <mergeCell ref="DF1:DS1"/>
    <mergeCell ref="DT1:EG1"/>
    <mergeCell ref="EH1:EU1"/>
    <mergeCell ref="EV1:FI1"/>
    <mergeCell ref="CE1:CQ1"/>
    <mergeCell ref="AD1:AQ1"/>
    <mergeCell ref="AR1:BD1"/>
    <mergeCell ref="P1:AC1"/>
    <mergeCell ref="D1:O1"/>
    <mergeCell ref="BE1:BQ1"/>
    <mergeCell ref="BR1:CD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C62C6-7838-40D0-943A-29F9ADF1B166}">
  <sheetPr>
    <tabColor rgb="FFFFC000"/>
  </sheetPr>
  <dimension ref="A1:HC183"/>
  <sheetViews>
    <sheetView topLeftCell="X1" zoomScale="70" zoomScaleNormal="70" workbookViewId="0">
      <pane ySplit="1" topLeftCell="A115" activePane="bottomLeft" state="frozen"/>
      <selection pane="bottomLeft" activeCell="GA130" sqref="GA130"/>
    </sheetView>
  </sheetViews>
  <sheetFormatPr defaultRowHeight="15" x14ac:dyDescent="0.25"/>
  <cols>
    <col min="12" max="12" width="12" bestFit="1" customWidth="1"/>
    <col min="15" max="15" width="9.140625" style="18"/>
    <col min="29" max="29" width="9.140625" style="18"/>
    <col min="31" max="31" width="18.42578125" customWidth="1"/>
    <col min="43" max="43" width="9.140625" style="18"/>
    <col min="45" max="45" width="21.85546875" bestFit="1" customWidth="1"/>
    <col min="46" max="46" width="14.85546875" bestFit="1" customWidth="1"/>
    <col min="47" max="47" width="14.7109375" bestFit="1" customWidth="1"/>
    <col min="56" max="56" width="9.140625" style="18"/>
    <col min="58" max="58" width="21.85546875" bestFit="1" customWidth="1"/>
    <col min="69" max="69" width="9.140625" style="18"/>
    <col min="82" max="82" width="9.140625" style="18"/>
    <col min="95" max="95" width="9.140625" style="18"/>
    <col min="108" max="108" width="12.140625" bestFit="1" customWidth="1"/>
    <col min="109" max="109" width="9.140625" style="18"/>
    <col min="111" max="111" width="13.140625" customWidth="1"/>
    <col min="123" max="123" width="9.140625" style="18"/>
    <col min="137" max="137" width="9.140625" style="18"/>
    <col min="151" max="151" width="9.140625" style="18"/>
    <col min="165" max="165" width="9.140625" style="18"/>
    <col min="179" max="179" width="9.140625" style="18"/>
    <col min="193" max="193" width="9.140625" style="18"/>
    <col min="195" max="195" width="15.7109375" customWidth="1"/>
  </cols>
  <sheetData>
    <row r="1" spans="1:207" s="39" customFormat="1" ht="19.5" thickBot="1" x14ac:dyDescent="0.35">
      <c r="A1" s="41" t="s">
        <v>464</v>
      </c>
      <c r="D1" s="135" t="s">
        <v>55</v>
      </c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6"/>
      <c r="P1" s="134" t="s">
        <v>135</v>
      </c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6"/>
      <c r="AD1" s="134" t="s">
        <v>165</v>
      </c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6"/>
      <c r="AR1" s="134" t="s">
        <v>275</v>
      </c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6"/>
      <c r="BE1" s="134" t="s">
        <v>294</v>
      </c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6"/>
      <c r="BR1" s="134" t="s">
        <v>303</v>
      </c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6"/>
      <c r="CE1" s="134" t="s">
        <v>311</v>
      </c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6"/>
      <c r="CR1" s="132" t="s">
        <v>740</v>
      </c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6"/>
      <c r="DF1" s="132" t="s">
        <v>741</v>
      </c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6"/>
      <c r="DT1" s="132" t="s">
        <v>742</v>
      </c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6"/>
      <c r="EH1" s="132" t="s">
        <v>743</v>
      </c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6"/>
      <c r="EV1" s="132" t="s">
        <v>744</v>
      </c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6"/>
      <c r="FJ1" s="132" t="s">
        <v>745</v>
      </c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6"/>
      <c r="FX1" s="132" t="s">
        <v>746</v>
      </c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6"/>
      <c r="GL1" s="132" t="s">
        <v>747</v>
      </c>
      <c r="GM1" s="125"/>
      <c r="GN1" s="125"/>
      <c r="GO1" s="125"/>
      <c r="GP1" s="125"/>
      <c r="GQ1" s="125"/>
      <c r="GR1" s="125"/>
      <c r="GS1" s="125"/>
      <c r="GT1" s="125"/>
      <c r="GU1" s="125"/>
      <c r="GV1" s="125"/>
      <c r="GW1" s="125"/>
      <c r="GX1" s="125"/>
      <c r="GY1" s="126"/>
    </row>
    <row r="2" spans="1:207" x14ac:dyDescent="0.25">
      <c r="D2" t="s">
        <v>23</v>
      </c>
      <c r="K2" t="s">
        <v>61</v>
      </c>
      <c r="Q2" t="s">
        <v>23</v>
      </c>
      <c r="X2" t="s">
        <v>61</v>
      </c>
      <c r="AE2" t="s">
        <v>23</v>
      </c>
      <c r="AL2" t="s">
        <v>61</v>
      </c>
      <c r="AS2" t="s">
        <v>23</v>
      </c>
      <c r="AZ2" t="s">
        <v>61</v>
      </c>
      <c r="BF2" t="s">
        <v>23</v>
      </c>
      <c r="BM2" t="s">
        <v>61</v>
      </c>
      <c r="BS2" t="s">
        <v>23</v>
      </c>
      <c r="BZ2" t="s">
        <v>61</v>
      </c>
      <c r="CF2" t="s">
        <v>23</v>
      </c>
      <c r="CM2" t="s">
        <v>61</v>
      </c>
      <c r="DG2" t="str">
        <f t="shared" ref="DG2:DG11" si="0">CF2</f>
        <v>Scenario</v>
      </c>
      <c r="DU2" t="s">
        <v>23</v>
      </c>
      <c r="EI2" t="s">
        <v>23</v>
      </c>
      <c r="EW2" t="s">
        <v>23</v>
      </c>
      <c r="FK2" t="s">
        <v>23</v>
      </c>
      <c r="FY2" t="s">
        <v>23</v>
      </c>
      <c r="GM2" t="s">
        <v>23</v>
      </c>
      <c r="GY2" s="18"/>
    </row>
    <row r="3" spans="1:207" x14ac:dyDescent="0.25">
      <c r="D3" s="10" t="s">
        <v>55</v>
      </c>
      <c r="E3" t="s">
        <v>60</v>
      </c>
      <c r="G3" t="s">
        <v>83</v>
      </c>
      <c r="H3">
        <v>0.02</v>
      </c>
      <c r="K3" t="s">
        <v>62</v>
      </c>
      <c r="Q3" s="10" t="s">
        <v>135</v>
      </c>
      <c r="R3" t="s">
        <v>60</v>
      </c>
      <c r="T3" t="s">
        <v>83</v>
      </c>
      <c r="U3">
        <v>0.02</v>
      </c>
      <c r="X3" t="s">
        <v>62</v>
      </c>
      <c r="AE3" s="10" t="s">
        <v>165</v>
      </c>
      <c r="AF3" t="s">
        <v>60</v>
      </c>
      <c r="AH3" t="s">
        <v>83</v>
      </c>
      <c r="AI3">
        <v>0.02</v>
      </c>
      <c r="AL3" t="s">
        <v>62</v>
      </c>
      <c r="AM3" t="s">
        <v>481</v>
      </c>
      <c r="AO3" t="s">
        <v>62</v>
      </c>
      <c r="AP3" t="s">
        <v>482</v>
      </c>
      <c r="AS3" s="10" t="s">
        <v>275</v>
      </c>
      <c r="AT3" t="s">
        <v>60</v>
      </c>
      <c r="AV3" t="s">
        <v>83</v>
      </c>
      <c r="AW3">
        <v>0.02</v>
      </c>
      <c r="AZ3" t="s">
        <v>62</v>
      </c>
      <c r="BF3" s="10" t="s">
        <v>294</v>
      </c>
      <c r="BG3" t="s">
        <v>60</v>
      </c>
      <c r="BI3" t="s">
        <v>83</v>
      </c>
      <c r="BJ3">
        <v>0.02</v>
      </c>
      <c r="BM3" t="s">
        <v>62</v>
      </c>
      <c r="BS3" s="10" t="s">
        <v>303</v>
      </c>
      <c r="BT3" t="s">
        <v>60</v>
      </c>
      <c r="BV3" t="s">
        <v>83</v>
      </c>
      <c r="BW3">
        <v>0.02</v>
      </c>
      <c r="BZ3" t="s">
        <v>62</v>
      </c>
      <c r="CF3" s="10" t="s">
        <v>311</v>
      </c>
      <c r="CG3" t="s">
        <v>60</v>
      </c>
      <c r="CI3" t="s">
        <v>83</v>
      </c>
      <c r="CJ3">
        <v>0.02</v>
      </c>
      <c r="CM3" t="s">
        <v>62</v>
      </c>
      <c r="CT3" t="str">
        <f t="shared" ref="CT3:CT9" si="1">BT3</f>
        <v>Dry Conditions</v>
      </c>
      <c r="CU3">
        <f t="shared" ref="CU3:CU9" si="2">BU3</f>
        <v>0</v>
      </c>
      <c r="CV3" t="str">
        <f t="shared" ref="CV3:CV9" si="3">BV3</f>
        <v>Inflation</v>
      </c>
      <c r="CW3">
        <f t="shared" ref="CW3:CW11" si="4">BW3</f>
        <v>0.02</v>
      </c>
      <c r="DH3" t="str">
        <f t="shared" ref="DH3:DH9" si="5">CG3</f>
        <v>Dry Conditions</v>
      </c>
      <c r="DJ3" t="str">
        <f t="shared" ref="DJ3:DJ9" si="6">CI3</f>
        <v>Inflation</v>
      </c>
      <c r="DK3">
        <f t="shared" ref="DK3:DK11" si="7">CJ3</f>
        <v>0.02</v>
      </c>
      <c r="DV3" t="s">
        <v>60</v>
      </c>
      <c r="DX3" t="s">
        <v>83</v>
      </c>
      <c r="DY3">
        <v>0.02</v>
      </c>
      <c r="EJ3" t="s">
        <v>60</v>
      </c>
      <c r="EL3" t="s">
        <v>83</v>
      </c>
      <c r="EM3">
        <v>0.02</v>
      </c>
      <c r="EX3" t="s">
        <v>60</v>
      </c>
      <c r="EZ3" t="s">
        <v>83</v>
      </c>
      <c r="FA3">
        <v>0.02</v>
      </c>
      <c r="FL3" t="s">
        <v>60</v>
      </c>
      <c r="FN3" t="s">
        <v>83</v>
      </c>
      <c r="FO3">
        <v>0.02</v>
      </c>
      <c r="FZ3" t="s">
        <v>60</v>
      </c>
      <c r="GB3" t="s">
        <v>83</v>
      </c>
      <c r="GC3">
        <v>0.02</v>
      </c>
      <c r="GN3" t="s">
        <v>60</v>
      </c>
      <c r="GP3" t="s">
        <v>83</v>
      </c>
      <c r="GQ3">
        <v>0.02</v>
      </c>
      <c r="GY3" s="18"/>
    </row>
    <row r="4" spans="1:207" x14ac:dyDescent="0.25">
      <c r="K4" t="s">
        <v>128</v>
      </c>
      <c r="X4" t="s">
        <v>128</v>
      </c>
      <c r="AL4" t="s">
        <v>128</v>
      </c>
      <c r="AO4" t="s">
        <v>128</v>
      </c>
      <c r="AZ4" t="s">
        <v>128</v>
      </c>
      <c r="BM4" t="s">
        <v>128</v>
      </c>
      <c r="BZ4" t="s">
        <v>128</v>
      </c>
      <c r="CM4" t="s">
        <v>128</v>
      </c>
      <c r="GY4" s="18"/>
    </row>
    <row r="5" spans="1:207" x14ac:dyDescent="0.25">
      <c r="D5" t="s">
        <v>22</v>
      </c>
      <c r="K5" t="s">
        <v>150</v>
      </c>
      <c r="L5">
        <v>3100</v>
      </c>
      <c r="Q5" t="s">
        <v>22</v>
      </c>
      <c r="X5" t="s">
        <v>150</v>
      </c>
      <c r="Y5">
        <v>5600</v>
      </c>
      <c r="AE5" t="s">
        <v>22</v>
      </c>
      <c r="AL5" t="s">
        <v>150</v>
      </c>
      <c r="AO5" t="s">
        <v>150</v>
      </c>
      <c r="AP5">
        <v>5600</v>
      </c>
      <c r="AS5" t="s">
        <v>22</v>
      </c>
      <c r="AZ5" t="s">
        <v>150</v>
      </c>
      <c r="BA5">
        <v>7500</v>
      </c>
      <c r="BF5" t="s">
        <v>22</v>
      </c>
      <c r="BM5" t="s">
        <v>150</v>
      </c>
      <c r="BN5">
        <v>10500</v>
      </c>
      <c r="BS5" t="s">
        <v>22</v>
      </c>
      <c r="BZ5" t="s">
        <v>150</v>
      </c>
      <c r="CA5">
        <v>10770</v>
      </c>
      <c r="CF5" t="s">
        <v>22</v>
      </c>
      <c r="CM5" t="s">
        <v>150</v>
      </c>
      <c r="CN5">
        <v>13000</v>
      </c>
      <c r="CS5" t="str">
        <f t="shared" ref="CS5:CS11" si="8">BS5</f>
        <v>Construction Costs</v>
      </c>
      <c r="DG5" t="str">
        <f t="shared" si="0"/>
        <v>Construction Costs</v>
      </c>
      <c r="DU5" t="s">
        <v>22</v>
      </c>
      <c r="EI5" t="s">
        <v>22</v>
      </c>
      <c r="EW5" t="s">
        <v>22</v>
      </c>
      <c r="FK5" t="s">
        <v>22</v>
      </c>
      <c r="FY5" t="s">
        <v>22</v>
      </c>
      <c r="GM5" t="s">
        <v>22</v>
      </c>
      <c r="GY5" s="18"/>
    </row>
    <row r="6" spans="1:207" x14ac:dyDescent="0.25">
      <c r="D6" t="s">
        <v>80</v>
      </c>
      <c r="E6" t="s">
        <v>2</v>
      </c>
      <c r="F6" t="s">
        <v>81</v>
      </c>
      <c r="G6" t="s">
        <v>82</v>
      </c>
      <c r="H6" t="s">
        <v>59</v>
      </c>
      <c r="K6" t="s">
        <v>454</v>
      </c>
      <c r="L6">
        <v>1640</v>
      </c>
      <c r="Q6" t="s">
        <v>80</v>
      </c>
      <c r="R6" t="s">
        <v>2</v>
      </c>
      <c r="S6" t="s">
        <v>81</v>
      </c>
      <c r="T6" t="s">
        <v>82</v>
      </c>
      <c r="U6" t="s">
        <v>59</v>
      </c>
      <c r="X6" t="s">
        <v>454</v>
      </c>
      <c r="Y6">
        <v>1640</v>
      </c>
      <c r="AE6" t="s">
        <v>80</v>
      </c>
      <c r="AF6" t="s">
        <v>2</v>
      </c>
      <c r="AG6" t="s">
        <v>81</v>
      </c>
      <c r="AH6" t="s">
        <v>82</v>
      </c>
      <c r="AI6" t="s">
        <v>59</v>
      </c>
      <c r="AL6" t="s">
        <v>454</v>
      </c>
      <c r="AO6" t="s">
        <v>454</v>
      </c>
      <c r="AP6">
        <v>1640</v>
      </c>
      <c r="AS6" t="s">
        <v>80</v>
      </c>
      <c r="AT6" t="s">
        <v>2</v>
      </c>
      <c r="AU6" t="s">
        <v>81</v>
      </c>
      <c r="AV6" t="s">
        <v>82</v>
      </c>
      <c r="AW6" t="s">
        <v>59</v>
      </c>
      <c r="AZ6" t="s">
        <v>454</v>
      </c>
      <c r="BA6">
        <v>2124</v>
      </c>
      <c r="BF6" t="s">
        <v>80</v>
      </c>
      <c r="BG6" t="s">
        <v>2</v>
      </c>
      <c r="BH6" t="s">
        <v>81</v>
      </c>
      <c r="BI6" t="s">
        <v>82</v>
      </c>
      <c r="BJ6" t="s">
        <v>59</v>
      </c>
      <c r="BM6" t="s">
        <v>454</v>
      </c>
      <c r="BN6">
        <v>2524</v>
      </c>
      <c r="BS6" t="s">
        <v>80</v>
      </c>
      <c r="BT6" t="s">
        <v>2</v>
      </c>
      <c r="BU6" t="s">
        <v>81</v>
      </c>
      <c r="BV6" t="s">
        <v>82</v>
      </c>
      <c r="BW6" t="s">
        <v>59</v>
      </c>
      <c r="BZ6" t="s">
        <v>454</v>
      </c>
      <c r="CA6">
        <v>2500</v>
      </c>
      <c r="CF6" t="s">
        <v>80</v>
      </c>
      <c r="CG6" t="s">
        <v>2</v>
      </c>
      <c r="CH6" t="s">
        <v>81</v>
      </c>
      <c r="CI6" t="s">
        <v>82</v>
      </c>
      <c r="CJ6" t="s">
        <v>59</v>
      </c>
      <c r="CM6" t="s">
        <v>454</v>
      </c>
      <c r="CN6">
        <v>2500</v>
      </c>
      <c r="CS6" t="str">
        <f t="shared" si="8"/>
        <v>Item</v>
      </c>
      <c r="CT6" t="str">
        <f t="shared" si="1"/>
        <v>Unit</v>
      </c>
      <c r="CU6" t="str">
        <f t="shared" si="2"/>
        <v>Ref</v>
      </c>
      <c r="CV6" t="str">
        <f t="shared" si="3"/>
        <v>Ref (2021)</v>
      </c>
      <c r="CW6" t="str">
        <f t="shared" si="4"/>
        <v>Cost (£)</v>
      </c>
      <c r="DG6" t="str">
        <f t="shared" si="0"/>
        <v>Item</v>
      </c>
      <c r="DH6" t="str">
        <f t="shared" si="5"/>
        <v>Unit</v>
      </c>
      <c r="DI6" t="str">
        <f t="shared" ref="DI6:DI9" si="9">CH6</f>
        <v>Ref</v>
      </c>
      <c r="DJ6" t="str">
        <f t="shared" si="6"/>
        <v>Ref (2021)</v>
      </c>
      <c r="DK6" t="str">
        <f t="shared" si="7"/>
        <v>Cost (£)</v>
      </c>
      <c r="DU6" t="s">
        <v>80</v>
      </c>
      <c r="DV6" t="s">
        <v>2</v>
      </c>
      <c r="DW6" t="s">
        <v>81</v>
      </c>
      <c r="DX6" t="s">
        <v>82</v>
      </c>
      <c r="DY6" t="s">
        <v>59</v>
      </c>
      <c r="EI6" t="s">
        <v>80</v>
      </c>
      <c r="EJ6" t="s">
        <v>2</v>
      </c>
      <c r="EK6" t="s">
        <v>81</v>
      </c>
      <c r="EL6" t="s">
        <v>82</v>
      </c>
      <c r="EM6" t="s">
        <v>59</v>
      </c>
      <c r="EW6" t="s">
        <v>80</v>
      </c>
      <c r="EX6" t="s">
        <v>2</v>
      </c>
      <c r="EY6" t="s">
        <v>81</v>
      </c>
      <c r="EZ6" t="s">
        <v>82</v>
      </c>
      <c r="FA6" t="s">
        <v>59</v>
      </c>
      <c r="FK6" t="s">
        <v>80</v>
      </c>
      <c r="FL6" t="s">
        <v>2</v>
      </c>
      <c r="FM6" t="s">
        <v>81</v>
      </c>
      <c r="FN6" t="s">
        <v>82</v>
      </c>
      <c r="FO6" t="s">
        <v>59</v>
      </c>
      <c r="FY6" t="s">
        <v>80</v>
      </c>
      <c r="FZ6" t="s">
        <v>2</v>
      </c>
      <c r="GA6" t="s">
        <v>81</v>
      </c>
      <c r="GB6" t="s">
        <v>82</v>
      </c>
      <c r="GC6" t="s">
        <v>59</v>
      </c>
      <c r="GM6" t="s">
        <v>80</v>
      </c>
      <c r="GN6" t="s">
        <v>2</v>
      </c>
      <c r="GO6" t="s">
        <v>81</v>
      </c>
      <c r="GP6" t="s">
        <v>82</v>
      </c>
      <c r="GQ6" t="s">
        <v>59</v>
      </c>
      <c r="GY6" s="18"/>
    </row>
    <row r="7" spans="1:207" x14ac:dyDescent="0.25">
      <c r="D7" s="25" t="s">
        <v>378</v>
      </c>
      <c r="E7">
        <v>1</v>
      </c>
      <c r="F7">
        <f>Index!$C$77</f>
        <v>2970</v>
      </c>
      <c r="G7">
        <f>F7</f>
        <v>2970</v>
      </c>
      <c r="H7" s="5">
        <f>E7*F7</f>
        <v>2970</v>
      </c>
      <c r="K7" t="s">
        <v>145</v>
      </c>
      <c r="L7">
        <v>1910</v>
      </c>
      <c r="Q7" s="25" t="s">
        <v>378</v>
      </c>
      <c r="R7">
        <v>1</v>
      </c>
      <c r="S7">
        <f>Index!$C$78</f>
        <v>5604</v>
      </c>
      <c r="T7">
        <f>S7</f>
        <v>5604</v>
      </c>
      <c r="U7" s="5">
        <f>R7*S7</f>
        <v>5604</v>
      </c>
      <c r="X7" t="s">
        <v>145</v>
      </c>
      <c r="Y7">
        <v>1910</v>
      </c>
      <c r="AE7" s="25" t="s">
        <v>384</v>
      </c>
      <c r="AF7">
        <v>1</v>
      </c>
      <c r="AG7">
        <f>Index!$C$79</f>
        <v>8852.4</v>
      </c>
      <c r="AH7">
        <f>AG7</f>
        <v>8852.4</v>
      </c>
      <c r="AI7" s="5">
        <f>AF7*AG7</f>
        <v>8852.4</v>
      </c>
      <c r="AL7" t="s">
        <v>145</v>
      </c>
      <c r="AM7">
        <v>1990</v>
      </c>
      <c r="AO7" t="s">
        <v>145</v>
      </c>
      <c r="AP7">
        <v>2270</v>
      </c>
      <c r="AS7" s="25" t="s">
        <v>430</v>
      </c>
      <c r="AT7">
        <v>1</v>
      </c>
      <c r="AU7">
        <f>Index!C80</f>
        <v>15930</v>
      </c>
      <c r="AV7">
        <f>AU7</f>
        <v>15930</v>
      </c>
      <c r="AW7">
        <f>AT7*AV7</f>
        <v>15930</v>
      </c>
      <c r="AZ7" t="s">
        <v>145</v>
      </c>
      <c r="BA7">
        <v>1912</v>
      </c>
      <c r="BF7" s="25" t="s">
        <v>433</v>
      </c>
      <c r="BG7">
        <v>1</v>
      </c>
      <c r="BH7">
        <f>Index!C81</f>
        <v>24834</v>
      </c>
      <c r="BI7">
        <f>BH7</f>
        <v>24834</v>
      </c>
      <c r="BJ7">
        <f>BG7*BI7</f>
        <v>24834</v>
      </c>
      <c r="BM7" t="s">
        <v>145</v>
      </c>
      <c r="BN7">
        <v>1912</v>
      </c>
      <c r="BS7" s="25" t="s">
        <v>355</v>
      </c>
      <c r="BT7">
        <v>1</v>
      </c>
      <c r="BU7">
        <f>Index!C82</f>
        <v>26935.200000000001</v>
      </c>
      <c r="BV7">
        <f>BU7</f>
        <v>26935.200000000001</v>
      </c>
      <c r="BW7">
        <f>BT7*BV7</f>
        <v>26935.200000000001</v>
      </c>
      <c r="BZ7" t="s">
        <v>145</v>
      </c>
      <c r="CA7">
        <v>3290</v>
      </c>
      <c r="CF7" s="25" t="s">
        <v>391</v>
      </c>
      <c r="CG7">
        <v>1</v>
      </c>
      <c r="CH7">
        <f>Index!C83</f>
        <v>29478</v>
      </c>
      <c r="CI7">
        <f>CH7</f>
        <v>29478</v>
      </c>
      <c r="CJ7">
        <f>CG7*CI7</f>
        <v>29478</v>
      </c>
      <c r="CM7" t="s">
        <v>145</v>
      </c>
      <c r="CN7">
        <v>3290</v>
      </c>
      <c r="CS7" t="str">
        <f t="shared" si="8"/>
        <v>CSAF 150 N10</v>
      </c>
      <c r="CT7">
        <f t="shared" si="1"/>
        <v>1</v>
      </c>
      <c r="CU7">
        <f t="shared" si="2"/>
        <v>26935.200000000001</v>
      </c>
      <c r="CV7">
        <f t="shared" si="3"/>
        <v>26935.200000000001</v>
      </c>
      <c r="CW7">
        <f t="shared" si="4"/>
        <v>26935.200000000001</v>
      </c>
      <c r="DG7" t="str">
        <f t="shared" si="0"/>
        <v>CSAF 200 N10</v>
      </c>
      <c r="DH7">
        <f t="shared" si="5"/>
        <v>1</v>
      </c>
      <c r="DI7">
        <f t="shared" si="9"/>
        <v>29478</v>
      </c>
      <c r="DJ7">
        <f t="shared" si="6"/>
        <v>29478</v>
      </c>
      <c r="DK7">
        <f t="shared" si="7"/>
        <v>29478</v>
      </c>
      <c r="DU7" t="s">
        <v>391</v>
      </c>
      <c r="DV7">
        <v>1</v>
      </c>
      <c r="DW7">
        <v>29478</v>
      </c>
      <c r="DX7">
        <v>29478</v>
      </c>
      <c r="DY7">
        <v>29478</v>
      </c>
      <c r="EI7" t="s">
        <v>391</v>
      </c>
      <c r="EJ7">
        <v>1</v>
      </c>
      <c r="EK7">
        <v>29478</v>
      </c>
      <c r="EL7">
        <v>29478</v>
      </c>
      <c r="EM7">
        <v>29478</v>
      </c>
      <c r="EW7" t="s">
        <v>391</v>
      </c>
      <c r="EX7">
        <v>1</v>
      </c>
      <c r="EY7">
        <v>29478</v>
      </c>
      <c r="EZ7">
        <v>29478</v>
      </c>
      <c r="FA7">
        <v>29478</v>
      </c>
      <c r="FK7" t="s">
        <v>391</v>
      </c>
      <c r="FL7">
        <v>1</v>
      </c>
      <c r="FM7">
        <v>29478</v>
      </c>
      <c r="FN7">
        <v>29478</v>
      </c>
      <c r="FO7">
        <v>29478</v>
      </c>
      <c r="FY7" t="s">
        <v>391</v>
      </c>
      <c r="FZ7">
        <v>1</v>
      </c>
      <c r="GA7">
        <v>29478</v>
      </c>
      <c r="GB7">
        <v>29478</v>
      </c>
      <c r="GC7">
        <v>29478</v>
      </c>
      <c r="GM7" t="s">
        <v>391</v>
      </c>
      <c r="GN7">
        <v>1</v>
      </c>
      <c r="GO7">
        <v>29478</v>
      </c>
      <c r="GP7">
        <v>29478</v>
      </c>
      <c r="GQ7">
        <v>29478</v>
      </c>
      <c r="GY7" s="18"/>
    </row>
    <row r="8" spans="1:207" x14ac:dyDescent="0.25">
      <c r="D8" t="s">
        <v>14</v>
      </c>
      <c r="E8">
        <f>L11</f>
        <v>16.640640000000001</v>
      </c>
      <c r="F8">
        <v>11.38</v>
      </c>
      <c r="G8">
        <f>F8*(1+$H$3)^3</f>
        <v>12.076547039999999</v>
      </c>
      <c r="H8" s="5">
        <f>E8*F8</f>
        <v>189.37048320000002</v>
      </c>
      <c r="Q8" t="s">
        <v>14</v>
      </c>
      <c r="R8">
        <f>Y11</f>
        <v>28.196639999999999</v>
      </c>
      <c r="S8">
        <f>Index!$C$69</f>
        <v>11.9580460758</v>
      </c>
      <c r="T8">
        <f>S8</f>
        <v>11.9580460758</v>
      </c>
      <c r="U8" s="5">
        <f>R8*S8</f>
        <v>337.17672030274531</v>
      </c>
      <c r="AE8" t="s">
        <v>14</v>
      </c>
      <c r="AF8">
        <f>AP12</f>
        <v>52.257039999999996</v>
      </c>
      <c r="AG8">
        <f>Index!$C$69</f>
        <v>11.9580460758</v>
      </c>
      <c r="AH8">
        <f>AG8</f>
        <v>11.9580460758</v>
      </c>
      <c r="AI8" s="5">
        <f>AF8*AG8</f>
        <v>624.89209210492356</v>
      </c>
      <c r="AS8" t="s">
        <v>14</v>
      </c>
      <c r="AT8">
        <f>BA11</f>
        <v>38.986646399999998</v>
      </c>
      <c r="AU8">
        <f>Index!$C$69</f>
        <v>11.9580460758</v>
      </c>
      <c r="AV8">
        <f>AU8</f>
        <v>11.9580460758</v>
      </c>
      <c r="AW8">
        <f>AT8*AV8</f>
        <v>466.20411399212219</v>
      </c>
      <c r="BF8" t="s">
        <v>14</v>
      </c>
      <c r="BG8">
        <f>BN11</f>
        <v>62.889350399999998</v>
      </c>
      <c r="BH8">
        <f>Index!$C$69</f>
        <v>11.9580460758</v>
      </c>
      <c r="BI8">
        <f>BH8</f>
        <v>11.9580460758</v>
      </c>
      <c r="BJ8">
        <f>BG8*BI8</f>
        <v>752.03374976033115</v>
      </c>
      <c r="BS8" t="s">
        <v>14</v>
      </c>
      <c r="BT8">
        <f>CA11</f>
        <v>126.53673000000001</v>
      </c>
      <c r="BU8">
        <f>Index!$C$69</f>
        <v>11.9580460758</v>
      </c>
      <c r="BV8">
        <f>BU8</f>
        <v>11.9580460758</v>
      </c>
      <c r="BW8">
        <f>BT8*BV8</f>
        <v>1513.1320476210642</v>
      </c>
      <c r="CF8" t="s">
        <v>14</v>
      </c>
      <c r="CG8">
        <f>CN11</f>
        <v>151.3544</v>
      </c>
      <c r="CH8">
        <f>Index!$C$69</f>
        <v>11.9580460758</v>
      </c>
      <c r="CI8">
        <f>CH8</f>
        <v>11.9580460758</v>
      </c>
      <c r="CJ8">
        <f>CG8*CI8</f>
        <v>1809.9028889750637</v>
      </c>
      <c r="CS8" t="str">
        <f t="shared" si="8"/>
        <v>Excavation</v>
      </c>
      <c r="CT8">
        <f t="shared" si="1"/>
        <v>126.53673000000001</v>
      </c>
      <c r="CU8">
        <f t="shared" si="2"/>
        <v>11.9580460758</v>
      </c>
      <c r="CV8">
        <f t="shared" si="3"/>
        <v>11.9580460758</v>
      </c>
      <c r="CW8">
        <f t="shared" si="4"/>
        <v>1513.1320476210642</v>
      </c>
      <c r="DG8" t="str">
        <f t="shared" si="0"/>
        <v>Excavation</v>
      </c>
      <c r="DH8">
        <f t="shared" si="5"/>
        <v>151.3544</v>
      </c>
      <c r="DI8">
        <f t="shared" si="9"/>
        <v>11.9580460758</v>
      </c>
      <c r="DJ8">
        <f t="shared" si="6"/>
        <v>11.9580460758</v>
      </c>
      <c r="DK8">
        <f t="shared" si="7"/>
        <v>1809.9028889750637</v>
      </c>
      <c r="DU8" t="s">
        <v>14</v>
      </c>
      <c r="DV8">
        <v>151.3544</v>
      </c>
      <c r="DW8">
        <v>11.9580460758</v>
      </c>
      <c r="DX8">
        <v>11.9580460758</v>
      </c>
      <c r="DY8">
        <v>1809.9028889750637</v>
      </c>
      <c r="EI8" t="s">
        <v>14</v>
      </c>
      <c r="EJ8">
        <v>151.3544</v>
      </c>
      <c r="EK8">
        <v>11.9580460758</v>
      </c>
      <c r="EL8">
        <v>11.9580460758</v>
      </c>
      <c r="EM8">
        <v>1809.9028889750637</v>
      </c>
      <c r="EW8" t="s">
        <v>14</v>
      </c>
      <c r="EX8">
        <v>151.3544</v>
      </c>
      <c r="EY8">
        <v>11.9580460758</v>
      </c>
      <c r="EZ8">
        <v>11.9580460758</v>
      </c>
      <c r="FA8">
        <v>1809.9028889750637</v>
      </c>
      <c r="FK8" t="s">
        <v>14</v>
      </c>
      <c r="FL8">
        <v>151.3544</v>
      </c>
      <c r="FM8">
        <v>11.9580460758</v>
      </c>
      <c r="FN8">
        <v>11.9580460758</v>
      </c>
      <c r="FO8">
        <v>1809.9028889750637</v>
      </c>
      <c r="FY8" t="s">
        <v>14</v>
      </c>
      <c r="FZ8">
        <v>151.3544</v>
      </c>
      <c r="GA8">
        <v>11.9580460758</v>
      </c>
      <c r="GB8">
        <v>11.9580460758</v>
      </c>
      <c r="GC8">
        <v>1809.9028889750637</v>
      </c>
      <c r="GM8" t="s">
        <v>14</v>
      </c>
      <c r="GN8">
        <v>151.3544</v>
      </c>
      <c r="GO8">
        <v>11.9580460758</v>
      </c>
      <c r="GP8">
        <v>11.9580460758</v>
      </c>
      <c r="GQ8">
        <v>1809.9028889750637</v>
      </c>
      <c r="GY8" s="18"/>
    </row>
    <row r="9" spans="1:207" x14ac:dyDescent="0.25">
      <c r="D9" t="s">
        <v>459</v>
      </c>
      <c r="E9">
        <f>ROUNDUP(L22,1)</f>
        <v>10</v>
      </c>
      <c r="F9">
        <v>36.718627421191144</v>
      </c>
      <c r="G9">
        <f>F9</f>
        <v>36.718627421191144</v>
      </c>
      <c r="H9" s="5">
        <f>E9*F9</f>
        <v>367.18627421191144</v>
      </c>
      <c r="K9" t="s">
        <v>67</v>
      </c>
      <c r="L9">
        <v>250</v>
      </c>
      <c r="M9" t="s">
        <v>64</v>
      </c>
      <c r="Q9" t="s">
        <v>459</v>
      </c>
      <c r="R9">
        <f>ROUNDUP(Y22,1)</f>
        <v>16.200000000000003</v>
      </c>
      <c r="S9">
        <v>36.718627421191144</v>
      </c>
      <c r="T9">
        <f>S9</f>
        <v>36.718627421191144</v>
      </c>
      <c r="U9" s="5">
        <f>R9*S9</f>
        <v>594.84176422329665</v>
      </c>
      <c r="X9" t="s">
        <v>67</v>
      </c>
      <c r="Y9">
        <v>250</v>
      </c>
      <c r="Z9" t="s">
        <v>64</v>
      </c>
      <c r="AE9" t="s">
        <v>459</v>
      </c>
      <c r="AF9">
        <f>ROUNDUP(AM22,1)</f>
        <v>38.700000000000003</v>
      </c>
      <c r="AG9">
        <v>36.718627421191144</v>
      </c>
      <c r="AH9">
        <f>AG9</f>
        <v>36.718627421191144</v>
      </c>
      <c r="AI9" s="5">
        <f>AF9*AG9</f>
        <v>1421.0108812000974</v>
      </c>
      <c r="AL9" t="s">
        <v>67</v>
      </c>
      <c r="AM9">
        <v>250</v>
      </c>
      <c r="AN9" t="s">
        <v>64</v>
      </c>
      <c r="AO9" t="s">
        <v>67</v>
      </c>
      <c r="AP9">
        <v>250</v>
      </c>
      <c r="AQ9" s="18" t="s">
        <v>64</v>
      </c>
      <c r="AS9" t="s">
        <v>151</v>
      </c>
      <c r="AT9">
        <f>BA11-((BA5-200)*(BA6-200)*BA7)/10^9</f>
        <v>12.132223999999997</v>
      </c>
      <c r="AU9">
        <f>Index!$C$53</f>
        <v>99.508928571428555</v>
      </c>
      <c r="AV9">
        <f>AU9</f>
        <v>99.508928571428555</v>
      </c>
      <c r="AW9">
        <f>AT9*AV9</f>
        <v>1207.264611428571</v>
      </c>
      <c r="AZ9" t="s">
        <v>67</v>
      </c>
      <c r="BA9">
        <v>150</v>
      </c>
      <c r="BB9" t="s">
        <v>64</v>
      </c>
      <c r="BF9" t="s">
        <v>151</v>
      </c>
      <c r="BG9">
        <f>BN11-((BN5-200)*(BN6-200)*BN7)/10^9</f>
        <v>17.121423999999998</v>
      </c>
      <c r="BH9">
        <f>Index!$C$53</f>
        <v>99.508928571428555</v>
      </c>
      <c r="BI9">
        <f>BH9</f>
        <v>99.508928571428555</v>
      </c>
      <c r="BJ9">
        <f>BG9*BI9</f>
        <v>1703.7345578571424</v>
      </c>
      <c r="BM9" t="s">
        <v>67</v>
      </c>
      <c r="BN9">
        <v>150</v>
      </c>
      <c r="BO9" t="s">
        <v>64</v>
      </c>
      <c r="BS9" t="s">
        <v>151</v>
      </c>
      <c r="BT9">
        <f>CA11-(CA5*PI()*(CA6/2)^2)/10^9</f>
        <v>73.669616126309279</v>
      </c>
      <c r="BU9">
        <f>Index!$C$53</f>
        <v>99.508928571428555</v>
      </c>
      <c r="BV9">
        <f>BU9</f>
        <v>99.508928571428555</v>
      </c>
      <c r="BW9">
        <f>BT9*BV9</f>
        <v>7330.7845689974711</v>
      </c>
      <c r="BZ9" t="s">
        <v>67</v>
      </c>
      <c r="CA9">
        <v>300</v>
      </c>
      <c r="CB9" t="s">
        <v>64</v>
      </c>
      <c r="CF9" t="s">
        <v>151</v>
      </c>
      <c r="CG9">
        <f>CN11-(CN5*PI()*(CN6/2)^2)/10^9</f>
        <v>87.540799223957322</v>
      </c>
      <c r="CH9">
        <f>Index!$C$53</f>
        <v>99.508928571428555</v>
      </c>
      <c r="CI9">
        <f>CH9</f>
        <v>99.508928571428555</v>
      </c>
      <c r="CJ9">
        <f>CG9*CI9</f>
        <v>8711.0911370625381</v>
      </c>
      <c r="CM9" t="s">
        <v>67</v>
      </c>
      <c r="CN9">
        <v>300</v>
      </c>
      <c r="CO9" t="s">
        <v>64</v>
      </c>
      <c r="CS9" t="str">
        <f t="shared" si="8"/>
        <v xml:space="preserve">Concrete </v>
      </c>
      <c r="CT9">
        <f t="shared" si="1"/>
        <v>73.669616126309279</v>
      </c>
      <c r="CU9">
        <f t="shared" si="2"/>
        <v>99.508928571428555</v>
      </c>
      <c r="CV9">
        <f t="shared" si="3"/>
        <v>99.508928571428555</v>
      </c>
      <c r="CW9">
        <f t="shared" si="4"/>
        <v>7330.7845689974711</v>
      </c>
      <c r="DG9" t="str">
        <f t="shared" si="0"/>
        <v xml:space="preserve">Concrete </v>
      </c>
      <c r="DH9">
        <f t="shared" si="5"/>
        <v>87.540799223957322</v>
      </c>
      <c r="DI9">
        <f t="shared" si="9"/>
        <v>99.508928571428555</v>
      </c>
      <c r="DJ9">
        <f t="shared" si="6"/>
        <v>99.508928571428555</v>
      </c>
      <c r="DK9">
        <f t="shared" si="7"/>
        <v>8711.0911370625381</v>
      </c>
      <c r="DU9" t="s">
        <v>151</v>
      </c>
      <c r="DV9">
        <v>87.540799223957322</v>
      </c>
      <c r="DW9">
        <v>99.508928571428555</v>
      </c>
      <c r="DX9">
        <v>99.508928571428555</v>
      </c>
      <c r="DY9">
        <v>8711.0911370625381</v>
      </c>
      <c r="EI9" t="s">
        <v>151</v>
      </c>
      <c r="EJ9">
        <v>87.540799223957322</v>
      </c>
      <c r="EK9">
        <v>99.508928571428555</v>
      </c>
      <c r="EL9">
        <v>99.508928571428555</v>
      </c>
      <c r="EM9">
        <v>8711.0911370625381</v>
      </c>
      <c r="EW9" t="s">
        <v>151</v>
      </c>
      <c r="EX9">
        <v>87.540799223957322</v>
      </c>
      <c r="EY9">
        <v>99.508928571428555</v>
      </c>
      <c r="EZ9">
        <v>99.508928571428555</v>
      </c>
      <c r="FA9">
        <v>8711.0911370625381</v>
      </c>
      <c r="FK9" t="s">
        <v>151</v>
      </c>
      <c r="FL9">
        <v>87.540799223957322</v>
      </c>
      <c r="FM9">
        <v>99.508928571428555</v>
      </c>
      <c r="FN9">
        <v>99.508928571428555</v>
      </c>
      <c r="FO9">
        <v>8711.0911370625381</v>
      </c>
      <c r="FY9" t="s">
        <v>151</v>
      </c>
      <c r="FZ9">
        <v>87.540799223957322</v>
      </c>
      <c r="GA9">
        <v>99.508928571428555</v>
      </c>
      <c r="GB9">
        <v>99.508928571428555</v>
      </c>
      <c r="GC9">
        <v>8711.0911370625381</v>
      </c>
      <c r="GM9" t="s">
        <v>151</v>
      </c>
      <c r="GN9">
        <v>87.540799223957322</v>
      </c>
      <c r="GO9">
        <v>99.508928571428555</v>
      </c>
      <c r="GP9">
        <v>99.508928571428555</v>
      </c>
      <c r="GQ9">
        <v>8711.0911370625381</v>
      </c>
      <c r="GY9" s="18"/>
    </row>
    <row r="10" spans="1:207" x14ac:dyDescent="0.25">
      <c r="D10" t="s">
        <v>112</v>
      </c>
      <c r="E10">
        <f>L11/((L7+L9)/1000)</f>
        <v>7.7039999999999997</v>
      </c>
      <c r="F10">
        <f>Index!$C$57</f>
        <v>2.0490500744999993</v>
      </c>
      <c r="G10">
        <f>F10</f>
        <v>2.0490500744999993</v>
      </c>
      <c r="H10" s="5">
        <f>E10*F10</f>
        <v>15.785881773947994</v>
      </c>
      <c r="Q10" t="s">
        <v>112</v>
      </c>
      <c r="R10">
        <f>Y11/((Y7+Y9)/1000)</f>
        <v>13.053999999999998</v>
      </c>
      <c r="S10">
        <f>Index!$C$57</f>
        <v>2.0490500744999993</v>
      </c>
      <c r="T10">
        <f>S10</f>
        <v>2.0490500744999993</v>
      </c>
      <c r="U10" s="5">
        <f>R10*S10</f>
        <v>26.74829967252299</v>
      </c>
      <c r="AE10" t="s">
        <v>112</v>
      </c>
      <c r="AF10">
        <f>AM11/((AM7+AM9)/1000)</f>
        <v>8.7739999999999991</v>
      </c>
      <c r="AG10">
        <f>Index!$C$57</f>
        <v>2.0490500744999993</v>
      </c>
      <c r="AH10">
        <f>AG10</f>
        <v>2.0490500744999993</v>
      </c>
      <c r="AI10" s="5">
        <f>AF10*AG10</f>
        <v>17.978365353662991</v>
      </c>
      <c r="GY10" s="18"/>
    </row>
    <row r="11" spans="1:207" x14ac:dyDescent="0.25">
      <c r="K11" t="s">
        <v>125</v>
      </c>
      <c r="L11">
        <f>((L5+L9*2)*(L6+L9*2)*(L7+L9))/10^9</f>
        <v>16.640640000000001</v>
      </c>
      <c r="M11" t="s">
        <v>71</v>
      </c>
      <c r="X11" t="s">
        <v>125</v>
      </c>
      <c r="Y11">
        <f>((Y5+Y9*2)*(Y6+Y9*2)*(Y7+Y9))/10^9</f>
        <v>28.196639999999999</v>
      </c>
      <c r="Z11" t="s">
        <v>71</v>
      </c>
      <c r="AL11" t="s">
        <v>483</v>
      </c>
      <c r="AM11">
        <f>(([2]SAF!D69+AM9*2)*([2]SAF!E69+AM9*2)*(AM7+AM9))/10^9</f>
        <v>19.653759999999998</v>
      </c>
      <c r="AN11" t="s">
        <v>71</v>
      </c>
      <c r="AO11" t="s">
        <v>483</v>
      </c>
      <c r="AP11">
        <f>((AP5+AP9*2)*(AP6+AP9*2-100)*(AP7+AP9+100))/10^9</f>
        <v>32.603279999999998</v>
      </c>
      <c r="AQ11" s="18" t="s">
        <v>71</v>
      </c>
      <c r="AS11" s="3" t="s">
        <v>58</v>
      </c>
      <c r="AT11" s="3"/>
      <c r="AU11" s="3"/>
      <c r="AV11" s="3"/>
      <c r="AW11" s="3">
        <f>SUM(AW6:AW9)</f>
        <v>17603.468725420695</v>
      </c>
      <c r="AZ11" t="s">
        <v>483</v>
      </c>
      <c r="BA11">
        <f>((BA5+BA9*2)*(BA6+BA9*2)*(BA7+BA9))/10^9</f>
        <v>38.986646399999998</v>
      </c>
      <c r="BB11" t="s">
        <v>71</v>
      </c>
      <c r="BF11" s="3" t="s">
        <v>58</v>
      </c>
      <c r="BG11" s="3"/>
      <c r="BH11" s="3"/>
      <c r="BI11" s="3"/>
      <c r="BJ11" s="3">
        <f>SUM(BJ6:BJ9)</f>
        <v>27289.768307617476</v>
      </c>
      <c r="BM11" t="s">
        <v>483</v>
      </c>
      <c r="BN11">
        <f>((BN5+BN9*2)*(BN6+BN9*2)*(BN7+BN9))/10^9</f>
        <v>62.889350399999998</v>
      </c>
      <c r="BO11" t="s">
        <v>71</v>
      </c>
      <c r="BS11" s="3" t="s">
        <v>58</v>
      </c>
      <c r="BT11" s="3"/>
      <c r="BU11" s="3"/>
      <c r="BV11" s="3"/>
      <c r="BW11" s="3">
        <f>SUM(BW6:BW9)</f>
        <v>35779.116616618536</v>
      </c>
      <c r="BZ11" t="s">
        <v>483</v>
      </c>
      <c r="CA11">
        <f>((CA5+CA9*2)*(CA6+CA9*2)*(CA7+CA9))/10^9</f>
        <v>126.53673000000001</v>
      </c>
      <c r="CB11" t="s">
        <v>71</v>
      </c>
      <c r="CF11" s="3" t="s">
        <v>58</v>
      </c>
      <c r="CG11" s="3"/>
      <c r="CH11" s="3"/>
      <c r="CI11" s="3"/>
      <c r="CJ11" s="3">
        <f>SUM(CJ6:CJ9)</f>
        <v>39998.994026037602</v>
      </c>
      <c r="CM11" t="s">
        <v>483</v>
      </c>
      <c r="CN11">
        <f>((CN5+CN9*2)*(CN6+CN9*2)*(CN7+CN9))/10^9</f>
        <v>151.3544</v>
      </c>
      <c r="CO11" t="s">
        <v>71</v>
      </c>
      <c r="CS11" t="str">
        <f t="shared" si="8"/>
        <v>Sub Total</v>
      </c>
      <c r="CW11">
        <f t="shared" si="4"/>
        <v>35779.116616618536</v>
      </c>
      <c r="DG11" t="str">
        <f t="shared" si="0"/>
        <v>Sub Total</v>
      </c>
      <c r="DK11">
        <f t="shared" si="7"/>
        <v>39998.994026037602</v>
      </c>
      <c r="DU11" t="s">
        <v>58</v>
      </c>
      <c r="DY11">
        <v>39998.994026037602</v>
      </c>
      <c r="EI11" t="s">
        <v>58</v>
      </c>
      <c r="EM11">
        <v>39998.994026037602</v>
      </c>
      <c r="EW11" t="s">
        <v>58</v>
      </c>
      <c r="FA11">
        <v>39998.994026037602</v>
      </c>
      <c r="FK11" t="s">
        <v>58</v>
      </c>
      <c r="FO11">
        <v>39998.994026037602</v>
      </c>
      <c r="FY11" t="s">
        <v>58</v>
      </c>
      <c r="GC11">
        <v>39998.994026037602</v>
      </c>
      <c r="GM11" t="s">
        <v>58</v>
      </c>
      <c r="GQ11">
        <v>39998.994026037602</v>
      </c>
      <c r="GY11" s="18"/>
    </row>
    <row r="12" spans="1:207" x14ac:dyDescent="0.25">
      <c r="D12" s="3" t="s">
        <v>58</v>
      </c>
      <c r="E12" s="3"/>
      <c r="F12" s="3"/>
      <c r="G12" s="3"/>
      <c r="H12" s="38">
        <f>SUM(H7:H10)</f>
        <v>3542.3426391858593</v>
      </c>
      <c r="Q12" s="3" t="s">
        <v>58</v>
      </c>
      <c r="R12" s="3"/>
      <c r="S12" s="3"/>
      <c r="T12" s="3"/>
      <c r="U12" s="38">
        <f>SUM(U7:U10)</f>
        <v>6562.7667841985658</v>
      </c>
      <c r="AE12" s="3" t="s">
        <v>58</v>
      </c>
      <c r="AF12" s="3"/>
      <c r="AG12" s="3"/>
      <c r="AH12" s="3"/>
      <c r="AI12" s="38">
        <f>SUM(AI7:AI10)</f>
        <v>10916.281338658684</v>
      </c>
      <c r="AO12" t="s">
        <v>125</v>
      </c>
      <c r="AP12">
        <f>AP11+AM11</f>
        <v>52.257039999999996</v>
      </c>
      <c r="GY12" s="18"/>
    </row>
    <row r="13" spans="1:207" x14ac:dyDescent="0.25">
      <c r="CV13" t="s">
        <v>625</v>
      </c>
      <c r="CW13">
        <f>CW11*2</f>
        <v>71558.233233237072</v>
      </c>
      <c r="DJ13" t="s">
        <v>625</v>
      </c>
      <c r="DK13">
        <f>DK11*2</f>
        <v>79997.988052075205</v>
      </c>
      <c r="DX13" t="s">
        <v>625</v>
      </c>
      <c r="DY13">
        <f>DY11*3</f>
        <v>119996.98207811281</v>
      </c>
      <c r="EL13" t="s">
        <v>625</v>
      </c>
      <c r="EM13">
        <f>EM11*4</f>
        <v>159995.97610415041</v>
      </c>
      <c r="EZ13" t="s">
        <v>625</v>
      </c>
      <c r="FA13">
        <f>FA11*5</f>
        <v>199994.97013018801</v>
      </c>
      <c r="FN13" t="s">
        <v>625</v>
      </c>
      <c r="FO13">
        <f>FO11*6</f>
        <v>239993.96415622561</v>
      </c>
      <c r="GB13" t="s">
        <v>625</v>
      </c>
      <c r="GC13">
        <f>GC11*8</f>
        <v>319991.95220830082</v>
      </c>
      <c r="GP13" t="s">
        <v>625</v>
      </c>
      <c r="GQ13">
        <f>GQ11*10</f>
        <v>399989.94026037602</v>
      </c>
      <c r="GY13" s="18"/>
    </row>
    <row r="14" spans="1:207" x14ac:dyDescent="0.25">
      <c r="K14" t="s">
        <v>179</v>
      </c>
      <c r="X14" t="s">
        <v>179</v>
      </c>
      <c r="AL14" t="s">
        <v>179</v>
      </c>
      <c r="GY14" s="18"/>
    </row>
    <row r="15" spans="1:207" x14ac:dyDescent="0.25">
      <c r="K15" t="s">
        <v>456</v>
      </c>
      <c r="L15">
        <f>L7-250+L9</f>
        <v>1910</v>
      </c>
      <c r="X15" t="s">
        <v>456</v>
      </c>
      <c r="Y15">
        <f>Y7-250+Y9</f>
        <v>1910</v>
      </c>
      <c r="AL15" t="s">
        <v>456</v>
      </c>
      <c r="AM15">
        <f>AP7-250+AP9</f>
        <v>2270</v>
      </c>
      <c r="GY15" s="18"/>
    </row>
    <row r="16" spans="1:207" x14ac:dyDescent="0.25">
      <c r="K16" t="s">
        <v>5</v>
      </c>
      <c r="L16" t="s">
        <v>455</v>
      </c>
      <c r="X16" t="s">
        <v>5</v>
      </c>
      <c r="Y16" t="s">
        <v>455</v>
      </c>
      <c r="AL16" t="s">
        <v>5</v>
      </c>
      <c r="AM16" t="s">
        <v>455</v>
      </c>
      <c r="GY16" s="18"/>
    </row>
    <row r="17" spans="4:211" x14ac:dyDescent="0.25">
      <c r="GY17" s="18"/>
    </row>
    <row r="18" spans="4:211" x14ac:dyDescent="0.25">
      <c r="K18" t="s">
        <v>457</v>
      </c>
      <c r="L18" t="s">
        <v>458</v>
      </c>
      <c r="X18" t="s">
        <v>457</v>
      </c>
      <c r="Y18" t="s">
        <v>458</v>
      </c>
      <c r="AL18" t="s">
        <v>457</v>
      </c>
      <c r="AM18" t="s">
        <v>458</v>
      </c>
      <c r="CT18" s="7"/>
      <c r="DH18" s="7"/>
      <c r="DV18" s="7"/>
      <c r="EJ18" s="7"/>
      <c r="EX18" s="7"/>
      <c r="FL18" s="7"/>
      <c r="FZ18" s="7"/>
      <c r="GE18" s="7"/>
      <c r="GJ18" s="7"/>
      <c r="GN18" s="7"/>
      <c r="GY18" s="18"/>
    </row>
    <row r="19" spans="4:211" x14ac:dyDescent="0.25">
      <c r="D19" s="10" t="s">
        <v>55</v>
      </c>
      <c r="E19" t="s">
        <v>126</v>
      </c>
      <c r="Q19" s="10" t="s">
        <v>135</v>
      </c>
      <c r="R19" t="s">
        <v>126</v>
      </c>
      <c r="AE19" s="10" t="s">
        <v>165</v>
      </c>
      <c r="AF19" t="s">
        <v>126</v>
      </c>
      <c r="CT19" s="7"/>
      <c r="DH19" s="7"/>
      <c r="DV19" s="7"/>
      <c r="EJ19" s="7"/>
      <c r="EX19" s="7"/>
      <c r="FL19" s="7"/>
      <c r="FZ19" s="7"/>
      <c r="GE19" s="7"/>
      <c r="GJ19" s="7"/>
      <c r="GN19" s="7"/>
      <c r="GY19" s="18"/>
    </row>
    <row r="20" spans="4:211" x14ac:dyDescent="0.25">
      <c r="D20" s="25" t="s">
        <v>378</v>
      </c>
      <c r="E20">
        <v>1</v>
      </c>
      <c r="F20">
        <f>Index!$C$77</f>
        <v>2970</v>
      </c>
      <c r="G20">
        <f>F20</f>
        <v>2970</v>
      </c>
      <c r="H20" s="5">
        <f>E20*F20</f>
        <v>2970</v>
      </c>
      <c r="K20" t="s">
        <v>460</v>
      </c>
      <c r="L20">
        <v>4.7309999999999999</v>
      </c>
      <c r="M20" t="s">
        <v>71</v>
      </c>
      <c r="Q20" s="25" t="s">
        <v>378</v>
      </c>
      <c r="R20">
        <v>1</v>
      </c>
      <c r="S20">
        <f>Index!$C$78</f>
        <v>5604</v>
      </c>
      <c r="T20">
        <f>S20</f>
        <v>5604</v>
      </c>
      <c r="U20" s="5">
        <f>R20*S20</f>
        <v>5604</v>
      </c>
      <c r="X20" t="s">
        <v>460</v>
      </c>
      <c r="Y20">
        <v>8.8059999999999992</v>
      </c>
      <c r="Z20" t="s">
        <v>71</v>
      </c>
      <c r="AE20" s="25" t="s">
        <v>384</v>
      </c>
      <c r="AF20">
        <v>1</v>
      </c>
      <c r="AG20">
        <f>AG7</f>
        <v>8852.4</v>
      </c>
      <c r="AH20">
        <f>AG20</f>
        <v>8852.4</v>
      </c>
      <c r="AI20" s="5">
        <f>AF20*AG20</f>
        <v>8852.4</v>
      </c>
      <c r="AL20" t="s">
        <v>460</v>
      </c>
      <c r="AM20">
        <v>14.35</v>
      </c>
      <c r="AN20" t="s">
        <v>71</v>
      </c>
      <c r="FZ20" s="7"/>
      <c r="GE20" s="7"/>
      <c r="GJ20" s="7"/>
      <c r="GY20" s="18"/>
    </row>
    <row r="21" spans="4:211" x14ac:dyDescent="0.25">
      <c r="D21" t="s">
        <v>14</v>
      </c>
      <c r="E21">
        <f>L33</f>
        <v>17.025839999999999</v>
      </c>
      <c r="F21" s="7">
        <v>11.38</v>
      </c>
      <c r="G21" s="7">
        <f>F21*(1+$H$3)^3</f>
        <v>12.076547039999999</v>
      </c>
      <c r="H21" s="5">
        <f>E21*F21</f>
        <v>193.7540592</v>
      </c>
      <c r="Q21" t="s">
        <v>14</v>
      </c>
      <c r="R21">
        <f>Y33</f>
        <v>28.849340000000002</v>
      </c>
      <c r="S21">
        <f>Index!$C$69</f>
        <v>11.9580460758</v>
      </c>
      <c r="T21">
        <f>S21</f>
        <v>11.9580460758</v>
      </c>
      <c r="U21" s="5">
        <f>R21*S21</f>
        <v>344.98173697642</v>
      </c>
      <c r="AE21" t="s">
        <v>14</v>
      </c>
      <c r="AF21">
        <f>AP34</f>
        <v>52.616019999999999</v>
      </c>
      <c r="AG21">
        <f>Index!$C$69</f>
        <v>11.9580460758</v>
      </c>
      <c r="AH21">
        <f>AG21</f>
        <v>11.9580460758</v>
      </c>
      <c r="AI21" s="5">
        <f>AF21*AG21</f>
        <v>629.1847914852143</v>
      </c>
      <c r="FZ21" s="7"/>
      <c r="GE21" s="7"/>
      <c r="GJ21" s="7"/>
      <c r="GY21" s="18"/>
    </row>
    <row r="22" spans="4:211" x14ac:dyDescent="0.25">
      <c r="D22" t="s">
        <v>459</v>
      </c>
      <c r="E22">
        <f>ROUNDUP(L36,1)</f>
        <v>1</v>
      </c>
      <c r="F22" s="7">
        <v>36.718627421191144</v>
      </c>
      <c r="G22" s="7">
        <f>F22</f>
        <v>36.718627421191144</v>
      </c>
      <c r="H22" s="5">
        <f>E22*F22</f>
        <v>36.718627421191144</v>
      </c>
      <c r="K22" t="s">
        <v>461</v>
      </c>
      <c r="L22">
        <f>(L11/(L7+L9))*L15-L20</f>
        <v>9.9836400000000012</v>
      </c>
      <c r="M22" t="s">
        <v>71</v>
      </c>
      <c r="Q22" t="s">
        <v>459</v>
      </c>
      <c r="R22">
        <f>ROUNDUP(Y36,1)</f>
        <v>1.7000000000000002</v>
      </c>
      <c r="S22" s="7">
        <v>36.718627421191144</v>
      </c>
      <c r="T22" s="7">
        <f>S22</f>
        <v>36.718627421191144</v>
      </c>
      <c r="U22" s="5">
        <f>R22*S22</f>
        <v>62.42166661602495</v>
      </c>
      <c r="X22" t="s">
        <v>461</v>
      </c>
      <c r="Y22">
        <f>(Y11/(Y7+Y9))*Y15-Y20</f>
        <v>16.127139999999997</v>
      </c>
      <c r="Z22" t="s">
        <v>71</v>
      </c>
      <c r="AE22" t="s">
        <v>459</v>
      </c>
      <c r="AF22">
        <f>ROUNDUP(AM36,1)</f>
        <v>5.0999999999999996</v>
      </c>
      <c r="AG22" s="7">
        <v>36.718627421191144</v>
      </c>
      <c r="AH22" s="7">
        <f>AG22</f>
        <v>36.718627421191144</v>
      </c>
      <c r="AI22" s="5">
        <f>AF22*AG22</f>
        <v>187.26499984807481</v>
      </c>
      <c r="AL22" t="s">
        <v>461</v>
      </c>
      <c r="AM22">
        <f>(AP12/(AM7+AM9))*AM15-AM20</f>
        <v>38.606911071428563</v>
      </c>
      <c r="AN22" t="s">
        <v>71</v>
      </c>
      <c r="DR22" s="7"/>
      <c r="EF22" s="7"/>
      <c r="ET22" s="7"/>
      <c r="FH22" s="7"/>
      <c r="FV22" s="7"/>
      <c r="FZ22" s="7"/>
      <c r="GE22" s="7"/>
      <c r="GJ22" s="7"/>
      <c r="GY22" s="18"/>
    </row>
    <row r="23" spans="4:211" x14ac:dyDescent="0.25">
      <c r="D23" t="s">
        <v>151</v>
      </c>
      <c r="E23">
        <v>11</v>
      </c>
      <c r="F23">
        <f>Index!$C$53</f>
        <v>99.508928571428555</v>
      </c>
      <c r="G23">
        <f>F23</f>
        <v>99.508928571428555</v>
      </c>
      <c r="H23" s="5">
        <f>E23*F23</f>
        <v>1094.5982142857142</v>
      </c>
      <c r="Q23" t="s">
        <v>151</v>
      </c>
      <c r="R23">
        <f>Y40</f>
        <v>17.694092999999999</v>
      </c>
      <c r="S23">
        <f>Index!$C$53</f>
        <v>99.508928571428555</v>
      </c>
      <c r="T23">
        <f>S23</f>
        <v>99.508928571428555</v>
      </c>
      <c r="U23" s="5">
        <f>R23*S23</f>
        <v>1760.7202364732138</v>
      </c>
      <c r="AE23" t="s">
        <v>151</v>
      </c>
      <c r="AF23">
        <f>AM40</f>
        <v>41.324518285714284</v>
      </c>
      <c r="AG23">
        <f>Index!$C$53</f>
        <v>99.508928571428555</v>
      </c>
      <c r="AH23">
        <f>AG23</f>
        <v>99.508928571428555</v>
      </c>
      <c r="AI23" s="5">
        <f>AF23*AG23</f>
        <v>4112.158538341836</v>
      </c>
      <c r="DG23" s="3"/>
      <c r="DH23" s="3"/>
      <c r="DI23" s="3"/>
      <c r="DJ23" s="3"/>
      <c r="DK23" s="3"/>
      <c r="DU23" s="3"/>
      <c r="DV23" s="3"/>
      <c r="DW23" s="3"/>
      <c r="DX23" s="3"/>
      <c r="DY23" s="3"/>
      <c r="EI23" s="3"/>
      <c r="EJ23" s="3"/>
      <c r="EK23" s="3"/>
      <c r="EL23" s="3"/>
      <c r="EM23" s="3"/>
      <c r="EW23" s="3"/>
      <c r="EX23" s="3"/>
      <c r="EY23" s="3"/>
      <c r="EZ23" s="3"/>
      <c r="FA23" s="3"/>
      <c r="FK23" s="3"/>
      <c r="FL23" s="3"/>
      <c r="FM23" s="3"/>
      <c r="FN23" s="3"/>
      <c r="FO23" s="3"/>
      <c r="FZ23" s="7"/>
      <c r="GE23" s="7"/>
      <c r="GJ23" s="7"/>
      <c r="GY23" s="18"/>
    </row>
    <row r="24" spans="4:211" x14ac:dyDescent="0.25">
      <c r="D24" t="s">
        <v>112</v>
      </c>
      <c r="E24">
        <f>E10</f>
        <v>7.7039999999999997</v>
      </c>
      <c r="F24">
        <f>Index!$C$57</f>
        <v>2.0490500744999993</v>
      </c>
      <c r="G24">
        <f>F24</f>
        <v>2.0490500744999993</v>
      </c>
      <c r="H24" s="5">
        <f>E24*F24</f>
        <v>15.785881773947994</v>
      </c>
      <c r="K24" t="s">
        <v>62</v>
      </c>
      <c r="Q24" t="s">
        <v>112</v>
      </c>
      <c r="R24">
        <f>R10</f>
        <v>13.053999999999998</v>
      </c>
      <c r="S24">
        <f>Index!$C$57</f>
        <v>2.0490500744999993</v>
      </c>
      <c r="T24">
        <f>S24</f>
        <v>2.0490500744999993</v>
      </c>
      <c r="U24" s="5">
        <f>R24*S24</f>
        <v>26.74829967252299</v>
      </c>
      <c r="X24" t="s">
        <v>62</v>
      </c>
      <c r="AE24" t="s">
        <v>112</v>
      </c>
      <c r="AF24">
        <f>AF10</f>
        <v>8.7739999999999991</v>
      </c>
      <c r="AG24">
        <f>Index!$C$57</f>
        <v>2.0490500744999993</v>
      </c>
      <c r="AH24">
        <f>AG24</f>
        <v>2.0490500744999993</v>
      </c>
      <c r="AI24" s="5">
        <f>AF24*AG24</f>
        <v>17.978365353662991</v>
      </c>
      <c r="AL24" t="s">
        <v>62</v>
      </c>
      <c r="AO24" t="s">
        <v>62</v>
      </c>
      <c r="AP24" t="s">
        <v>482</v>
      </c>
      <c r="FZ24" s="7"/>
      <c r="GE24" s="7"/>
      <c r="GJ24" s="7"/>
      <c r="GY24" s="18"/>
    </row>
    <row r="25" spans="4:211" x14ac:dyDescent="0.25">
      <c r="K25" t="s">
        <v>129</v>
      </c>
      <c r="X25" t="s">
        <v>129</v>
      </c>
      <c r="AL25" t="s">
        <v>129</v>
      </c>
      <c r="AO25" t="s">
        <v>128</v>
      </c>
      <c r="FZ25" s="7"/>
      <c r="GE25" s="7"/>
      <c r="GJ25" s="7"/>
    </row>
    <row r="26" spans="4:211" x14ac:dyDescent="0.25">
      <c r="D26" s="3" t="s">
        <v>58</v>
      </c>
      <c r="E26" s="3"/>
      <c r="F26" s="3"/>
      <c r="G26" s="3"/>
      <c r="H26" s="38">
        <f>SUM(H20:H24)</f>
        <v>4310.856782680853</v>
      </c>
      <c r="K26" t="s">
        <v>150</v>
      </c>
      <c r="L26">
        <v>3100</v>
      </c>
      <c r="Q26" s="3" t="s">
        <v>58</v>
      </c>
      <c r="R26" s="3"/>
      <c r="S26" s="3"/>
      <c r="T26" s="3"/>
      <c r="U26" s="38">
        <f>SUM(U20:U24)</f>
        <v>7798.871939738181</v>
      </c>
      <c r="X26" t="s">
        <v>150</v>
      </c>
      <c r="Y26">
        <f>Y5</f>
        <v>5600</v>
      </c>
      <c r="AE26" s="3" t="s">
        <v>58</v>
      </c>
      <c r="AF26" s="3"/>
      <c r="AG26" s="3"/>
      <c r="AH26" s="3"/>
      <c r="AI26" s="38">
        <f>SUM(AI20:AI24)</f>
        <v>13798.986695028789</v>
      </c>
      <c r="AL26" t="s">
        <v>150</v>
      </c>
      <c r="AM26">
        <f>[2]SAF!D69</f>
        <v>3600</v>
      </c>
      <c r="AO26" t="s">
        <v>150</v>
      </c>
      <c r="AP26">
        <v>5600</v>
      </c>
      <c r="FZ26" s="7"/>
      <c r="GE26" s="7"/>
      <c r="GJ26" s="7"/>
      <c r="HC26">
        <v>4245.1869418195101</v>
      </c>
    </row>
    <row r="27" spans="4:211" x14ac:dyDescent="0.25">
      <c r="K27" t="s">
        <v>454</v>
      </c>
      <c r="L27">
        <v>1640</v>
      </c>
      <c r="X27" t="s">
        <v>454</v>
      </c>
      <c r="Y27">
        <v>1640</v>
      </c>
      <c r="AL27" t="s">
        <v>454</v>
      </c>
      <c r="AM27">
        <v>1640</v>
      </c>
      <c r="AO27" t="s">
        <v>454</v>
      </c>
      <c r="AP27">
        <v>1640</v>
      </c>
      <c r="FZ27" s="7"/>
      <c r="GE27" s="7"/>
      <c r="GJ27" s="7"/>
      <c r="HC27">
        <v>5631.727546687036</v>
      </c>
    </row>
    <row r="28" spans="4:211" x14ac:dyDescent="0.25">
      <c r="K28" t="s">
        <v>145</v>
      </c>
      <c r="L28">
        <v>1910</v>
      </c>
      <c r="X28" t="s">
        <v>145</v>
      </c>
      <c r="Y28">
        <v>1910</v>
      </c>
      <c r="AL28" t="s">
        <v>145</v>
      </c>
      <c r="AM28">
        <v>1910</v>
      </c>
      <c r="AO28" t="s">
        <v>145</v>
      </c>
      <c r="AP28">
        <v>2270</v>
      </c>
      <c r="FZ28" s="7"/>
      <c r="GE28" s="7"/>
      <c r="GJ28" s="7"/>
      <c r="HC28">
        <v>9414.1358495039858</v>
      </c>
    </row>
    <row r="29" spans="4:211" x14ac:dyDescent="0.25">
      <c r="FZ29" s="7"/>
      <c r="GE29" s="7"/>
      <c r="GJ29" s="7"/>
      <c r="HC29">
        <v>11147.893550054849</v>
      </c>
    </row>
    <row r="30" spans="4:211" x14ac:dyDescent="0.25">
      <c r="K30" t="s">
        <v>67</v>
      </c>
      <c r="L30">
        <v>250</v>
      </c>
      <c r="M30" t="s">
        <v>64</v>
      </c>
      <c r="X30" t="s">
        <v>67</v>
      </c>
      <c r="Y30">
        <v>250</v>
      </c>
      <c r="Z30" t="s">
        <v>64</v>
      </c>
      <c r="AL30" t="s">
        <v>67</v>
      </c>
      <c r="AM30">
        <v>250</v>
      </c>
      <c r="AN30" t="s">
        <v>64</v>
      </c>
      <c r="AO30" t="s">
        <v>67</v>
      </c>
      <c r="AP30">
        <v>250</v>
      </c>
      <c r="AQ30" s="18" t="s">
        <v>64</v>
      </c>
      <c r="FZ30" s="7"/>
      <c r="GE30" s="7"/>
      <c r="GJ30" s="7"/>
      <c r="HC30">
        <v>14890.228116863669</v>
      </c>
    </row>
    <row r="31" spans="4:211" x14ac:dyDescent="0.25">
      <c r="K31" t="s">
        <v>462</v>
      </c>
      <c r="L31">
        <v>300</v>
      </c>
      <c r="M31" t="s">
        <v>64</v>
      </c>
      <c r="X31" t="s">
        <v>462</v>
      </c>
      <c r="Y31">
        <v>300</v>
      </c>
      <c r="Z31" t="s">
        <v>64</v>
      </c>
      <c r="AL31" t="s">
        <v>462</v>
      </c>
      <c r="AM31">
        <v>300</v>
      </c>
      <c r="AN31" t="s">
        <v>64</v>
      </c>
      <c r="DG31" s="3"/>
      <c r="DH31" s="3"/>
      <c r="DI31" s="3"/>
      <c r="DJ31" s="3"/>
      <c r="DK31" s="3"/>
      <c r="DU31" s="3"/>
      <c r="DV31" s="3"/>
      <c r="DW31" s="3"/>
      <c r="DX31" s="3"/>
      <c r="DY31" s="3"/>
      <c r="EI31" s="3"/>
      <c r="EJ31" s="3"/>
      <c r="EK31" s="3"/>
      <c r="EL31" s="3"/>
      <c r="EM31" s="3"/>
      <c r="EW31" s="3"/>
      <c r="EX31" s="3"/>
      <c r="EY31" s="3"/>
      <c r="EZ31" s="3"/>
      <c r="FA31" s="3"/>
      <c r="FK31" s="3"/>
      <c r="FL31" s="3"/>
      <c r="FM31" s="3"/>
      <c r="FN31" s="3"/>
      <c r="FO31" s="3"/>
      <c r="FZ31" s="7"/>
      <c r="GE31" s="7"/>
      <c r="GJ31" s="7"/>
      <c r="HC31">
        <v>32520.273411535032</v>
      </c>
    </row>
    <row r="32" spans="4:211" x14ac:dyDescent="0.25">
      <c r="FZ32" s="7"/>
      <c r="GE32" s="7"/>
      <c r="GJ32" s="7"/>
      <c r="HC32">
        <v>44198.323095443287</v>
      </c>
    </row>
    <row r="33" spans="1:193" x14ac:dyDescent="0.25">
      <c r="K33" t="s">
        <v>125</v>
      </c>
      <c r="L33">
        <f>((L26+L30*2)*(L27+L30*2)*(L28+L31))/10^9</f>
        <v>17.025839999999999</v>
      </c>
      <c r="M33" t="s">
        <v>71</v>
      </c>
      <c r="X33" t="s">
        <v>125</v>
      </c>
      <c r="Y33">
        <f>((Y26+Y30*2)*(Y27+Y30*2)*(Y28+Y31))/10^9</f>
        <v>28.849340000000002</v>
      </c>
      <c r="Z33" t="s">
        <v>71</v>
      </c>
      <c r="AL33" t="s">
        <v>125</v>
      </c>
      <c r="AM33">
        <f>((AM26+AM30*2)*(AM27+AM30*2)*(AM28+AM31))/10^9</f>
        <v>19.390540000000001</v>
      </c>
      <c r="AN33" t="s">
        <v>71</v>
      </c>
      <c r="AO33" t="s">
        <v>483</v>
      </c>
      <c r="AP33">
        <f>((AP26+AP30*2)*(AP27+AP30*2-100)*(AP28+AM31+100))/10^9</f>
        <v>33.225479999999997</v>
      </c>
      <c r="AQ33" s="18" t="s">
        <v>71</v>
      </c>
      <c r="FZ33" s="7"/>
      <c r="GE33" s="7"/>
      <c r="GJ33" s="7"/>
    </row>
    <row r="34" spans="1:193" x14ac:dyDescent="0.25">
      <c r="AO34" t="s">
        <v>125</v>
      </c>
      <c r="AP34">
        <f>AP33+AM33</f>
        <v>52.616019999999999</v>
      </c>
      <c r="FZ34" s="7"/>
      <c r="GE34" s="7"/>
      <c r="GJ34" s="7"/>
    </row>
    <row r="35" spans="1:193" x14ac:dyDescent="0.25">
      <c r="K35" t="s">
        <v>179</v>
      </c>
      <c r="X35" t="s">
        <v>179</v>
      </c>
      <c r="AL35" t="s">
        <v>179</v>
      </c>
      <c r="FZ35" s="7"/>
      <c r="GE35" s="7"/>
      <c r="GJ35" s="7"/>
    </row>
    <row r="36" spans="1:193" x14ac:dyDescent="0.25">
      <c r="K36" t="s">
        <v>455</v>
      </c>
      <c r="L36">
        <f>(L26+L30)*(L27+L30)*(50+100)/10^9</f>
        <v>0.94972500000000004</v>
      </c>
      <c r="M36" t="s">
        <v>71</v>
      </c>
      <c r="X36" t="s">
        <v>455</v>
      </c>
      <c r="Y36">
        <f>(Y26+Y30)*(Y27+Y30)*(50+100)/10^9</f>
        <v>1.6584749999999999</v>
      </c>
      <c r="Z36" t="s">
        <v>71</v>
      </c>
      <c r="AL36" t="s">
        <v>455</v>
      </c>
      <c r="AM36">
        <f>(AM26+AM30+AP26)*(AM27+AM30+AP27)*(50+100)/10^9</f>
        <v>5.0037750000000001</v>
      </c>
      <c r="AN36" t="s">
        <v>71</v>
      </c>
      <c r="FZ36" s="7"/>
      <c r="GE36" s="7"/>
      <c r="GJ36" s="7"/>
    </row>
    <row r="37" spans="1:193" x14ac:dyDescent="0.25">
      <c r="FZ37" s="7"/>
      <c r="GE37" s="7"/>
      <c r="GJ37" s="7"/>
    </row>
    <row r="38" spans="1:193" x14ac:dyDescent="0.25">
      <c r="K38" t="s">
        <v>461</v>
      </c>
      <c r="L38">
        <f>(L22/250)*300</f>
        <v>11.980368000000002</v>
      </c>
      <c r="X38" t="s">
        <v>461</v>
      </c>
      <c r="Y38">
        <f>(Y22/250)*300</f>
        <v>19.352567999999998</v>
      </c>
      <c r="AL38" t="s">
        <v>461</v>
      </c>
      <c r="AM38">
        <f>(AM22/250)*300</f>
        <v>46.328293285714281</v>
      </c>
      <c r="FZ38" s="7"/>
      <c r="GE38" s="7"/>
      <c r="GJ38" s="7"/>
    </row>
    <row r="39" spans="1:193" x14ac:dyDescent="0.25">
      <c r="FZ39" s="7"/>
      <c r="GE39" s="7"/>
      <c r="GJ39" s="7"/>
    </row>
    <row r="40" spans="1:193" x14ac:dyDescent="0.25">
      <c r="K40" t="s">
        <v>100</v>
      </c>
      <c r="L40">
        <f>L38-L36</f>
        <v>11.030643000000001</v>
      </c>
      <c r="M40" t="s">
        <v>71</v>
      </c>
      <c r="X40" t="s">
        <v>100</v>
      </c>
      <c r="Y40">
        <f>Y38-Y36</f>
        <v>17.694092999999999</v>
      </c>
      <c r="Z40" t="s">
        <v>71</v>
      </c>
      <c r="AL40" t="s">
        <v>100</v>
      </c>
      <c r="AM40">
        <f>AM38-AM36</f>
        <v>41.324518285714284</v>
      </c>
      <c r="AN40" t="s">
        <v>71</v>
      </c>
      <c r="DG40" s="3"/>
      <c r="DH40" s="3"/>
      <c r="DI40" s="3"/>
      <c r="DJ40" s="3"/>
      <c r="DK40" s="3"/>
      <c r="DN40" s="3"/>
      <c r="DO40" s="3"/>
      <c r="DP40" s="3"/>
      <c r="DQ40" s="3"/>
      <c r="DR40" s="3"/>
      <c r="DU40" s="3"/>
      <c r="DV40" s="3"/>
      <c r="DW40" s="3"/>
      <c r="DX40" s="3"/>
      <c r="DY40" s="3"/>
      <c r="EB40" s="3"/>
      <c r="EC40" s="3"/>
      <c r="ED40" s="3"/>
      <c r="EE40" s="3"/>
      <c r="EF40" s="3"/>
      <c r="EI40" s="3"/>
      <c r="EJ40" s="3"/>
      <c r="EK40" s="3"/>
      <c r="EL40" s="3"/>
      <c r="EM40" s="3"/>
      <c r="EP40" s="3"/>
      <c r="EQ40" s="3"/>
      <c r="ER40" s="3"/>
      <c r="ES40" s="3"/>
      <c r="ET40" s="3"/>
      <c r="EW40" s="3"/>
      <c r="EX40" s="3"/>
      <c r="EY40" s="3"/>
      <c r="EZ40" s="3"/>
      <c r="FA40" s="3"/>
      <c r="FD40" s="3"/>
      <c r="FE40" s="3"/>
      <c r="FF40" s="3"/>
      <c r="FG40" s="3"/>
      <c r="FH40" s="3"/>
      <c r="FK40" s="3"/>
      <c r="FL40" s="3"/>
      <c r="FM40" s="3"/>
      <c r="FN40" s="3"/>
      <c r="FO40" s="3"/>
      <c r="FR40" s="3"/>
      <c r="FS40" s="3"/>
      <c r="FT40" s="3"/>
      <c r="FU40" s="3"/>
      <c r="FV40" s="3"/>
      <c r="FZ40" s="7"/>
      <c r="GE40" s="7"/>
      <c r="GJ40" s="7"/>
    </row>
    <row r="48" spans="1:193" s="3" customFormat="1" ht="18.75" x14ac:dyDescent="0.3">
      <c r="A48" s="17" t="s">
        <v>217</v>
      </c>
      <c r="O48" s="20"/>
      <c r="AC48" s="20"/>
      <c r="AQ48" s="20"/>
      <c r="BD48" s="20"/>
      <c r="BQ48" s="20"/>
      <c r="CD48" s="20"/>
      <c r="CQ48" s="20"/>
      <c r="DE48" s="20"/>
      <c r="DS48" s="20"/>
      <c r="EG48" s="20"/>
      <c r="EU48" s="20"/>
      <c r="FI48" s="20"/>
      <c r="FW48" s="20"/>
      <c r="GK48" s="20"/>
    </row>
    <row r="49" spans="4:85" x14ac:dyDescent="0.25">
      <c r="D49" t="s">
        <v>217</v>
      </c>
      <c r="Q49" t="s">
        <v>217</v>
      </c>
      <c r="AE49" t="s">
        <v>217</v>
      </c>
      <c r="AS49" t="s">
        <v>217</v>
      </c>
      <c r="BF49" t="s">
        <v>217</v>
      </c>
      <c r="BS49" t="s">
        <v>217</v>
      </c>
      <c r="CF49" t="s">
        <v>217</v>
      </c>
    </row>
    <row r="51" spans="4:85" x14ac:dyDescent="0.25">
      <c r="D51" t="s">
        <v>150</v>
      </c>
      <c r="E51">
        <f>(L26+L30*2)/10^3</f>
        <v>3.6</v>
      </c>
      <c r="Q51" t="s">
        <v>150</v>
      </c>
      <c r="R51">
        <f>(Y26+Y30*2)/10^3</f>
        <v>6.1</v>
      </c>
      <c r="AE51" t="s">
        <v>150</v>
      </c>
      <c r="AF51">
        <f>(AM26+AP26+AM30*2)/10^3</f>
        <v>9.6999999999999993</v>
      </c>
      <c r="AS51" t="s">
        <v>150</v>
      </c>
      <c r="AT51">
        <f>(BA5+BA9*2)/10^3</f>
        <v>7.8</v>
      </c>
      <c r="BF51" t="s">
        <v>150</v>
      </c>
      <c r="BG51">
        <f>(BN5+BN9*2)/10^3</f>
        <v>10.8</v>
      </c>
      <c r="BS51" t="s">
        <v>150</v>
      </c>
      <c r="BT51">
        <f>(CA5+CA9*2)/10^3</f>
        <v>11.37</v>
      </c>
      <c r="CF51" t="s">
        <v>150</v>
      </c>
      <c r="CG51">
        <f>(CN5+CN9*2)/10^3</f>
        <v>13.6</v>
      </c>
    </row>
    <row r="52" spans="4:85" x14ac:dyDescent="0.25">
      <c r="D52" t="s">
        <v>116</v>
      </c>
      <c r="E52">
        <f>(L27+L30*2)/10^3</f>
        <v>2.14</v>
      </c>
      <c r="Q52" t="s">
        <v>116</v>
      </c>
      <c r="R52">
        <f>(Y27+Y30*2)/10^3</f>
        <v>2.14</v>
      </c>
      <c r="AE52" t="s">
        <v>116</v>
      </c>
      <c r="AF52">
        <f>(AM27+AP27+AM30*2)/10^3</f>
        <v>3.78</v>
      </c>
      <c r="AS52" t="s">
        <v>116</v>
      </c>
      <c r="AT52">
        <f>(BA6+BA9*2)/10^3</f>
        <v>2.4239999999999999</v>
      </c>
      <c r="BF52" t="s">
        <v>116</v>
      </c>
      <c r="BG52">
        <f>(BN6+BN9*2)/10^3</f>
        <v>2.8239999999999998</v>
      </c>
      <c r="BS52" t="s">
        <v>116</v>
      </c>
      <c r="BT52">
        <f>(CA6+CA9*2)/10^3</f>
        <v>3.1</v>
      </c>
      <c r="CF52" t="s">
        <v>116</v>
      </c>
      <c r="CG52">
        <f>(CN6+CN9*2)/10^3</f>
        <v>3.1</v>
      </c>
    </row>
    <row r="54" spans="4:85" x14ac:dyDescent="0.25">
      <c r="D54" t="s">
        <v>125</v>
      </c>
      <c r="Q54" t="s">
        <v>125</v>
      </c>
      <c r="AE54" t="s">
        <v>125</v>
      </c>
      <c r="AS54" t="s">
        <v>125</v>
      </c>
      <c r="BF54" t="s">
        <v>125</v>
      </c>
      <c r="BS54" t="s">
        <v>125</v>
      </c>
      <c r="CF54" t="s">
        <v>125</v>
      </c>
    </row>
    <row r="55" spans="4:85" x14ac:dyDescent="0.25">
      <c r="D55" t="s">
        <v>245</v>
      </c>
      <c r="E55">
        <f>E51</f>
        <v>3.6</v>
      </c>
      <c r="Q55" t="s">
        <v>245</v>
      </c>
      <c r="R55">
        <f>R51</f>
        <v>6.1</v>
      </c>
      <c r="AE55" t="s">
        <v>245</v>
      </c>
      <c r="AF55">
        <f>AF51</f>
        <v>9.6999999999999993</v>
      </c>
      <c r="AS55" t="s">
        <v>245</v>
      </c>
      <c r="AT55">
        <f>AT51</f>
        <v>7.8</v>
      </c>
      <c r="BF55" t="s">
        <v>245</v>
      </c>
      <c r="BG55">
        <f>BG51</f>
        <v>10.8</v>
      </c>
      <c r="BS55" t="s">
        <v>245</v>
      </c>
      <c r="BT55">
        <f>BT51</f>
        <v>11.37</v>
      </c>
      <c r="CF55" t="s">
        <v>245</v>
      </c>
      <c r="CG55">
        <f>CG51</f>
        <v>13.6</v>
      </c>
    </row>
    <row r="56" spans="4:85" x14ac:dyDescent="0.25">
      <c r="D56" t="s">
        <v>116</v>
      </c>
      <c r="E56">
        <f>E52</f>
        <v>2.14</v>
      </c>
      <c r="Q56" t="s">
        <v>116</v>
      </c>
      <c r="R56">
        <f>R52</f>
        <v>2.14</v>
      </c>
      <c r="AE56" t="s">
        <v>116</v>
      </c>
      <c r="AF56">
        <f>AF52</f>
        <v>3.78</v>
      </c>
      <c r="AS56" t="s">
        <v>116</v>
      </c>
      <c r="AT56">
        <f>AT52</f>
        <v>2.4239999999999999</v>
      </c>
      <c r="BF56" t="s">
        <v>116</v>
      </c>
      <c r="BG56">
        <f>BG52</f>
        <v>2.8239999999999998</v>
      </c>
      <c r="BS56" t="s">
        <v>116</v>
      </c>
      <c r="BT56">
        <f>BT52</f>
        <v>3.1</v>
      </c>
      <c r="CF56" t="s">
        <v>116</v>
      </c>
      <c r="CG56">
        <f>CG52</f>
        <v>3.1</v>
      </c>
    </row>
    <row r="58" spans="4:85" x14ac:dyDescent="0.25">
      <c r="D58" t="s">
        <v>250</v>
      </c>
      <c r="Q58" t="s">
        <v>250</v>
      </c>
      <c r="AE58" t="s">
        <v>250</v>
      </c>
      <c r="AS58" t="s">
        <v>250</v>
      </c>
      <c r="BF58" t="s">
        <v>250</v>
      </c>
      <c r="BS58" t="s">
        <v>250</v>
      </c>
      <c r="CF58" t="s">
        <v>250</v>
      </c>
    </row>
    <row r="59" spans="4:85" x14ac:dyDescent="0.25">
      <c r="D59" t="s">
        <v>245</v>
      </c>
      <c r="E59">
        <f>ROUNDUP((E55/2.75),0)</f>
        <v>2</v>
      </c>
      <c r="Q59" t="s">
        <v>245</v>
      </c>
      <c r="R59">
        <f>ROUNDUP((R55/2.75),0)</f>
        <v>3</v>
      </c>
      <c r="AE59" t="s">
        <v>245</v>
      </c>
      <c r="AF59">
        <f>ROUNDUP((AF55/2.75),0)</f>
        <v>4</v>
      </c>
      <c r="AS59" t="s">
        <v>245</v>
      </c>
      <c r="AT59">
        <f>ROUNDUP((AT55/2.75),0)</f>
        <v>3</v>
      </c>
      <c r="BF59" t="s">
        <v>245</v>
      </c>
      <c r="BG59">
        <f>ROUNDUP((BG55/2.75),0)</f>
        <v>4</v>
      </c>
      <c r="BS59" t="s">
        <v>245</v>
      </c>
      <c r="BT59">
        <f>ROUNDUP((BT55/2.75),0)</f>
        <v>5</v>
      </c>
      <c r="CF59" t="s">
        <v>245</v>
      </c>
      <c r="CG59">
        <f>ROUNDUP((CG55/2.75),0)</f>
        <v>5</v>
      </c>
    </row>
    <row r="60" spans="4:85" x14ac:dyDescent="0.25">
      <c r="D60" t="s">
        <v>116</v>
      </c>
      <c r="E60">
        <f>ROUNDUP((E56/2.75),0)</f>
        <v>1</v>
      </c>
      <c r="Q60" t="s">
        <v>116</v>
      </c>
      <c r="R60">
        <f>ROUNDUP((R56/2.75),0)</f>
        <v>1</v>
      </c>
      <c r="AE60" t="s">
        <v>116</v>
      </c>
      <c r="AF60">
        <f>ROUNDUP((AF56/2.75),0)</f>
        <v>2</v>
      </c>
      <c r="AS60" t="s">
        <v>116</v>
      </c>
      <c r="AT60">
        <f>ROUNDUP((AT56/2.75),0)</f>
        <v>1</v>
      </c>
      <c r="BF60" t="s">
        <v>116</v>
      </c>
      <c r="BG60">
        <f>ROUNDUP((BG56/2.75),0)</f>
        <v>2</v>
      </c>
      <c r="BS60" t="s">
        <v>116</v>
      </c>
      <c r="BT60">
        <f>ROUNDUP((BT56/2.75),0)</f>
        <v>2</v>
      </c>
      <c r="CF60" t="s">
        <v>116</v>
      </c>
      <c r="CG60">
        <f>ROUNDUP((CG56/2.75),0)</f>
        <v>2</v>
      </c>
    </row>
    <row r="62" spans="4:85" x14ac:dyDescent="0.25">
      <c r="D62" t="s">
        <v>251</v>
      </c>
      <c r="Q62" t="s">
        <v>251</v>
      </c>
      <c r="AE62" t="s">
        <v>251</v>
      </c>
      <c r="AS62" t="s">
        <v>251</v>
      </c>
      <c r="BF62" t="s">
        <v>251</v>
      </c>
      <c r="BS62" t="s">
        <v>251</v>
      </c>
      <c r="CF62" t="s">
        <v>251</v>
      </c>
    </row>
    <row r="63" spans="4:85" x14ac:dyDescent="0.25">
      <c r="D63" t="s">
        <v>245</v>
      </c>
      <c r="E63">
        <f>(E59*2.75)-E55</f>
        <v>1.9</v>
      </c>
      <c r="Q63" t="s">
        <v>245</v>
      </c>
      <c r="R63">
        <f>(R59*2.75)-R55</f>
        <v>2.1500000000000004</v>
      </c>
      <c r="AE63" t="s">
        <v>245</v>
      </c>
      <c r="AF63">
        <f>(AF59*2.75)-AF55</f>
        <v>1.3000000000000007</v>
      </c>
      <c r="AS63" t="s">
        <v>245</v>
      </c>
      <c r="AT63">
        <f>(AT59*2.75)-AT55</f>
        <v>0.45000000000000018</v>
      </c>
      <c r="BF63" t="s">
        <v>245</v>
      </c>
      <c r="BG63">
        <f>(BG59*2.75)-BG55</f>
        <v>0.19999999999999929</v>
      </c>
      <c r="BS63" t="s">
        <v>245</v>
      </c>
      <c r="BT63">
        <f>(BT59*2.75)-BT55</f>
        <v>2.3800000000000008</v>
      </c>
      <c r="CF63" t="s">
        <v>245</v>
      </c>
      <c r="CG63">
        <f>(CG59*2.75)-CG55</f>
        <v>0.15000000000000036</v>
      </c>
    </row>
    <row r="64" spans="4:85" x14ac:dyDescent="0.25">
      <c r="D64" t="s">
        <v>116</v>
      </c>
      <c r="E64">
        <f>(E60*2.75)-E56</f>
        <v>0.60999999999999988</v>
      </c>
      <c r="Q64" t="s">
        <v>116</v>
      </c>
      <c r="R64">
        <f>(R60*2.75)-R56</f>
        <v>0.60999999999999988</v>
      </c>
      <c r="AE64" t="s">
        <v>116</v>
      </c>
      <c r="AF64">
        <f>(AF60*2.75)-AF56</f>
        <v>1.7200000000000002</v>
      </c>
      <c r="AS64" t="s">
        <v>116</v>
      </c>
      <c r="AT64">
        <f>(AT60*2.75)-AT56</f>
        <v>0.32600000000000007</v>
      </c>
      <c r="BF64" t="s">
        <v>116</v>
      </c>
      <c r="BG64">
        <f>(BG60*2.75)-BG56</f>
        <v>2.6760000000000002</v>
      </c>
      <c r="BS64" t="s">
        <v>116</v>
      </c>
      <c r="BT64">
        <f>(BT60*2.75)-BT56</f>
        <v>2.4</v>
      </c>
      <c r="CF64" t="s">
        <v>116</v>
      </c>
      <c r="CG64">
        <f>(CG60*2.75)-CG56</f>
        <v>2.4</v>
      </c>
    </row>
    <row r="66" spans="4:85" x14ac:dyDescent="0.25">
      <c r="E66">
        <f>E63/2</f>
        <v>0.95</v>
      </c>
      <c r="R66">
        <f>R63/2</f>
        <v>1.0750000000000002</v>
      </c>
      <c r="AF66">
        <f>AF63/2</f>
        <v>0.65000000000000036</v>
      </c>
      <c r="AT66">
        <f>AT63/2</f>
        <v>0.22500000000000009</v>
      </c>
      <c r="BG66">
        <f>BG63/2</f>
        <v>9.9999999999999645E-2</v>
      </c>
      <c r="BT66">
        <f>BT63/2</f>
        <v>1.1900000000000004</v>
      </c>
      <c r="CG66">
        <f>CG63/2</f>
        <v>7.5000000000000178E-2</v>
      </c>
    </row>
    <row r="67" spans="4:85" x14ac:dyDescent="0.25">
      <c r="E67">
        <f>E64/2</f>
        <v>0.30499999999999994</v>
      </c>
      <c r="R67">
        <f>R64/2</f>
        <v>0.30499999999999994</v>
      </c>
      <c r="AF67">
        <f>AF64/2</f>
        <v>0.8600000000000001</v>
      </c>
      <c r="AT67">
        <f>AT64/2</f>
        <v>0.16300000000000003</v>
      </c>
      <c r="BG67">
        <f>BG64/2</f>
        <v>1.3380000000000001</v>
      </c>
      <c r="BT67">
        <f>BT64/2</f>
        <v>1.2</v>
      </c>
      <c r="CG67">
        <f>CG64/2</f>
        <v>1.2</v>
      </c>
    </row>
    <row r="68" spans="4:85" x14ac:dyDescent="0.25">
      <c r="D68" t="s">
        <v>254</v>
      </c>
      <c r="Q68" t="s">
        <v>254</v>
      </c>
      <c r="AE68" t="s">
        <v>254</v>
      </c>
      <c r="AS68" t="s">
        <v>254</v>
      </c>
      <c r="BF68" t="s">
        <v>254</v>
      </c>
      <c r="BS68" t="s">
        <v>254</v>
      </c>
      <c r="CF68" t="s">
        <v>254</v>
      </c>
    </row>
    <row r="69" spans="4:85" x14ac:dyDescent="0.25">
      <c r="D69" t="s">
        <v>245</v>
      </c>
      <c r="E69">
        <f>E59+1</f>
        <v>3</v>
      </c>
      <c r="Q69" t="s">
        <v>245</v>
      </c>
      <c r="R69">
        <f>R59+1</f>
        <v>4</v>
      </c>
      <c r="AE69" t="s">
        <v>245</v>
      </c>
      <c r="AF69">
        <f>AF59+1</f>
        <v>5</v>
      </c>
      <c r="AS69" t="s">
        <v>245</v>
      </c>
      <c r="AT69">
        <f>AT59+1</f>
        <v>4</v>
      </c>
      <c r="BF69" t="s">
        <v>245</v>
      </c>
      <c r="BG69">
        <f>BG59+1</f>
        <v>5</v>
      </c>
      <c r="BS69" t="s">
        <v>245</v>
      </c>
      <c r="BT69">
        <f>BT59+1</f>
        <v>6</v>
      </c>
      <c r="CF69" t="s">
        <v>245</v>
      </c>
      <c r="CG69">
        <f>CG59+1</f>
        <v>6</v>
      </c>
    </row>
    <row r="70" spans="4:85" x14ac:dyDescent="0.25">
      <c r="D70" t="s">
        <v>116</v>
      </c>
      <c r="E70">
        <f>E60+1</f>
        <v>2</v>
      </c>
      <c r="Q70" t="s">
        <v>116</v>
      </c>
      <c r="R70">
        <f>R60+1</f>
        <v>2</v>
      </c>
      <c r="AE70" t="s">
        <v>116</v>
      </c>
      <c r="AF70">
        <f>AF60+1</f>
        <v>3</v>
      </c>
      <c r="AS70" t="s">
        <v>116</v>
      </c>
      <c r="AT70">
        <f>AT60+1</f>
        <v>2</v>
      </c>
      <c r="BF70" t="s">
        <v>116</v>
      </c>
      <c r="BG70">
        <f>BG60+1</f>
        <v>3</v>
      </c>
      <c r="BS70" t="s">
        <v>116</v>
      </c>
      <c r="BT70">
        <f>BT60+1</f>
        <v>3</v>
      </c>
      <c r="CF70" t="s">
        <v>116</v>
      </c>
      <c r="CG70">
        <f>CG60+1</f>
        <v>3</v>
      </c>
    </row>
    <row r="72" spans="4:85" x14ac:dyDescent="0.25">
      <c r="D72" t="s">
        <v>125</v>
      </c>
      <c r="E72">
        <f>(E69*2-1)+E70*2</f>
        <v>9</v>
      </c>
      <c r="Q72" t="s">
        <v>125</v>
      </c>
      <c r="R72">
        <f>(R69*2-1)+R70*2</f>
        <v>11</v>
      </c>
      <c r="AE72" t="s">
        <v>125</v>
      </c>
      <c r="AF72">
        <f>(AF69*2-1)+AF70*2</f>
        <v>15</v>
      </c>
      <c r="AS72" t="s">
        <v>125</v>
      </c>
      <c r="AT72">
        <f>(AT69*2-1)+AT70*2</f>
        <v>11</v>
      </c>
      <c r="BF72" t="s">
        <v>125</v>
      </c>
      <c r="BG72">
        <f>(BG69*2-1)+BG70*2</f>
        <v>15</v>
      </c>
      <c r="BS72" t="s">
        <v>125</v>
      </c>
      <c r="BT72">
        <f>(BT69*2-1)+BT70*2</f>
        <v>17</v>
      </c>
      <c r="CF72" t="s">
        <v>125</v>
      </c>
      <c r="CG72">
        <f>(CG69*2-1)+CG70*2</f>
        <v>17</v>
      </c>
    </row>
    <row r="74" spans="4:85" x14ac:dyDescent="0.25">
      <c r="D74" t="s">
        <v>255</v>
      </c>
      <c r="E74">
        <v>1</v>
      </c>
      <c r="Q74" t="s">
        <v>255</v>
      </c>
      <c r="R74">
        <v>1</v>
      </c>
      <c r="AE74" t="s">
        <v>255</v>
      </c>
      <c r="AF74">
        <v>1</v>
      </c>
      <c r="AS74" t="s">
        <v>255</v>
      </c>
      <c r="AT74">
        <v>1</v>
      </c>
      <c r="BF74" t="s">
        <v>255</v>
      </c>
      <c r="BG74">
        <v>1</v>
      </c>
      <c r="BS74" t="s">
        <v>255</v>
      </c>
      <c r="BT74">
        <v>1</v>
      </c>
      <c r="CF74" t="s">
        <v>255</v>
      </c>
      <c r="CG74">
        <v>1</v>
      </c>
    </row>
    <row r="75" spans="4:85" x14ac:dyDescent="0.25">
      <c r="D75" s="10" t="s">
        <v>263</v>
      </c>
      <c r="Q75" s="10" t="s">
        <v>263</v>
      </c>
      <c r="AE75" s="10" t="s">
        <v>263</v>
      </c>
      <c r="AS75" s="10" t="s">
        <v>263</v>
      </c>
      <c r="BF75" s="10" t="s">
        <v>263</v>
      </c>
      <c r="BS75" s="10" t="s">
        <v>263</v>
      </c>
      <c r="CF75" s="10" t="s">
        <v>263</v>
      </c>
    </row>
    <row r="76" spans="4:85" x14ac:dyDescent="0.25">
      <c r="D76" t="s">
        <v>261</v>
      </c>
      <c r="E76">
        <f>E72</f>
        <v>9</v>
      </c>
      <c r="Q76" t="s">
        <v>261</v>
      </c>
      <c r="R76">
        <f>R72</f>
        <v>11</v>
      </c>
      <c r="AE76" t="s">
        <v>261</v>
      </c>
      <c r="AF76">
        <f>AF72</f>
        <v>15</v>
      </c>
      <c r="AS76" t="s">
        <v>261</v>
      </c>
      <c r="AT76">
        <f>AT72</f>
        <v>11</v>
      </c>
      <c r="BF76" t="s">
        <v>261</v>
      </c>
      <c r="BG76">
        <f>BG72</f>
        <v>15</v>
      </c>
      <c r="BS76" t="s">
        <v>261</v>
      </c>
      <c r="BT76">
        <f>BT72</f>
        <v>17</v>
      </c>
      <c r="CF76" t="s">
        <v>261</v>
      </c>
      <c r="CG76">
        <f>CG72</f>
        <v>17</v>
      </c>
    </row>
    <row r="77" spans="4:85" x14ac:dyDescent="0.25">
      <c r="D77" t="s">
        <v>231</v>
      </c>
      <c r="E77">
        <v>4</v>
      </c>
      <c r="Q77" t="s">
        <v>231</v>
      </c>
      <c r="R77">
        <v>4</v>
      </c>
      <c r="AE77" t="s">
        <v>231</v>
      </c>
      <c r="AF77">
        <v>4</v>
      </c>
      <c r="AS77" t="s">
        <v>231</v>
      </c>
      <c r="AT77">
        <v>4</v>
      </c>
      <c r="BF77" t="s">
        <v>231</v>
      </c>
      <c r="BG77">
        <v>4</v>
      </c>
      <c r="BS77" t="s">
        <v>231</v>
      </c>
      <c r="BT77">
        <v>4</v>
      </c>
      <c r="CF77" t="s">
        <v>231</v>
      </c>
      <c r="CG77">
        <v>4</v>
      </c>
    </row>
    <row r="78" spans="4:85" x14ac:dyDescent="0.25">
      <c r="D78" t="s">
        <v>262</v>
      </c>
      <c r="E78">
        <v>1</v>
      </c>
      <c r="Q78" t="s">
        <v>262</v>
      </c>
      <c r="R78">
        <v>1</v>
      </c>
      <c r="AE78" t="s">
        <v>262</v>
      </c>
      <c r="AF78">
        <v>1</v>
      </c>
      <c r="AS78" t="s">
        <v>262</v>
      </c>
      <c r="AT78">
        <v>1</v>
      </c>
      <c r="BF78" t="s">
        <v>262</v>
      </c>
      <c r="BG78">
        <v>1</v>
      </c>
      <c r="BS78" t="s">
        <v>262</v>
      </c>
      <c r="BT78">
        <v>1</v>
      </c>
      <c r="CF78" t="s">
        <v>262</v>
      </c>
      <c r="CG78">
        <v>1</v>
      </c>
    </row>
    <row r="79" spans="4:85" x14ac:dyDescent="0.25">
      <c r="D79" t="s">
        <v>14</v>
      </c>
      <c r="E79" s="7">
        <f>Fencing!$C$15*(E76+E77+2)</f>
        <v>2.7337500000000006</v>
      </c>
      <c r="Q79" t="s">
        <v>14</v>
      </c>
      <c r="R79" s="7">
        <f>Fencing!$C$15*(R76+R77+2)</f>
        <v>3.0982500000000002</v>
      </c>
      <c r="AE79" t="s">
        <v>14</v>
      </c>
      <c r="AF79" s="7">
        <f>Fencing!$C$15*(AF76+AF77+2)</f>
        <v>3.8272500000000003</v>
      </c>
      <c r="AS79" t="s">
        <v>14</v>
      </c>
      <c r="AT79" s="7">
        <f>Fencing!$C$15*(AT76+AT77+2)</f>
        <v>3.0982500000000002</v>
      </c>
      <c r="BF79" t="s">
        <v>14</v>
      </c>
      <c r="BG79" s="7">
        <f>Fencing!$C$15*(BG76+BG77+2)</f>
        <v>3.8272500000000003</v>
      </c>
      <c r="BS79" t="s">
        <v>14</v>
      </c>
      <c r="BT79" s="7">
        <f>Fencing!$C$15*(BT76+BT77+2)</f>
        <v>4.1917500000000008</v>
      </c>
      <c r="CF79" t="s">
        <v>14</v>
      </c>
      <c r="CG79" s="7">
        <f>Fencing!$C$15*(CG76+CG77+2)</f>
        <v>4.1917500000000008</v>
      </c>
    </row>
    <row r="80" spans="4:85" x14ac:dyDescent="0.25">
      <c r="D80" t="s">
        <v>100</v>
      </c>
      <c r="E80" s="7">
        <f>E79</f>
        <v>2.7337500000000006</v>
      </c>
      <c r="Q80" t="s">
        <v>100</v>
      </c>
      <c r="R80" s="7">
        <f>R79</f>
        <v>3.0982500000000002</v>
      </c>
      <c r="AE80" t="s">
        <v>100</v>
      </c>
      <c r="AF80" s="7">
        <f>AF79</f>
        <v>3.8272500000000003</v>
      </c>
      <c r="AS80" t="s">
        <v>100</v>
      </c>
      <c r="AT80" s="7">
        <f>AT79</f>
        <v>3.0982500000000002</v>
      </c>
      <c r="BF80" t="s">
        <v>100</v>
      </c>
      <c r="BG80" s="7">
        <f>BG79</f>
        <v>3.8272500000000003</v>
      </c>
      <c r="BS80" t="s">
        <v>100</v>
      </c>
      <c r="BT80" s="7">
        <f>BT79</f>
        <v>4.1917500000000008</v>
      </c>
      <c r="CF80" t="s">
        <v>100</v>
      </c>
      <c r="CG80" s="7">
        <f>CG79</f>
        <v>4.1917500000000008</v>
      </c>
    </row>
    <row r="82" spans="4:85" x14ac:dyDescent="0.25">
      <c r="D82" s="10" t="s">
        <v>206</v>
      </c>
      <c r="Q82" s="10" t="s">
        <v>206</v>
      </c>
      <c r="AE82" s="10" t="s">
        <v>206</v>
      </c>
      <c r="AS82" s="10" t="s">
        <v>206</v>
      </c>
      <c r="BF82" s="10" t="s">
        <v>206</v>
      </c>
      <c r="BS82" s="10" t="s">
        <v>206</v>
      </c>
      <c r="CF82" s="10" t="s">
        <v>206</v>
      </c>
    </row>
    <row r="83" spans="4:85" x14ac:dyDescent="0.25">
      <c r="D83" t="s">
        <v>261</v>
      </c>
      <c r="E83" s="5">
        <f>Fencing!$C$26</f>
        <v>112.824</v>
      </c>
      <c r="Q83" t="s">
        <v>261</v>
      </c>
      <c r="R83" s="5">
        <f>Fencing!$C$26</f>
        <v>112.824</v>
      </c>
      <c r="AE83" t="s">
        <v>261</v>
      </c>
      <c r="AF83" s="5">
        <f>Fencing!$C$26</f>
        <v>112.824</v>
      </c>
      <c r="AS83" t="s">
        <v>261</v>
      </c>
      <c r="AT83" s="5">
        <f>Fencing!$C$26</f>
        <v>112.824</v>
      </c>
      <c r="BF83" t="s">
        <v>261</v>
      </c>
      <c r="BG83" s="5">
        <f>Fencing!$C$26</f>
        <v>112.824</v>
      </c>
      <c r="BS83" t="s">
        <v>261</v>
      </c>
      <c r="BT83" s="5">
        <f>Fencing!$C$26</f>
        <v>112.824</v>
      </c>
      <c r="CF83" t="s">
        <v>261</v>
      </c>
      <c r="CG83" s="5">
        <f>Fencing!$C$26</f>
        <v>112.824</v>
      </c>
    </row>
    <row r="84" spans="4:85" x14ac:dyDescent="0.25">
      <c r="D84" t="s">
        <v>231</v>
      </c>
      <c r="E84" s="5">
        <f>Fencing!$C$34</f>
        <v>36.384</v>
      </c>
      <c r="Q84" t="s">
        <v>231</v>
      </c>
      <c r="R84" s="5">
        <f>Fencing!$C$34</f>
        <v>36.384</v>
      </c>
      <c r="AE84" t="s">
        <v>231</v>
      </c>
      <c r="AF84" s="5">
        <f>Fencing!$C$34</f>
        <v>36.384</v>
      </c>
      <c r="AS84" t="s">
        <v>231</v>
      </c>
      <c r="AT84" s="5">
        <f>Fencing!$C$34</f>
        <v>36.384</v>
      </c>
      <c r="BF84" t="s">
        <v>231</v>
      </c>
      <c r="BG84" s="5">
        <f>Fencing!$C$34</f>
        <v>36.384</v>
      </c>
      <c r="BS84" t="s">
        <v>231</v>
      </c>
      <c r="BT84" s="5">
        <f>Fencing!$C$34</f>
        <v>36.384</v>
      </c>
      <c r="CF84" t="s">
        <v>231</v>
      </c>
      <c r="CG84" s="5">
        <f>Fencing!$C$34</f>
        <v>36.384</v>
      </c>
    </row>
    <row r="85" spans="4:85" x14ac:dyDescent="0.25">
      <c r="D85" t="s">
        <v>262</v>
      </c>
      <c r="E85" s="5">
        <f>Fencing!$C$56</f>
        <v>539.4</v>
      </c>
      <c r="Q85" t="s">
        <v>262</v>
      </c>
      <c r="R85" s="5">
        <f>Fencing!$C$56</f>
        <v>539.4</v>
      </c>
      <c r="AE85" t="s">
        <v>262</v>
      </c>
      <c r="AF85" s="5">
        <f>Fencing!$C$56</f>
        <v>539.4</v>
      </c>
      <c r="AS85" t="s">
        <v>262</v>
      </c>
      <c r="AT85" s="5">
        <f>Fencing!$C$56</f>
        <v>539.4</v>
      </c>
      <c r="BF85" t="s">
        <v>262</v>
      </c>
      <c r="BG85" s="5">
        <f>Fencing!$C$56</f>
        <v>539.4</v>
      </c>
      <c r="BS85" t="s">
        <v>262</v>
      </c>
      <c r="BT85" s="5">
        <f>Fencing!$C$56</f>
        <v>539.4</v>
      </c>
      <c r="CF85" t="s">
        <v>262</v>
      </c>
      <c r="CG85" s="5">
        <f>Fencing!$C$56</f>
        <v>539.4</v>
      </c>
    </row>
    <row r="86" spans="4:85" x14ac:dyDescent="0.25">
      <c r="D86" t="s">
        <v>14</v>
      </c>
      <c r="E86" s="5">
        <f>G8</f>
        <v>12.076547039999999</v>
      </c>
      <c r="Q86" t="s">
        <v>14</v>
      </c>
      <c r="R86" s="5">
        <f>T8</f>
        <v>11.9580460758</v>
      </c>
      <c r="AE86" t="s">
        <v>14</v>
      </c>
      <c r="AF86" s="5">
        <f>AH8</f>
        <v>11.9580460758</v>
      </c>
      <c r="AS86" t="s">
        <v>14</v>
      </c>
      <c r="AT86" s="5">
        <f>AV8</f>
        <v>11.9580460758</v>
      </c>
      <c r="BF86" t="s">
        <v>14</v>
      </c>
      <c r="BG86" s="5">
        <f>BI8</f>
        <v>11.9580460758</v>
      </c>
      <c r="BS86" t="s">
        <v>14</v>
      </c>
      <c r="BT86" s="5">
        <f>BV8</f>
        <v>11.9580460758</v>
      </c>
      <c r="CF86" t="s">
        <v>14</v>
      </c>
      <c r="CG86" s="5">
        <f>CI8</f>
        <v>11.9580460758</v>
      </c>
    </row>
    <row r="87" spans="4:85" x14ac:dyDescent="0.25">
      <c r="D87" t="s">
        <v>100</v>
      </c>
      <c r="E87" s="5">
        <f>G23</f>
        <v>99.508928571428555</v>
      </c>
      <c r="Q87" t="s">
        <v>100</v>
      </c>
      <c r="R87" s="5">
        <f>T23</f>
        <v>99.508928571428555</v>
      </c>
      <c r="AE87" t="s">
        <v>100</v>
      </c>
      <c r="AF87" s="5">
        <f>AH23</f>
        <v>99.508928571428555</v>
      </c>
      <c r="AS87" t="s">
        <v>100</v>
      </c>
      <c r="AT87" s="5">
        <f>AV23</f>
        <v>0</v>
      </c>
      <c r="BF87" t="s">
        <v>100</v>
      </c>
      <c r="BG87" s="5">
        <f>BI23</f>
        <v>0</v>
      </c>
      <c r="BS87" t="s">
        <v>100</v>
      </c>
      <c r="BT87" s="5">
        <f>BV23</f>
        <v>0</v>
      </c>
      <c r="CF87" t="s">
        <v>100</v>
      </c>
      <c r="CG87" s="5">
        <f>CI23</f>
        <v>0</v>
      </c>
    </row>
    <row r="88" spans="4:85" x14ac:dyDescent="0.25">
      <c r="E88" s="5"/>
      <c r="R88" s="5"/>
      <c r="AF88" s="5"/>
      <c r="AT88" s="5"/>
      <c r="BG88" s="5"/>
      <c r="BT88" s="5"/>
      <c r="CG88" s="5"/>
    </row>
    <row r="89" spans="4:85" x14ac:dyDescent="0.25">
      <c r="D89" s="10" t="s">
        <v>205</v>
      </c>
      <c r="E89" s="5"/>
      <c r="Q89" s="10" t="s">
        <v>205</v>
      </c>
      <c r="R89" s="5"/>
      <c r="AE89" s="10" t="s">
        <v>205</v>
      </c>
      <c r="AF89" s="5"/>
      <c r="AS89" s="10" t="s">
        <v>205</v>
      </c>
      <c r="AT89" s="5"/>
      <c r="BF89" s="10" t="s">
        <v>205</v>
      </c>
      <c r="BG89" s="5"/>
      <c r="BS89" s="10" t="s">
        <v>205</v>
      </c>
      <c r="BT89" s="5"/>
      <c r="CF89" s="10" t="s">
        <v>205</v>
      </c>
      <c r="CG89" s="5"/>
    </row>
    <row r="90" spans="4:85" x14ac:dyDescent="0.25">
      <c r="D90" t="s">
        <v>261</v>
      </c>
      <c r="E90" s="5">
        <f>E83*E76</f>
        <v>1015.4159999999999</v>
      </c>
      <c r="Q90" t="s">
        <v>261</v>
      </c>
      <c r="R90" s="5">
        <f>R83*R76</f>
        <v>1241.0640000000001</v>
      </c>
      <c r="AE90" t="s">
        <v>261</v>
      </c>
      <c r="AF90" s="5">
        <f>AF83*AF76</f>
        <v>1692.36</v>
      </c>
      <c r="AS90" t="s">
        <v>261</v>
      </c>
      <c r="AT90" s="5">
        <f>AT83*AT76</f>
        <v>1241.0640000000001</v>
      </c>
      <c r="BF90" t="s">
        <v>261</v>
      </c>
      <c r="BG90" s="5">
        <f>BG83*BG76</f>
        <v>1692.36</v>
      </c>
      <c r="BS90" t="s">
        <v>261</v>
      </c>
      <c r="BT90" s="5">
        <f>BT83*BT76</f>
        <v>1918.008</v>
      </c>
      <c r="CF90" t="s">
        <v>261</v>
      </c>
      <c r="CG90" s="5">
        <f>CG83*CG76</f>
        <v>1918.008</v>
      </c>
    </row>
    <row r="91" spans="4:85" x14ac:dyDescent="0.25">
      <c r="D91" t="s">
        <v>231</v>
      </c>
      <c r="E91" s="5">
        <f t="shared" ref="E91:E94" si="10">E84*E77</f>
        <v>145.536</v>
      </c>
      <c r="Q91" t="s">
        <v>231</v>
      </c>
      <c r="R91" s="5">
        <f>R84*R77</f>
        <v>145.536</v>
      </c>
      <c r="AE91" t="s">
        <v>231</v>
      </c>
      <c r="AF91" s="5">
        <f t="shared" ref="AF91:AF94" si="11">AF84*AF77</f>
        <v>145.536</v>
      </c>
      <c r="AS91" t="s">
        <v>231</v>
      </c>
      <c r="AT91" s="5">
        <f>AT84*AT77</f>
        <v>145.536</v>
      </c>
      <c r="BF91" t="s">
        <v>231</v>
      </c>
      <c r="BG91" s="5">
        <f>BG84*BG77</f>
        <v>145.536</v>
      </c>
      <c r="BS91" t="s">
        <v>231</v>
      </c>
      <c r="BT91" s="5">
        <f>BT84*BT77</f>
        <v>145.536</v>
      </c>
      <c r="CF91" t="s">
        <v>231</v>
      </c>
      <c r="CG91" s="5">
        <f>CG84*CG77</f>
        <v>145.536</v>
      </c>
    </row>
    <row r="92" spans="4:85" x14ac:dyDescent="0.25">
      <c r="D92" t="s">
        <v>262</v>
      </c>
      <c r="E92" s="5">
        <f t="shared" si="10"/>
        <v>539.4</v>
      </c>
      <c r="Q92" t="s">
        <v>262</v>
      </c>
      <c r="R92" s="5">
        <f>R85*R78</f>
        <v>539.4</v>
      </c>
      <c r="AE92" t="s">
        <v>262</v>
      </c>
      <c r="AF92" s="5">
        <f t="shared" si="11"/>
        <v>539.4</v>
      </c>
      <c r="AS92" t="s">
        <v>262</v>
      </c>
      <c r="AT92" s="5">
        <f>AT85*AT78</f>
        <v>539.4</v>
      </c>
      <c r="BF92" t="s">
        <v>262</v>
      </c>
      <c r="BG92" s="5">
        <f>BG85*BG78</f>
        <v>539.4</v>
      </c>
      <c r="BS92" t="s">
        <v>262</v>
      </c>
      <c r="BT92" s="5">
        <f>BT85*BT78</f>
        <v>539.4</v>
      </c>
      <c r="CF92" t="s">
        <v>262</v>
      </c>
      <c r="CG92" s="5">
        <f>CG85*CG78</f>
        <v>539.4</v>
      </c>
    </row>
    <row r="93" spans="4:85" x14ac:dyDescent="0.25">
      <c r="D93" t="s">
        <v>14</v>
      </c>
      <c r="E93" s="5">
        <f t="shared" si="10"/>
        <v>33.014260470600007</v>
      </c>
      <c r="Q93" t="s">
        <v>14</v>
      </c>
      <c r="R93" s="5">
        <f>R86*R79</f>
        <v>37.04901625434735</v>
      </c>
      <c r="AE93" t="s">
        <v>14</v>
      </c>
      <c r="AF93" s="5">
        <f t="shared" si="11"/>
        <v>45.766431843605552</v>
      </c>
      <c r="AS93" t="s">
        <v>14</v>
      </c>
      <c r="AT93" s="5">
        <f>AT86*AT79</f>
        <v>37.04901625434735</v>
      </c>
      <c r="BF93" t="s">
        <v>14</v>
      </c>
      <c r="BG93" s="5">
        <f>BG86*BG79</f>
        <v>45.766431843605552</v>
      </c>
      <c r="BS93" t="s">
        <v>14</v>
      </c>
      <c r="BT93" s="5">
        <f>BT86*BT79</f>
        <v>50.125139638234664</v>
      </c>
      <c r="CF93" t="s">
        <v>14</v>
      </c>
      <c r="CG93" s="5">
        <f>CG86*CG79</f>
        <v>50.125139638234664</v>
      </c>
    </row>
    <row r="94" spans="4:85" x14ac:dyDescent="0.25">
      <c r="D94" t="s">
        <v>100</v>
      </c>
      <c r="E94" s="5">
        <f t="shared" si="10"/>
        <v>272.03253348214287</v>
      </c>
      <c r="Q94" t="s">
        <v>100</v>
      </c>
      <c r="R94" s="5">
        <f>R87*R80</f>
        <v>308.30353794642855</v>
      </c>
      <c r="AE94" t="s">
        <v>100</v>
      </c>
      <c r="AF94" s="5">
        <f t="shared" si="11"/>
        <v>380.84554687499997</v>
      </c>
      <c r="AS94" t="s">
        <v>100</v>
      </c>
      <c r="AT94" s="5">
        <f>AT87*AT80</f>
        <v>0</v>
      </c>
      <c r="BF94" t="s">
        <v>100</v>
      </c>
      <c r="BG94" s="5">
        <f>BG87*BG80</f>
        <v>0</v>
      </c>
      <c r="BS94" t="s">
        <v>100</v>
      </c>
      <c r="BT94" s="5">
        <f>BT87*BT80</f>
        <v>0</v>
      </c>
      <c r="CF94" t="s">
        <v>100</v>
      </c>
      <c r="CG94" s="5">
        <f>CG87*CG80</f>
        <v>0</v>
      </c>
    </row>
    <row r="96" spans="4:85" x14ac:dyDescent="0.25">
      <c r="D96" t="s">
        <v>58</v>
      </c>
      <c r="E96" s="5">
        <f>SUM(E90:E94)</f>
        <v>2005.3987939527428</v>
      </c>
      <c r="Q96" t="s">
        <v>58</v>
      </c>
      <c r="R96" s="5">
        <f>SUM(R90:R94)</f>
        <v>2271.352554200776</v>
      </c>
      <c r="AE96" t="s">
        <v>58</v>
      </c>
      <c r="AF96" s="5">
        <f>SUM(AF90:AF94)</f>
        <v>2803.9079787186051</v>
      </c>
      <c r="AS96" t="s">
        <v>58</v>
      </c>
      <c r="AT96" s="5">
        <f>SUM(AT90:AT94)</f>
        <v>1963.0490162543474</v>
      </c>
      <c r="BF96" t="s">
        <v>58</v>
      </c>
      <c r="BG96" s="5">
        <f>SUM(BG90:BG94)</f>
        <v>2423.0624318436053</v>
      </c>
      <c r="BS96" t="s">
        <v>58</v>
      </c>
      <c r="BT96" s="5">
        <f>SUM(BT90:BT94)</f>
        <v>2653.0691396382344</v>
      </c>
      <c r="CF96" t="s">
        <v>58</v>
      </c>
      <c r="CG96" s="5">
        <f>SUM(CG90:CG94)</f>
        <v>2653.0691396382344</v>
      </c>
    </row>
    <row r="98" spans="1:206" x14ac:dyDescent="0.25">
      <c r="D98" s="3" t="s">
        <v>265</v>
      </c>
      <c r="E98" s="38">
        <f>E96+E27</f>
        <v>2005.3987939527428</v>
      </c>
      <c r="Q98" s="3" t="s">
        <v>265</v>
      </c>
      <c r="R98" s="38">
        <f>R96+R27</f>
        <v>2271.352554200776</v>
      </c>
      <c r="AE98" s="3" t="s">
        <v>265</v>
      </c>
      <c r="AF98" s="38">
        <f>AF96+AF27</f>
        <v>2803.9079787186051</v>
      </c>
      <c r="AS98" s="3" t="s">
        <v>265</v>
      </c>
      <c r="AT98" s="38">
        <f>AT96+AT27</f>
        <v>1963.0490162543474</v>
      </c>
      <c r="BF98" s="3" t="s">
        <v>265</v>
      </c>
      <c r="BG98" s="38">
        <f>BG96+BG27</f>
        <v>2423.0624318436053</v>
      </c>
      <c r="BS98" s="3" t="s">
        <v>265</v>
      </c>
      <c r="BT98" s="38">
        <f>BT96+BT27</f>
        <v>2653.0691396382344</v>
      </c>
      <c r="CF98" s="3" t="s">
        <v>265</v>
      </c>
      <c r="CG98" s="38">
        <f>CG96+CG27</f>
        <v>2653.0691396382344</v>
      </c>
    </row>
    <row r="100" spans="1:206" s="3" customFormat="1" ht="18.75" x14ac:dyDescent="0.3">
      <c r="A100" s="17" t="s">
        <v>463</v>
      </c>
      <c r="O100" s="20"/>
      <c r="AC100" s="20"/>
      <c r="AQ100" s="20"/>
      <c r="BD100" s="20"/>
      <c r="BQ100" s="20"/>
      <c r="CD100" s="20"/>
      <c r="CQ100" s="20"/>
      <c r="DE100" s="20"/>
      <c r="DS100" s="20"/>
      <c r="EG100" s="20"/>
      <c r="EU100" s="20"/>
      <c r="FI100" s="20"/>
      <c r="FW100" s="20"/>
      <c r="GK100" s="20"/>
    </row>
    <row r="101" spans="1:206" x14ac:dyDescent="0.25">
      <c r="CB101" t="s">
        <v>523</v>
      </c>
      <c r="CO101" t="s">
        <v>523</v>
      </c>
    </row>
    <row r="102" spans="1:206" x14ac:dyDescent="0.25">
      <c r="C102" t="s">
        <v>465</v>
      </c>
      <c r="K102" t="s">
        <v>468</v>
      </c>
      <c r="R102" t="s">
        <v>465</v>
      </c>
      <c r="Z102" t="s">
        <v>468</v>
      </c>
      <c r="AF102" t="s">
        <v>465</v>
      </c>
      <c r="AN102" t="s">
        <v>468</v>
      </c>
      <c r="AT102" t="s">
        <v>465</v>
      </c>
      <c r="BB102" t="s">
        <v>468</v>
      </c>
      <c r="BG102" t="s">
        <v>465</v>
      </c>
      <c r="BO102" t="s">
        <v>468</v>
      </c>
      <c r="BT102" t="s">
        <v>465</v>
      </c>
      <c r="CB102" t="s">
        <v>524</v>
      </c>
      <c r="CG102" t="s">
        <v>465</v>
      </c>
      <c r="CO102" t="s">
        <v>524</v>
      </c>
      <c r="CS102" t="s">
        <v>465</v>
      </c>
      <c r="DG102" t="s">
        <v>465</v>
      </c>
      <c r="DU102" t="s">
        <v>465</v>
      </c>
      <c r="EI102" t="s">
        <v>465</v>
      </c>
      <c r="EW102" t="s">
        <v>465</v>
      </c>
      <c r="FK102" t="s">
        <v>465</v>
      </c>
      <c r="FY102" t="s">
        <v>465</v>
      </c>
      <c r="GN102" t="s">
        <v>465</v>
      </c>
    </row>
    <row r="103" spans="1:206" x14ac:dyDescent="0.25">
      <c r="D103" t="s">
        <v>80</v>
      </c>
      <c r="E103" t="s">
        <v>2</v>
      </c>
      <c r="F103" t="s">
        <v>81</v>
      </c>
      <c r="G103" t="s">
        <v>82</v>
      </c>
      <c r="H103" t="s">
        <v>59</v>
      </c>
      <c r="K103" t="s">
        <v>469</v>
      </c>
      <c r="L103">
        <v>86</v>
      </c>
      <c r="M103" t="s">
        <v>470</v>
      </c>
      <c r="S103" t="s">
        <v>80</v>
      </c>
      <c r="T103" t="s">
        <v>2</v>
      </c>
      <c r="U103" t="s">
        <v>81</v>
      </c>
      <c r="V103" t="s">
        <v>82</v>
      </c>
      <c r="W103" t="s">
        <v>59</v>
      </c>
      <c r="Z103" t="s">
        <v>469</v>
      </c>
      <c r="AA103">
        <f>'SAF - Design'!J10</f>
        <v>215</v>
      </c>
      <c r="AB103" t="s">
        <v>470</v>
      </c>
      <c r="AG103" t="s">
        <v>80</v>
      </c>
      <c r="AH103" t="s">
        <v>2</v>
      </c>
      <c r="AI103" t="s">
        <v>81</v>
      </c>
      <c r="AJ103" t="s">
        <v>82</v>
      </c>
      <c r="AK103" t="s">
        <v>59</v>
      </c>
      <c r="AN103" t="s">
        <v>469</v>
      </c>
      <c r="AO103">
        <f>'SAF - Design'!J13</f>
        <v>450</v>
      </c>
      <c r="AP103" t="s">
        <v>470</v>
      </c>
      <c r="AU103" t="s">
        <v>80</v>
      </c>
      <c r="AV103" t="s">
        <v>2</v>
      </c>
      <c r="AW103" t="s">
        <v>81</v>
      </c>
      <c r="AX103" t="s">
        <v>82</v>
      </c>
      <c r="AY103" t="s">
        <v>59</v>
      </c>
      <c r="BB103" t="s">
        <v>469</v>
      </c>
      <c r="BC103">
        <v>700</v>
      </c>
      <c r="BD103" s="18" t="s">
        <v>470</v>
      </c>
      <c r="BH103" t="s">
        <v>80</v>
      </c>
      <c r="BI103" t="s">
        <v>2</v>
      </c>
      <c r="BJ103" t="s">
        <v>81</v>
      </c>
      <c r="BK103" t="s">
        <v>82</v>
      </c>
      <c r="BL103" t="s">
        <v>59</v>
      </c>
      <c r="BO103" t="s">
        <v>469</v>
      </c>
      <c r="BP103">
        <v>1100</v>
      </c>
      <c r="BQ103" s="18" t="s">
        <v>470</v>
      </c>
      <c r="BU103" t="s">
        <v>80</v>
      </c>
      <c r="BV103" t="s">
        <v>2</v>
      </c>
      <c r="BW103" t="s">
        <v>81</v>
      </c>
      <c r="BX103" t="s">
        <v>82</v>
      </c>
      <c r="BY103" t="s">
        <v>59</v>
      </c>
      <c r="CB103" t="s">
        <v>525</v>
      </c>
      <c r="CH103" t="s">
        <v>80</v>
      </c>
      <c r="CI103" t="s">
        <v>2</v>
      </c>
      <c r="CJ103" t="s">
        <v>81</v>
      </c>
      <c r="CK103" t="s">
        <v>82</v>
      </c>
      <c r="CL103" t="s">
        <v>59</v>
      </c>
      <c r="CO103" t="s">
        <v>525</v>
      </c>
      <c r="CT103" t="s">
        <v>80</v>
      </c>
      <c r="CU103" t="s">
        <v>2</v>
      </c>
      <c r="CV103" t="s">
        <v>81</v>
      </c>
      <c r="CW103" t="s">
        <v>82</v>
      </c>
      <c r="CX103" t="s">
        <v>59</v>
      </c>
      <c r="DH103" t="s">
        <v>80</v>
      </c>
      <c r="DI103" t="s">
        <v>2</v>
      </c>
      <c r="DJ103" t="s">
        <v>81</v>
      </c>
      <c r="DK103" t="s">
        <v>82</v>
      </c>
      <c r="DL103" t="s">
        <v>59</v>
      </c>
      <c r="DV103" t="s">
        <v>80</v>
      </c>
      <c r="DW103" t="s">
        <v>2</v>
      </c>
      <c r="DX103" t="s">
        <v>81</v>
      </c>
      <c r="DY103" t="s">
        <v>82</v>
      </c>
      <c r="DZ103" t="s">
        <v>59</v>
      </c>
      <c r="EJ103" t="s">
        <v>80</v>
      </c>
      <c r="EK103" t="s">
        <v>2</v>
      </c>
      <c r="EL103" t="s">
        <v>81</v>
      </c>
      <c r="EM103" t="s">
        <v>82</v>
      </c>
      <c r="EN103" t="s">
        <v>59</v>
      </c>
      <c r="EX103" t="s">
        <v>80</v>
      </c>
      <c r="EY103" t="s">
        <v>2</v>
      </c>
      <c r="EZ103" t="s">
        <v>81</v>
      </c>
      <c r="FA103" t="s">
        <v>82</v>
      </c>
      <c r="FB103" t="s">
        <v>59</v>
      </c>
      <c r="FL103" t="s">
        <v>80</v>
      </c>
      <c r="FM103" t="s">
        <v>2</v>
      </c>
      <c r="FN103" t="s">
        <v>81</v>
      </c>
      <c r="FO103" t="s">
        <v>82</v>
      </c>
      <c r="FP103" t="s">
        <v>59</v>
      </c>
      <c r="FZ103" t="s">
        <v>80</v>
      </c>
      <c r="GA103" t="s">
        <v>2</v>
      </c>
      <c r="GB103" t="s">
        <v>81</v>
      </c>
      <c r="GC103" t="s">
        <v>82</v>
      </c>
      <c r="GD103" t="s">
        <v>59</v>
      </c>
      <c r="GO103" t="s">
        <v>80</v>
      </c>
      <c r="GP103" t="s">
        <v>2</v>
      </c>
      <c r="GQ103" t="s">
        <v>81</v>
      </c>
      <c r="GR103" t="s">
        <v>82</v>
      </c>
      <c r="GS103" t="s">
        <v>59</v>
      </c>
    </row>
    <row r="104" spans="1:206" x14ac:dyDescent="0.25">
      <c r="D104" t="s">
        <v>466</v>
      </c>
      <c r="E104">
        <f>L106</f>
        <v>0.75336000000000003</v>
      </c>
      <c r="F104" s="1">
        <f>Index!$C$64</f>
        <v>35.634615384615387</v>
      </c>
      <c r="G104" s="1">
        <f>F104</f>
        <v>35.634615384615387</v>
      </c>
      <c r="H104">
        <f>E104*G104</f>
        <v>26.84569384615385</v>
      </c>
      <c r="K104" t="s">
        <v>471</v>
      </c>
      <c r="L104">
        <v>8760</v>
      </c>
      <c r="M104" t="s">
        <v>472</v>
      </c>
      <c r="S104" t="s">
        <v>466</v>
      </c>
      <c r="T104">
        <f>AA106</f>
        <v>1.8834</v>
      </c>
      <c r="U104" s="1">
        <f>Index!$C$64</f>
        <v>35.634615384615387</v>
      </c>
      <c r="V104" s="1">
        <f>U104</f>
        <v>35.634615384615387</v>
      </c>
      <c r="W104">
        <f>T104*V104</f>
        <v>67.114234615384618</v>
      </c>
      <c r="Z104" t="s">
        <v>471</v>
      </c>
      <c r="AA104">
        <v>8760</v>
      </c>
      <c r="AB104" t="s">
        <v>472</v>
      </c>
      <c r="AG104" t="s">
        <v>466</v>
      </c>
      <c r="AH104">
        <f>AO106</f>
        <v>3.9420000000000002</v>
      </c>
      <c r="AI104" s="1">
        <f>Index!$C$64</f>
        <v>35.634615384615387</v>
      </c>
      <c r="AJ104" s="1">
        <f>AI104</f>
        <v>35.634615384615387</v>
      </c>
      <c r="AK104">
        <f>AH104*AJ104</f>
        <v>140.47165384615386</v>
      </c>
      <c r="AN104" t="s">
        <v>471</v>
      </c>
      <c r="AO104">
        <v>8760</v>
      </c>
      <c r="AP104" t="s">
        <v>472</v>
      </c>
      <c r="AU104" t="s">
        <v>466</v>
      </c>
      <c r="AV104">
        <f>BC106</f>
        <v>6.1319999999999997</v>
      </c>
      <c r="AW104" s="1">
        <f>Index!$C$64</f>
        <v>35.634615384615387</v>
      </c>
      <c r="AX104" s="1">
        <f>AW104</f>
        <v>35.634615384615387</v>
      </c>
      <c r="AY104">
        <f>AV104*AX104</f>
        <v>218.51146153846153</v>
      </c>
      <c r="BB104" t="s">
        <v>471</v>
      </c>
      <c r="BC104">
        <v>8760</v>
      </c>
      <c r="BD104" s="18" t="s">
        <v>472</v>
      </c>
      <c r="BH104" t="s">
        <v>466</v>
      </c>
      <c r="BI104">
        <f>BP106</f>
        <v>9.6359999999999992</v>
      </c>
      <c r="BJ104" s="1">
        <f>Index!$C$64</f>
        <v>35.634615384615387</v>
      </c>
      <c r="BK104" s="1">
        <f>BJ104</f>
        <v>35.634615384615387</v>
      </c>
      <c r="BL104">
        <f>BI104*BK104</f>
        <v>343.37515384615386</v>
      </c>
      <c r="BO104" t="s">
        <v>471</v>
      </c>
      <c r="BP104">
        <v>8760</v>
      </c>
      <c r="BQ104" s="18" t="s">
        <v>472</v>
      </c>
      <c r="BU104" t="s">
        <v>466</v>
      </c>
      <c r="BV104">
        <f>CB110</f>
        <v>14.891999999999999</v>
      </c>
      <c r="BW104" s="1">
        <f>Index!$C$64</f>
        <v>35.634615384615387</v>
      </c>
      <c r="BX104" s="1">
        <f>BW104</f>
        <v>35.634615384615387</v>
      </c>
      <c r="BY104">
        <f>BV104*BX104</f>
        <v>530.67069230769232</v>
      </c>
      <c r="CB104">
        <v>1.7</v>
      </c>
      <c r="CC104" t="s">
        <v>532</v>
      </c>
      <c r="CH104" t="s">
        <v>466</v>
      </c>
      <c r="CI104">
        <f>CO110</f>
        <v>31.448399999999999</v>
      </c>
      <c r="CJ104" s="1">
        <f>Index!$C$64</f>
        <v>35.634615384615387</v>
      </c>
      <c r="CK104" s="1">
        <f>CJ104</f>
        <v>35.634615384615387</v>
      </c>
      <c r="CL104">
        <f>CI104*CK104</f>
        <v>1120.6516384615386</v>
      </c>
      <c r="CO104">
        <v>3.59</v>
      </c>
      <c r="CP104" t="s">
        <v>532</v>
      </c>
      <c r="CT104" t="s">
        <v>466</v>
      </c>
      <c r="CU104">
        <f>BV104*2</f>
        <v>29.783999999999999</v>
      </c>
      <c r="CV104" s="1">
        <f>Index!$C$64</f>
        <v>35.634615384615387</v>
      </c>
      <c r="CW104" s="1">
        <f>CV104</f>
        <v>35.634615384615387</v>
      </c>
      <c r="CX104">
        <f>CU104*CW104</f>
        <v>1061.3413846153846</v>
      </c>
      <c r="DH104" t="s">
        <v>466</v>
      </c>
      <c r="DI104">
        <f>CI104*2</f>
        <v>62.896799999999999</v>
      </c>
      <c r="DJ104" s="1">
        <f>Index!$C$64</f>
        <v>35.634615384615387</v>
      </c>
      <c r="DK104" s="1">
        <f>DJ104</f>
        <v>35.634615384615387</v>
      </c>
      <c r="DL104">
        <f>DI104*DK104</f>
        <v>2241.3032769230772</v>
      </c>
      <c r="DV104" t="s">
        <v>466</v>
      </c>
      <c r="DW104">
        <f>$CI$104*3</f>
        <v>94.345200000000006</v>
      </c>
      <c r="DX104" s="1">
        <f>Index!$C$64</f>
        <v>35.634615384615387</v>
      </c>
      <c r="DY104" s="1">
        <f>DX104</f>
        <v>35.634615384615387</v>
      </c>
      <c r="DZ104">
        <f>DW104*DY104</f>
        <v>3361.9549153846156</v>
      </c>
      <c r="EJ104" t="s">
        <v>466</v>
      </c>
      <c r="EK104">
        <f>$CI$104*4</f>
        <v>125.7936</v>
      </c>
      <c r="EL104" s="1">
        <f>Index!$C$64</f>
        <v>35.634615384615387</v>
      </c>
      <c r="EM104" s="1">
        <f>EL104</f>
        <v>35.634615384615387</v>
      </c>
      <c r="EN104">
        <f>EK104*EM104</f>
        <v>4482.6065538461544</v>
      </c>
      <c r="EX104" t="s">
        <v>466</v>
      </c>
      <c r="EY104">
        <f>$CI$104*5</f>
        <v>157.24199999999999</v>
      </c>
      <c r="EZ104" s="1">
        <f>Index!$C$64</f>
        <v>35.634615384615387</v>
      </c>
      <c r="FA104" s="1">
        <f>EZ104</f>
        <v>35.634615384615387</v>
      </c>
      <c r="FB104">
        <f>EY104*FA104</f>
        <v>5603.2581923076923</v>
      </c>
      <c r="FL104" t="s">
        <v>466</v>
      </c>
      <c r="FM104">
        <f>$CI$104*6</f>
        <v>188.69040000000001</v>
      </c>
      <c r="FN104" s="1">
        <f>Index!$C$64</f>
        <v>35.634615384615387</v>
      </c>
      <c r="FO104" s="1">
        <f>FN104</f>
        <v>35.634615384615387</v>
      </c>
      <c r="FP104">
        <f>FM104*FO104</f>
        <v>6723.9098307692311</v>
      </c>
      <c r="FZ104" t="s">
        <v>466</v>
      </c>
      <c r="GA104">
        <f>$CI$104*8</f>
        <v>251.5872</v>
      </c>
      <c r="GB104" s="1">
        <f>Index!$C$64</f>
        <v>35.634615384615387</v>
      </c>
      <c r="GC104" s="1">
        <f>GB104</f>
        <v>35.634615384615387</v>
      </c>
      <c r="GD104">
        <f>GA104*GC104</f>
        <v>8965.2131076923088</v>
      </c>
      <c r="GO104" t="s">
        <v>466</v>
      </c>
      <c r="GP104">
        <f>$CI$104*10</f>
        <v>314.48399999999998</v>
      </c>
      <c r="GQ104" s="1">
        <f>Index!$C$64</f>
        <v>35.634615384615387</v>
      </c>
      <c r="GR104" s="1">
        <f>GQ104</f>
        <v>35.634615384615387</v>
      </c>
      <c r="GS104">
        <f>GP104*GR104</f>
        <v>11206.516384615385</v>
      </c>
    </row>
    <row r="105" spans="1:206" x14ac:dyDescent="0.25">
      <c r="DB105" s="18"/>
      <c r="DP105" s="18"/>
      <c r="ED105" s="18"/>
      <c r="ER105" s="18"/>
      <c r="FF105" s="18"/>
      <c r="FT105" s="18"/>
      <c r="GH105" s="18"/>
      <c r="GX105" s="18"/>
    </row>
    <row r="106" spans="1:206" x14ac:dyDescent="0.25">
      <c r="K106" t="s">
        <v>468</v>
      </c>
      <c r="L106">
        <f>(L104*L103)/10^6</f>
        <v>0.75336000000000003</v>
      </c>
      <c r="M106" t="s">
        <v>473</v>
      </c>
      <c r="Z106" t="s">
        <v>468</v>
      </c>
      <c r="AA106">
        <f>(AA104*AA103)/10^6</f>
        <v>1.8834</v>
      </c>
      <c r="AB106" t="s">
        <v>473</v>
      </c>
      <c r="AN106" t="s">
        <v>468</v>
      </c>
      <c r="AO106">
        <f>(AO104*AO103)/10^6</f>
        <v>3.9420000000000002</v>
      </c>
      <c r="AP106" t="s">
        <v>473</v>
      </c>
      <c r="BB106" t="s">
        <v>468</v>
      </c>
      <c r="BC106">
        <f>(BC104*BC103)/10^6</f>
        <v>6.1319999999999997</v>
      </c>
      <c r="BD106" s="18" t="s">
        <v>473</v>
      </c>
      <c r="BO106" t="s">
        <v>468</v>
      </c>
      <c r="BP106">
        <f>(BP104*BP103)/10^6</f>
        <v>9.6359999999999992</v>
      </c>
      <c r="BQ106" s="18" t="s">
        <v>473</v>
      </c>
      <c r="CA106" t="s">
        <v>468</v>
      </c>
      <c r="CN106" t="s">
        <v>468</v>
      </c>
      <c r="GX106" s="18"/>
    </row>
    <row r="107" spans="1:206" x14ac:dyDescent="0.25">
      <c r="CA107" t="s">
        <v>469</v>
      </c>
      <c r="CB107">
        <v>1700</v>
      </c>
      <c r="CC107" t="s">
        <v>472</v>
      </c>
      <c r="CN107" t="s">
        <v>469</v>
      </c>
      <c r="CO107">
        <v>3590</v>
      </c>
      <c r="CP107" t="s">
        <v>472</v>
      </c>
      <c r="CS107" t="s">
        <v>103</v>
      </c>
      <c r="DB107" s="18"/>
      <c r="DG107" t="s">
        <v>103</v>
      </c>
      <c r="DP107" s="18"/>
      <c r="DU107" t="s">
        <v>103</v>
      </c>
      <c r="ED107" s="18"/>
      <c r="EI107" t="s">
        <v>103</v>
      </c>
      <c r="ER107" s="18"/>
      <c r="EW107" t="s">
        <v>103</v>
      </c>
      <c r="FF107" s="18"/>
      <c r="FK107" t="s">
        <v>103</v>
      </c>
      <c r="FT107" s="18"/>
      <c r="FY107" t="s">
        <v>103</v>
      </c>
      <c r="GH107" s="18"/>
      <c r="GN107" t="s">
        <v>103</v>
      </c>
      <c r="GX107" s="18"/>
    </row>
    <row r="108" spans="1:206" x14ac:dyDescent="0.25">
      <c r="C108" s="10" t="s">
        <v>205</v>
      </c>
      <c r="D108" t="s">
        <v>2</v>
      </c>
      <c r="E108" t="s">
        <v>81</v>
      </c>
      <c r="F108" t="s">
        <v>82</v>
      </c>
      <c r="G108" t="s">
        <v>59</v>
      </c>
      <c r="R108" s="10" t="s">
        <v>205</v>
      </c>
      <c r="S108" t="s">
        <v>2</v>
      </c>
      <c r="T108" t="s">
        <v>81</v>
      </c>
      <c r="U108" t="s">
        <v>82</v>
      </c>
      <c r="V108" t="s">
        <v>59</v>
      </c>
      <c r="AF108" s="56" t="s">
        <v>205</v>
      </c>
      <c r="AG108" s="25" t="s">
        <v>2</v>
      </c>
      <c r="AH108" s="25" t="s">
        <v>81</v>
      </c>
      <c r="AI108" s="25" t="s">
        <v>82</v>
      </c>
      <c r="AJ108" s="25" t="s">
        <v>59</v>
      </c>
      <c r="AK108" s="6"/>
      <c r="AT108" s="14" t="s">
        <v>205</v>
      </c>
      <c r="AU108" s="6" t="s">
        <v>2</v>
      </c>
      <c r="AV108" s="6" t="s">
        <v>81</v>
      </c>
      <c r="AW108" s="6" t="s">
        <v>82</v>
      </c>
      <c r="AX108" s="6" t="s">
        <v>59</v>
      </c>
      <c r="AY108" s="6"/>
      <c r="BG108" s="14" t="s">
        <v>205</v>
      </c>
      <c r="BH108" s="6" t="s">
        <v>2</v>
      </c>
      <c r="BI108" s="6" t="s">
        <v>81</v>
      </c>
      <c r="BJ108" s="6" t="s">
        <v>82</v>
      </c>
      <c r="BK108" s="6" t="s">
        <v>59</v>
      </c>
      <c r="BL108" s="6"/>
      <c r="BT108" s="56" t="s">
        <v>205</v>
      </c>
      <c r="BU108" s="25" t="s">
        <v>2</v>
      </c>
      <c r="BV108" s="25" t="s">
        <v>81</v>
      </c>
      <c r="BW108" s="25" t="s">
        <v>82</v>
      </c>
      <c r="BX108" s="6" t="s">
        <v>59</v>
      </c>
      <c r="BY108" s="6"/>
      <c r="CA108" t="s">
        <v>471</v>
      </c>
      <c r="CB108">
        <v>8760</v>
      </c>
      <c r="CC108" s="18" t="s">
        <v>472</v>
      </c>
      <c r="CF108" s="56" t="s">
        <v>205</v>
      </c>
      <c r="CG108" s="25" t="s">
        <v>2</v>
      </c>
      <c r="CH108" s="25" t="s">
        <v>81</v>
      </c>
      <c r="CI108" s="25" t="s">
        <v>82</v>
      </c>
      <c r="CJ108" s="25" t="s">
        <v>59</v>
      </c>
      <c r="CK108" s="6"/>
      <c r="CN108" t="s">
        <v>471</v>
      </c>
      <c r="CO108">
        <v>8760</v>
      </c>
      <c r="CP108" s="18" t="s">
        <v>472</v>
      </c>
      <c r="CX108">
        <f>BX111*2</f>
        <v>1059.2089739391745</v>
      </c>
      <c r="DL108">
        <f>CJ111*2</f>
        <v>1198.3943046619563</v>
      </c>
      <c r="DZ108">
        <f>$CJ$111*3</f>
        <v>1797.5914569929346</v>
      </c>
      <c r="EN108">
        <f>$CJ$111*4</f>
        <v>2396.7886093239126</v>
      </c>
      <c r="FB108">
        <f>$CJ$111*5</f>
        <v>2995.9857616548907</v>
      </c>
      <c r="FP108">
        <f>$CJ$111*6</f>
        <v>3595.1829139858692</v>
      </c>
      <c r="GD108">
        <f>$CJ$111*8</f>
        <v>4793.5772186478252</v>
      </c>
      <c r="GS108">
        <f>$CJ$111*10</f>
        <v>5991.9715233097813</v>
      </c>
    </row>
    <row r="109" spans="1:206" x14ac:dyDescent="0.25">
      <c r="C109" t="s">
        <v>103</v>
      </c>
      <c r="E109">
        <v>193.5</v>
      </c>
      <c r="F109">
        <v>193.5</v>
      </c>
      <c r="R109" t="s">
        <v>103</v>
      </c>
      <c r="T109">
        <v>193.5</v>
      </c>
      <c r="U109">
        <v>193.5</v>
      </c>
      <c r="AF109" s="25" t="s">
        <v>103</v>
      </c>
      <c r="AG109" s="25"/>
      <c r="AH109" s="25">
        <v>193.5</v>
      </c>
      <c r="AI109" s="25">
        <v>193.5</v>
      </c>
      <c r="AJ109" s="25"/>
      <c r="AK109" s="6"/>
      <c r="AT109" s="6" t="s">
        <v>103</v>
      </c>
      <c r="AU109" s="6"/>
      <c r="AV109">
        <f>Index!$C$66</f>
        <v>211.7</v>
      </c>
      <c r="AW109" s="6">
        <f>AV109</f>
        <v>211.7</v>
      </c>
      <c r="AX109" s="6"/>
      <c r="AY109" s="6"/>
      <c r="BG109" s="6" t="s">
        <v>103</v>
      </c>
      <c r="BH109" s="6"/>
      <c r="BI109">
        <f>Index!$C$66</f>
        <v>211.7</v>
      </c>
      <c r="BJ109" s="6">
        <f>BI109</f>
        <v>211.7</v>
      </c>
      <c r="BK109" s="6"/>
      <c r="BL109" s="6"/>
      <c r="BO109" t="s">
        <v>527</v>
      </c>
      <c r="BP109">
        <v>240</v>
      </c>
      <c r="BQ109" t="s">
        <v>528</v>
      </c>
      <c r="BT109" s="25" t="s">
        <v>103</v>
      </c>
      <c r="BU109" s="25"/>
      <c r="BV109" s="25">
        <v>193.5</v>
      </c>
      <c r="BW109" s="25">
        <v>193.5</v>
      </c>
      <c r="BX109" s="6"/>
      <c r="BY109" s="6"/>
      <c r="CC109" s="18"/>
      <c r="CF109" s="25" t="s">
        <v>103</v>
      </c>
      <c r="CG109" s="25"/>
      <c r="CH109" s="25">
        <v>193.5</v>
      </c>
      <c r="CI109" s="25">
        <v>193.5</v>
      </c>
      <c r="CJ109" s="25"/>
      <c r="CK109" s="6"/>
      <c r="CP109" s="18"/>
    </row>
    <row r="110" spans="1:206" x14ac:dyDescent="0.25">
      <c r="AU110">
        <f>(BA5*BA6*(BA7-460))*(82/212)*10^-9</f>
        <v>8.9466486792452837</v>
      </c>
      <c r="AV110">
        <f>Index!$C$67</f>
        <v>20.399999999999999</v>
      </c>
      <c r="AW110">
        <f>AU110*AV110</f>
        <v>182.51163305660378</v>
      </c>
      <c r="BB110" t="s">
        <v>527</v>
      </c>
      <c r="BC110">
        <v>240</v>
      </c>
      <c r="BD110" t="s">
        <v>528</v>
      </c>
      <c r="BH110">
        <f>(BN5*BN6*(BN7-460))*(82/212)*10^-9</f>
        <v>14.884123245283021</v>
      </c>
      <c r="BI110">
        <f>Index!$C$67</f>
        <v>20.399999999999999</v>
      </c>
      <c r="BJ110">
        <f>BH110*BI110</f>
        <v>303.63611420377362</v>
      </c>
      <c r="BU110">
        <f>(CA5*((CA6/2)^2)*PI()*(91/292)*10^-9)</f>
        <v>16.475710145568005</v>
      </c>
      <c r="BV110">
        <f>Index!$C$67</f>
        <v>20.399999999999999</v>
      </c>
      <c r="BW110">
        <f>BU110*BV110</f>
        <v>336.1044869695873</v>
      </c>
      <c r="CA110" t="s">
        <v>468</v>
      </c>
      <c r="CB110">
        <f>(CB108*CB107)/10^6</f>
        <v>14.891999999999999</v>
      </c>
      <c r="CC110" s="18" t="s">
        <v>473</v>
      </c>
      <c r="CG110">
        <f>(CN5*((CN6/2)^2)*PI()*(91/292)*10^-9)</f>
        <v>19.887115310342068</v>
      </c>
      <c r="CH110">
        <f>Index!$C$67</f>
        <v>20.399999999999999</v>
      </c>
      <c r="CI110">
        <f>CG110*CH110</f>
        <v>405.69715233097816</v>
      </c>
      <c r="CN110" t="s">
        <v>468</v>
      </c>
      <c r="CO110">
        <f>(CO108*CO107)/10^6</f>
        <v>31.448399999999999</v>
      </c>
      <c r="CP110" s="18" t="s">
        <v>473</v>
      </c>
    </row>
    <row r="111" spans="1:206" x14ac:dyDescent="0.25">
      <c r="C111" t="s">
        <v>533</v>
      </c>
      <c r="D111">
        <v>1095</v>
      </c>
      <c r="E111" t="s">
        <v>528</v>
      </c>
      <c r="R111" t="s">
        <v>533</v>
      </c>
      <c r="S111">
        <v>730</v>
      </c>
      <c r="T111" t="s">
        <v>528</v>
      </c>
      <c r="AF111" t="s">
        <v>533</v>
      </c>
      <c r="AG111">
        <v>365</v>
      </c>
      <c r="AH111" t="s">
        <v>528</v>
      </c>
      <c r="AT111" t="s">
        <v>533</v>
      </c>
      <c r="AU111">
        <v>240</v>
      </c>
      <c r="AV111" t="s">
        <v>528</v>
      </c>
      <c r="AX111">
        <f>AW109+AW110</f>
        <v>394.21163305660377</v>
      </c>
      <c r="BG111" t="s">
        <v>533</v>
      </c>
      <c r="BH111">
        <v>240</v>
      </c>
      <c r="BI111" t="s">
        <v>528</v>
      </c>
      <c r="BK111">
        <f>BJ109+BJ110</f>
        <v>515.3361142037736</v>
      </c>
      <c r="BT111" t="s">
        <v>533</v>
      </c>
      <c r="BU111">
        <v>90</v>
      </c>
      <c r="BV111" t="s">
        <v>528</v>
      </c>
      <c r="BX111">
        <f>BW109+BW110</f>
        <v>529.60448696958724</v>
      </c>
      <c r="CF111" t="s">
        <v>533</v>
      </c>
      <c r="CG111">
        <v>60</v>
      </c>
      <c r="CH111" t="s">
        <v>528</v>
      </c>
      <c r="CJ111">
        <f>CI109+CI110</f>
        <v>599.19715233097816</v>
      </c>
    </row>
    <row r="112" spans="1:206" x14ac:dyDescent="0.25">
      <c r="AU112">
        <f>365/AU111</f>
        <v>1.5208333333333333</v>
      </c>
      <c r="BU112">
        <f>BU111*2</f>
        <v>180</v>
      </c>
      <c r="CG112">
        <f>CG111*2</f>
        <v>120</v>
      </c>
    </row>
    <row r="114" spans="3:202" x14ac:dyDescent="0.25">
      <c r="D114" t="s">
        <v>325</v>
      </c>
      <c r="H114" t="s">
        <v>59</v>
      </c>
      <c r="S114" t="s">
        <v>325</v>
      </c>
      <c r="W114" t="s">
        <v>59</v>
      </c>
      <c r="AG114" t="s">
        <v>325</v>
      </c>
      <c r="AK114" t="s">
        <v>59</v>
      </c>
      <c r="AU114" t="s">
        <v>325</v>
      </c>
      <c r="AY114" t="s">
        <v>59</v>
      </c>
      <c r="BH114" t="s">
        <v>325</v>
      </c>
      <c r="BL114" t="s">
        <v>59</v>
      </c>
      <c r="BU114" t="s">
        <v>325</v>
      </c>
      <c r="BY114" t="s">
        <v>59</v>
      </c>
      <c r="CG114" t="s">
        <v>325</v>
      </c>
      <c r="CK114" t="s">
        <v>59</v>
      </c>
    </row>
    <row r="115" spans="3:202" x14ac:dyDescent="0.25">
      <c r="C115" t="s">
        <v>324</v>
      </c>
      <c r="D115" s="10">
        <v>5</v>
      </c>
      <c r="E115" s="10">
        <v>10</v>
      </c>
      <c r="F115" s="10">
        <v>25</v>
      </c>
      <c r="R115" t="s">
        <v>324</v>
      </c>
      <c r="S115" s="10">
        <v>5</v>
      </c>
      <c r="T115" s="10">
        <v>10</v>
      </c>
      <c r="U115" s="10">
        <v>25</v>
      </c>
      <c r="AG115" s="10">
        <v>5</v>
      </c>
      <c r="AH115" s="10">
        <v>10</v>
      </c>
      <c r="AI115" s="10">
        <v>25</v>
      </c>
      <c r="AT115" t="s">
        <v>324</v>
      </c>
      <c r="AU115" s="10">
        <v>5</v>
      </c>
      <c r="AV115" s="10">
        <v>10</v>
      </c>
      <c r="AW115" s="10">
        <v>25</v>
      </c>
      <c r="BG115" t="s">
        <v>324</v>
      </c>
      <c r="BH115" s="10">
        <v>5</v>
      </c>
      <c r="BI115" s="10">
        <v>10</v>
      </c>
      <c r="BJ115" s="10">
        <v>25</v>
      </c>
      <c r="BT115" t="s">
        <v>324</v>
      </c>
      <c r="BU115" s="10">
        <v>5</v>
      </c>
      <c r="BV115" s="10">
        <v>10</v>
      </c>
      <c r="BW115" s="10">
        <v>25</v>
      </c>
      <c r="CF115" t="s">
        <v>324</v>
      </c>
      <c r="CG115" s="10">
        <v>5</v>
      </c>
      <c r="CH115" s="10">
        <v>10</v>
      </c>
      <c r="CI115" s="10">
        <v>25</v>
      </c>
    </row>
    <row r="116" spans="3:202" x14ac:dyDescent="0.25">
      <c r="C116" s="10">
        <v>6</v>
      </c>
      <c r="D116" s="5">
        <f t="shared" ref="D116:F123" si="12">ROUNDDOWN($C116*D$115,0)</f>
        <v>30</v>
      </c>
      <c r="E116" s="5">
        <f t="shared" si="12"/>
        <v>60</v>
      </c>
      <c r="F116" s="5">
        <f t="shared" si="12"/>
        <v>150</v>
      </c>
      <c r="H116">
        <f>F116*$F$109</f>
        <v>29025</v>
      </c>
      <c r="R116">
        <v>7.3</v>
      </c>
      <c r="S116" s="5">
        <f t="shared" ref="S116:U122" si="13">ROUNDDOWN($R116*S$115,0)</f>
        <v>36</v>
      </c>
      <c r="T116" s="5">
        <f t="shared" si="13"/>
        <v>73</v>
      </c>
      <c r="U116" s="5">
        <f t="shared" si="13"/>
        <v>182</v>
      </c>
      <c r="W116">
        <f>U116*$U$109</f>
        <v>35217</v>
      </c>
      <c r="Y116">
        <f t="shared" ref="Y116:Y122" si="14">R116*$U$109</f>
        <v>1412.55</v>
      </c>
      <c r="AF116">
        <v>9.125</v>
      </c>
      <c r="AG116" s="5">
        <f t="shared" ref="AG116:AI122" si="15">ROUNDDOWN($AF116*AG$115,0)</f>
        <v>45</v>
      </c>
      <c r="AH116" s="5">
        <f t="shared" si="15"/>
        <v>91</v>
      </c>
      <c r="AI116" s="5">
        <f t="shared" si="15"/>
        <v>228</v>
      </c>
      <c r="AK116">
        <f>AI116*$AI$109</f>
        <v>44118</v>
      </c>
      <c r="AT116">
        <v>12.167</v>
      </c>
      <c r="AU116" s="5">
        <f t="shared" ref="AU116:AW122" si="16">ROUNDDOWN($AT116*AU$115,0)</f>
        <v>60</v>
      </c>
      <c r="AV116" s="5">
        <f t="shared" si="16"/>
        <v>121</v>
      </c>
      <c r="AW116" s="5">
        <f t="shared" si="16"/>
        <v>304</v>
      </c>
      <c r="AY116">
        <f>AW116*$AX$111</f>
        <v>119840.33644920755</v>
      </c>
      <c r="BG116">
        <v>12.167</v>
      </c>
      <c r="BH116" s="5">
        <f t="shared" ref="BH116:BJ122" si="17">ROUNDDOWN($BG116*BH$115,0)</f>
        <v>60</v>
      </c>
      <c r="BI116" s="5">
        <f t="shared" si="17"/>
        <v>121</v>
      </c>
      <c r="BJ116" s="5">
        <f t="shared" si="17"/>
        <v>304</v>
      </c>
      <c r="BL116">
        <f>BJ116*$BK$111</f>
        <v>156662.17871794719</v>
      </c>
      <c r="BU116" s="5">
        <f t="shared" ref="BU116:BW122" si="18">ROUNDDOWN($BT116*BU$115,0)</f>
        <v>0</v>
      </c>
      <c r="BV116" s="5">
        <f t="shared" si="18"/>
        <v>0</v>
      </c>
      <c r="BW116" s="5">
        <f t="shared" si="18"/>
        <v>0</v>
      </c>
      <c r="BY116">
        <f>BW116*$F$109</f>
        <v>0</v>
      </c>
      <c r="CG116" s="5">
        <f t="shared" ref="CG116:CI123" si="19">ROUNDDOWN($CF116*CG$115,0)</f>
        <v>0</v>
      </c>
      <c r="CH116" s="5">
        <f t="shared" si="19"/>
        <v>0</v>
      </c>
      <c r="CI116" s="5">
        <f t="shared" si="19"/>
        <v>0</v>
      </c>
      <c r="CK116">
        <f>CI116*$F$109</f>
        <v>0</v>
      </c>
    </row>
    <row r="117" spans="3:202" x14ac:dyDescent="0.25">
      <c r="C117" s="10">
        <v>4</v>
      </c>
      <c r="D117" s="5">
        <f t="shared" si="12"/>
        <v>20</v>
      </c>
      <c r="E117" s="5">
        <f t="shared" si="12"/>
        <v>40</v>
      </c>
      <c r="F117" s="5">
        <f t="shared" si="12"/>
        <v>100</v>
      </c>
      <c r="H117">
        <f t="shared" ref="H117:H122" si="20">F117*$F$109</f>
        <v>19350</v>
      </c>
      <c r="R117" s="10">
        <v>6</v>
      </c>
      <c r="S117" s="5">
        <f t="shared" si="13"/>
        <v>30</v>
      </c>
      <c r="T117" s="5">
        <f t="shared" si="13"/>
        <v>60</v>
      </c>
      <c r="U117" s="5">
        <f t="shared" si="13"/>
        <v>150</v>
      </c>
      <c r="W117">
        <f t="shared" ref="W117:W122" si="21">U117*$U$109</f>
        <v>29025</v>
      </c>
      <c r="Y117">
        <f t="shared" si="14"/>
        <v>1161</v>
      </c>
      <c r="AF117">
        <v>7.3</v>
      </c>
      <c r="AG117" s="5">
        <f t="shared" si="15"/>
        <v>36</v>
      </c>
      <c r="AH117" s="5">
        <f t="shared" si="15"/>
        <v>73</v>
      </c>
      <c r="AI117" s="5">
        <f t="shared" si="15"/>
        <v>182</v>
      </c>
      <c r="AK117">
        <f t="shared" ref="AK117:AK123" si="22">AI117*$AI$109</f>
        <v>35217</v>
      </c>
      <c r="AT117">
        <v>9.125</v>
      </c>
      <c r="AU117" s="5">
        <f t="shared" si="16"/>
        <v>45</v>
      </c>
      <c r="AV117" s="5">
        <f t="shared" si="16"/>
        <v>91</v>
      </c>
      <c r="AW117" s="5">
        <f t="shared" si="16"/>
        <v>228</v>
      </c>
      <c r="AY117">
        <f t="shared" ref="AY117:AY123" si="23">AW117*$AX$111</f>
        <v>89880.252336905658</v>
      </c>
      <c r="BG117">
        <v>9.125</v>
      </c>
      <c r="BH117" s="5">
        <f t="shared" si="17"/>
        <v>45</v>
      </c>
      <c r="BI117" s="5">
        <f t="shared" si="17"/>
        <v>91</v>
      </c>
      <c r="BJ117" s="5">
        <f t="shared" si="17"/>
        <v>228</v>
      </c>
      <c r="BL117">
        <f t="shared" ref="BL117:BL123" si="24">BJ117*$BK$111</f>
        <v>117496.63403846038</v>
      </c>
      <c r="BT117" s="10"/>
      <c r="BU117" s="5">
        <f t="shared" si="18"/>
        <v>0</v>
      </c>
      <c r="BV117" s="5">
        <f t="shared" si="18"/>
        <v>0</v>
      </c>
      <c r="BW117" s="5">
        <f t="shared" si="18"/>
        <v>0</v>
      </c>
      <c r="BY117">
        <f t="shared" ref="BY117" si="25">BW117*$F$109</f>
        <v>0</v>
      </c>
      <c r="CF117" s="10"/>
      <c r="CG117" s="5">
        <f t="shared" si="19"/>
        <v>0</v>
      </c>
      <c r="CH117" s="5">
        <f t="shared" si="19"/>
        <v>0</v>
      </c>
      <c r="CI117" s="5">
        <f t="shared" si="19"/>
        <v>0</v>
      </c>
      <c r="CK117">
        <f t="shared" ref="CK117:CK118" si="26">CI117*$F$109</f>
        <v>0</v>
      </c>
    </row>
    <row r="118" spans="3:202" x14ac:dyDescent="0.25">
      <c r="C118" s="10">
        <v>3</v>
      </c>
      <c r="D118" s="5">
        <f t="shared" si="12"/>
        <v>15</v>
      </c>
      <c r="E118" s="5">
        <f t="shared" si="12"/>
        <v>30</v>
      </c>
      <c r="F118" s="5">
        <f t="shared" si="12"/>
        <v>75</v>
      </c>
      <c r="H118">
        <f t="shared" si="20"/>
        <v>14512.5</v>
      </c>
      <c r="R118" s="10">
        <v>4</v>
      </c>
      <c r="S118" s="5">
        <f t="shared" si="13"/>
        <v>20</v>
      </c>
      <c r="T118" s="5">
        <f t="shared" si="13"/>
        <v>40</v>
      </c>
      <c r="U118" s="5">
        <f t="shared" si="13"/>
        <v>100</v>
      </c>
      <c r="W118">
        <f t="shared" si="21"/>
        <v>19350</v>
      </c>
      <c r="Y118">
        <f t="shared" si="14"/>
        <v>774</v>
      </c>
      <c r="Z118" t="s">
        <v>1234</v>
      </c>
      <c r="AF118" s="10">
        <v>6</v>
      </c>
      <c r="AG118" s="5">
        <f t="shared" si="15"/>
        <v>30</v>
      </c>
      <c r="AH118" s="5">
        <f t="shared" si="15"/>
        <v>60</v>
      </c>
      <c r="AI118" s="5">
        <f t="shared" si="15"/>
        <v>150</v>
      </c>
      <c r="AK118">
        <f t="shared" si="22"/>
        <v>29025</v>
      </c>
      <c r="AT118">
        <v>7.3</v>
      </c>
      <c r="AU118" s="5">
        <f t="shared" si="16"/>
        <v>36</v>
      </c>
      <c r="AV118" s="5">
        <f t="shared" si="16"/>
        <v>73</v>
      </c>
      <c r="AW118" s="5">
        <f t="shared" si="16"/>
        <v>182</v>
      </c>
      <c r="AY118">
        <f t="shared" si="23"/>
        <v>71746.517216301887</v>
      </c>
      <c r="BG118">
        <v>7.3</v>
      </c>
      <c r="BH118" s="5">
        <f t="shared" si="17"/>
        <v>36</v>
      </c>
      <c r="BI118" s="5">
        <f t="shared" si="17"/>
        <v>73</v>
      </c>
      <c r="BJ118" s="5">
        <f t="shared" si="17"/>
        <v>182</v>
      </c>
      <c r="BL118">
        <f t="shared" si="24"/>
        <v>93791.17278508679</v>
      </c>
      <c r="BT118">
        <v>18.25</v>
      </c>
      <c r="BU118" s="5">
        <f t="shared" si="18"/>
        <v>91</v>
      </c>
      <c r="BV118" s="5">
        <f t="shared" si="18"/>
        <v>182</v>
      </c>
      <c r="BW118" s="5">
        <f t="shared" si="18"/>
        <v>456</v>
      </c>
      <c r="BY118">
        <f>BW118*$BX$111</f>
        <v>241499.6460581318</v>
      </c>
      <c r="CG118" s="5">
        <f t="shared" si="19"/>
        <v>0</v>
      </c>
      <c r="CH118" s="5">
        <f t="shared" si="19"/>
        <v>0</v>
      </c>
      <c r="CI118" s="5">
        <f t="shared" si="19"/>
        <v>0</v>
      </c>
      <c r="CK118">
        <f t="shared" si="26"/>
        <v>0</v>
      </c>
    </row>
    <row r="119" spans="3:202" x14ac:dyDescent="0.25">
      <c r="C119" s="10">
        <v>2</v>
      </c>
      <c r="D119" s="5">
        <f t="shared" si="12"/>
        <v>10</v>
      </c>
      <c r="E119" s="5">
        <f t="shared" si="12"/>
        <v>20</v>
      </c>
      <c r="F119" s="5">
        <f t="shared" si="12"/>
        <v>50</v>
      </c>
      <c r="H119">
        <f t="shared" si="20"/>
        <v>9675</v>
      </c>
      <c r="R119" s="10">
        <v>3</v>
      </c>
      <c r="S119" s="5">
        <f t="shared" si="13"/>
        <v>15</v>
      </c>
      <c r="T119" s="5">
        <f t="shared" si="13"/>
        <v>30</v>
      </c>
      <c r="U119" s="5">
        <f t="shared" si="13"/>
        <v>75</v>
      </c>
      <c r="W119">
        <f t="shared" si="21"/>
        <v>14512.5</v>
      </c>
      <c r="Y119">
        <f t="shared" si="14"/>
        <v>580.5</v>
      </c>
      <c r="AF119" s="10">
        <v>4</v>
      </c>
      <c r="AG119" s="5">
        <f t="shared" si="15"/>
        <v>20</v>
      </c>
      <c r="AH119" s="5">
        <f t="shared" si="15"/>
        <v>40</v>
      </c>
      <c r="AI119" s="5">
        <f t="shared" si="15"/>
        <v>100</v>
      </c>
      <c r="AK119">
        <f t="shared" si="22"/>
        <v>19350</v>
      </c>
      <c r="AT119" s="10">
        <v>6</v>
      </c>
      <c r="AU119" s="5">
        <f t="shared" si="16"/>
        <v>30</v>
      </c>
      <c r="AV119" s="5">
        <f t="shared" si="16"/>
        <v>60</v>
      </c>
      <c r="AW119" s="5">
        <f t="shared" si="16"/>
        <v>150</v>
      </c>
      <c r="AY119">
        <f t="shared" si="23"/>
        <v>59131.744958490563</v>
      </c>
      <c r="BG119" s="10">
        <v>6</v>
      </c>
      <c r="BH119" s="5">
        <f t="shared" si="17"/>
        <v>30</v>
      </c>
      <c r="BI119" s="5">
        <f t="shared" si="17"/>
        <v>60</v>
      </c>
      <c r="BJ119" s="5">
        <f t="shared" si="17"/>
        <v>150</v>
      </c>
      <c r="BL119">
        <f t="shared" si="24"/>
        <v>77300.417130566042</v>
      </c>
      <c r="BT119">
        <v>12.167</v>
      </c>
      <c r="BU119" s="5">
        <f t="shared" si="18"/>
        <v>60</v>
      </c>
      <c r="BV119" s="5">
        <f t="shared" si="18"/>
        <v>121</v>
      </c>
      <c r="BW119" s="5">
        <f t="shared" si="18"/>
        <v>304</v>
      </c>
      <c r="BY119">
        <f t="shared" ref="BY119:BY123" si="27">BW119*$BX$111</f>
        <v>160999.76403875451</v>
      </c>
      <c r="CF119">
        <v>18.25</v>
      </c>
      <c r="CG119" s="5">
        <f>ROUNDDOWN($CF119*CG$115,0)</f>
        <v>91</v>
      </c>
      <c r="CH119" s="5">
        <f t="shared" si="19"/>
        <v>182</v>
      </c>
      <c r="CI119" s="5">
        <f t="shared" si="19"/>
        <v>456</v>
      </c>
      <c r="CK119">
        <f>CI119*$CJ$111</f>
        <v>273233.90146292606</v>
      </c>
      <c r="CM119">
        <f t="shared" ref="CM119:CM123" si="28">CF119*$CJ$111</f>
        <v>10935.348030040352</v>
      </c>
    </row>
    <row r="120" spans="3:202" x14ac:dyDescent="0.25">
      <c r="C120" s="10">
        <v>1.5208333333333333</v>
      </c>
      <c r="D120" s="5">
        <f t="shared" si="12"/>
        <v>7</v>
      </c>
      <c r="E120" s="5">
        <f t="shared" si="12"/>
        <v>15</v>
      </c>
      <c r="F120" s="5">
        <f t="shared" si="12"/>
        <v>38</v>
      </c>
      <c r="H120">
        <f t="shared" si="20"/>
        <v>7353</v>
      </c>
      <c r="R120" s="10">
        <v>2</v>
      </c>
      <c r="S120" s="5">
        <f t="shared" si="13"/>
        <v>10</v>
      </c>
      <c r="T120" s="5">
        <f t="shared" si="13"/>
        <v>20</v>
      </c>
      <c r="U120" s="5">
        <f t="shared" si="13"/>
        <v>50</v>
      </c>
      <c r="W120">
        <f t="shared" si="21"/>
        <v>9675</v>
      </c>
      <c r="Y120">
        <f t="shared" si="14"/>
        <v>387</v>
      </c>
      <c r="AF120" s="10">
        <v>3</v>
      </c>
      <c r="AG120" s="5">
        <f t="shared" si="15"/>
        <v>15</v>
      </c>
      <c r="AH120" s="5">
        <f t="shared" si="15"/>
        <v>30</v>
      </c>
      <c r="AI120" s="5">
        <f t="shared" si="15"/>
        <v>75</v>
      </c>
      <c r="AK120">
        <f t="shared" si="22"/>
        <v>14512.5</v>
      </c>
      <c r="AT120" s="10">
        <v>4</v>
      </c>
      <c r="AU120" s="5">
        <f t="shared" si="16"/>
        <v>20</v>
      </c>
      <c r="AV120" s="5">
        <f t="shared" si="16"/>
        <v>40</v>
      </c>
      <c r="AW120" s="5">
        <f t="shared" si="16"/>
        <v>100</v>
      </c>
      <c r="AY120">
        <f t="shared" si="23"/>
        <v>39421.163305660375</v>
      </c>
      <c r="BG120" s="10">
        <v>4</v>
      </c>
      <c r="BH120" s="5">
        <f t="shared" si="17"/>
        <v>20</v>
      </c>
      <c r="BI120" s="5">
        <f t="shared" si="17"/>
        <v>40</v>
      </c>
      <c r="BJ120" s="5">
        <f t="shared" si="17"/>
        <v>100</v>
      </c>
      <c r="BL120">
        <f t="shared" si="24"/>
        <v>51533.611420377361</v>
      </c>
      <c r="BT120">
        <v>9.125</v>
      </c>
      <c r="BU120" s="5">
        <f t="shared" si="18"/>
        <v>45</v>
      </c>
      <c r="BV120" s="5">
        <f t="shared" si="18"/>
        <v>91</v>
      </c>
      <c r="BW120" s="5">
        <f t="shared" si="18"/>
        <v>228</v>
      </c>
      <c r="BY120">
        <f t="shared" si="27"/>
        <v>120749.8230290659</v>
      </c>
      <c r="CF120">
        <v>12.167</v>
      </c>
      <c r="CG120" s="5">
        <f t="shared" si="19"/>
        <v>60</v>
      </c>
      <c r="CH120" s="5">
        <f t="shared" si="19"/>
        <v>121</v>
      </c>
      <c r="CI120" s="5">
        <f t="shared" si="19"/>
        <v>304</v>
      </c>
      <c r="CK120">
        <f t="shared" ref="CK120:CK122" si="29">CI120*$CJ$111</f>
        <v>182155.93430861735</v>
      </c>
      <c r="CM120">
        <f t="shared" si="28"/>
        <v>7290.4317524110111</v>
      </c>
      <c r="CO120" t="s">
        <v>1234</v>
      </c>
    </row>
    <row r="121" spans="3:202" x14ac:dyDescent="0.25">
      <c r="C121" s="10">
        <v>1</v>
      </c>
      <c r="D121" s="5">
        <f t="shared" si="12"/>
        <v>5</v>
      </c>
      <c r="E121" s="5">
        <f t="shared" si="12"/>
        <v>10</v>
      </c>
      <c r="F121" s="5">
        <f t="shared" si="12"/>
        <v>25</v>
      </c>
      <c r="H121">
        <f t="shared" si="20"/>
        <v>4837.5</v>
      </c>
      <c r="R121" s="10">
        <v>1.5208333333333333</v>
      </c>
      <c r="S121" s="5">
        <f t="shared" si="13"/>
        <v>7</v>
      </c>
      <c r="T121" s="5">
        <f t="shared" si="13"/>
        <v>15</v>
      </c>
      <c r="U121" s="5">
        <f t="shared" si="13"/>
        <v>38</v>
      </c>
      <c r="W121">
        <f t="shared" si="21"/>
        <v>7353</v>
      </c>
      <c r="Y121">
        <f t="shared" si="14"/>
        <v>294.28125</v>
      </c>
      <c r="AF121" s="10">
        <v>2</v>
      </c>
      <c r="AG121" s="5">
        <f t="shared" si="15"/>
        <v>10</v>
      </c>
      <c r="AH121" s="5">
        <f t="shared" si="15"/>
        <v>20</v>
      </c>
      <c r="AI121" s="5">
        <f t="shared" si="15"/>
        <v>50</v>
      </c>
      <c r="AK121">
        <f t="shared" si="22"/>
        <v>9675</v>
      </c>
      <c r="AT121" s="10">
        <v>3</v>
      </c>
      <c r="AU121" s="5">
        <f t="shared" si="16"/>
        <v>15</v>
      </c>
      <c r="AV121" s="5">
        <f t="shared" si="16"/>
        <v>30</v>
      </c>
      <c r="AW121" s="5">
        <f t="shared" si="16"/>
        <v>75</v>
      </c>
      <c r="AY121">
        <f>AW121*$AX$111</f>
        <v>29565.872479245281</v>
      </c>
      <c r="BG121" s="10">
        <v>3</v>
      </c>
      <c r="BH121" s="5">
        <f t="shared" si="17"/>
        <v>15</v>
      </c>
      <c r="BI121" s="5">
        <f t="shared" si="17"/>
        <v>30</v>
      </c>
      <c r="BJ121" s="5">
        <f t="shared" si="17"/>
        <v>75</v>
      </c>
      <c r="BL121">
        <f t="shared" si="24"/>
        <v>38650.208565283021</v>
      </c>
      <c r="BT121">
        <v>7.3</v>
      </c>
      <c r="BU121" s="5">
        <f t="shared" si="18"/>
        <v>36</v>
      </c>
      <c r="BV121" s="5">
        <f t="shared" si="18"/>
        <v>73</v>
      </c>
      <c r="BW121" s="5">
        <f t="shared" si="18"/>
        <v>182</v>
      </c>
      <c r="BY121">
        <f t="shared" si="27"/>
        <v>96388.016628464873</v>
      </c>
      <c r="CF121">
        <v>9.125</v>
      </c>
      <c r="CG121" s="5">
        <f t="shared" si="19"/>
        <v>45</v>
      </c>
      <c r="CH121" s="5">
        <f t="shared" si="19"/>
        <v>91</v>
      </c>
      <c r="CI121" s="5">
        <f t="shared" si="19"/>
        <v>228</v>
      </c>
      <c r="CK121">
        <f t="shared" si="29"/>
        <v>136616.95073146303</v>
      </c>
      <c r="CM121">
        <f t="shared" si="28"/>
        <v>5467.6740150201758</v>
      </c>
    </row>
    <row r="122" spans="3:202" x14ac:dyDescent="0.25">
      <c r="C122" s="10">
        <v>0.5</v>
      </c>
      <c r="D122" s="5">
        <f t="shared" si="12"/>
        <v>2</v>
      </c>
      <c r="E122" s="5">
        <f t="shared" si="12"/>
        <v>5</v>
      </c>
      <c r="F122" s="5">
        <f t="shared" si="12"/>
        <v>12</v>
      </c>
      <c r="H122">
        <f t="shared" si="20"/>
        <v>2322</v>
      </c>
      <c r="R122" s="10">
        <v>1</v>
      </c>
      <c r="S122" s="5">
        <f t="shared" si="13"/>
        <v>5</v>
      </c>
      <c r="T122" s="5">
        <f t="shared" si="13"/>
        <v>10</v>
      </c>
      <c r="U122" s="5">
        <f t="shared" si="13"/>
        <v>25</v>
      </c>
      <c r="W122">
        <f t="shared" si="21"/>
        <v>4837.5</v>
      </c>
      <c r="Y122">
        <f t="shared" si="14"/>
        <v>193.5</v>
      </c>
      <c r="AF122" s="10">
        <v>1.5208333333333333</v>
      </c>
      <c r="AG122" s="5">
        <f t="shared" si="15"/>
        <v>7</v>
      </c>
      <c r="AH122" s="5">
        <f t="shared" si="15"/>
        <v>15</v>
      </c>
      <c r="AI122" s="5">
        <f t="shared" si="15"/>
        <v>38</v>
      </c>
      <c r="AK122">
        <f t="shared" si="22"/>
        <v>7353</v>
      </c>
      <c r="AT122" s="10">
        <v>2</v>
      </c>
      <c r="AU122" s="5">
        <f t="shared" si="16"/>
        <v>10</v>
      </c>
      <c r="AV122" s="5">
        <f t="shared" si="16"/>
        <v>20</v>
      </c>
      <c r="AW122" s="5">
        <f t="shared" si="16"/>
        <v>50</v>
      </c>
      <c r="AY122">
        <f t="shared" si="23"/>
        <v>19710.581652830188</v>
      </c>
      <c r="BG122" s="10">
        <v>2</v>
      </c>
      <c r="BH122" s="5">
        <f t="shared" si="17"/>
        <v>10</v>
      </c>
      <c r="BI122" s="5">
        <f t="shared" si="17"/>
        <v>20</v>
      </c>
      <c r="BJ122" s="5">
        <f t="shared" si="17"/>
        <v>50</v>
      </c>
      <c r="BL122">
        <f t="shared" si="24"/>
        <v>25766.805710188681</v>
      </c>
      <c r="BT122" s="10">
        <v>6</v>
      </c>
      <c r="BU122" s="5">
        <f t="shared" si="18"/>
        <v>30</v>
      </c>
      <c r="BV122" s="5">
        <f t="shared" si="18"/>
        <v>60</v>
      </c>
      <c r="BW122" s="5">
        <f t="shared" si="18"/>
        <v>150</v>
      </c>
      <c r="BY122">
        <f t="shared" si="27"/>
        <v>79440.673045438089</v>
      </c>
      <c r="CF122">
        <v>7.3</v>
      </c>
      <c r="CG122" s="5">
        <f t="shared" si="19"/>
        <v>36</v>
      </c>
      <c r="CH122" s="5">
        <f t="shared" si="19"/>
        <v>73</v>
      </c>
      <c r="CI122" s="5">
        <f t="shared" si="19"/>
        <v>182</v>
      </c>
      <c r="CK122">
        <f t="shared" si="29"/>
        <v>109053.88172423802</v>
      </c>
      <c r="CM122">
        <f t="shared" si="28"/>
        <v>4374.1392120161408</v>
      </c>
      <c r="GO122" t="s">
        <v>474</v>
      </c>
    </row>
    <row r="123" spans="3:202" x14ac:dyDescent="0.25">
      <c r="C123" s="21">
        <f>365/D111</f>
        <v>0.33333333333333331</v>
      </c>
      <c r="D123" s="5">
        <f t="shared" si="12"/>
        <v>1</v>
      </c>
      <c r="E123" s="5">
        <f t="shared" si="12"/>
        <v>3</v>
      </c>
      <c r="F123" s="5">
        <f t="shared" si="12"/>
        <v>8</v>
      </c>
      <c r="H123">
        <f>F123*$F$109</f>
        <v>1548</v>
      </c>
      <c r="R123" s="21">
        <f>365/S111</f>
        <v>0.5</v>
      </c>
      <c r="S123" s="5">
        <f>ROUNDDOWN($R123*S$115,0)</f>
        <v>2</v>
      </c>
      <c r="T123" s="5">
        <f>ROUNDDOWN($R123*T$115,0)</f>
        <v>5</v>
      </c>
      <c r="U123" s="5">
        <f>ROUNDDOWN($R123*U$115,0)</f>
        <v>12</v>
      </c>
      <c r="W123">
        <f>U123*$U$109</f>
        <v>2322</v>
      </c>
      <c r="Y123">
        <f>R123*$U$109</f>
        <v>96.75</v>
      </c>
      <c r="Z123" t="s">
        <v>1593</v>
      </c>
      <c r="AF123" s="21">
        <f>365/AG111</f>
        <v>1</v>
      </c>
      <c r="AG123" s="5">
        <f>ROUNDDOWN($AF123*AG$115,0)</f>
        <v>5</v>
      </c>
      <c r="AH123" s="5">
        <f>ROUNDDOWN($AF123*AH$115,0)</f>
        <v>10</v>
      </c>
      <c r="AI123" s="5">
        <f>ROUNDDOWN($AF123*AI$115,0)</f>
        <v>25</v>
      </c>
      <c r="AK123">
        <f t="shared" si="22"/>
        <v>4837.5</v>
      </c>
      <c r="AT123" s="21">
        <f>365/AU111</f>
        <v>1.5208333333333333</v>
      </c>
      <c r="AU123" s="5">
        <f>ROUNDDOWN($AT123*AU$115,0)</f>
        <v>7</v>
      </c>
      <c r="AV123" s="5">
        <f>ROUNDDOWN($AT123*AV$115,0)</f>
        <v>15</v>
      </c>
      <c r="AW123" s="5">
        <f>ROUNDDOWN($AT123*AW$115,0)</f>
        <v>38</v>
      </c>
      <c r="AY123">
        <f t="shared" si="23"/>
        <v>14980.042056150944</v>
      </c>
      <c r="BG123" s="21">
        <f>365/BH111</f>
        <v>1.5208333333333333</v>
      </c>
      <c r="BH123" s="5">
        <f>ROUNDDOWN($BG123*BH$115,0)</f>
        <v>7</v>
      </c>
      <c r="BI123" s="5">
        <f>ROUNDDOWN($BG123*BI$115,0)</f>
        <v>15</v>
      </c>
      <c r="BJ123" s="5">
        <f>ROUNDDOWN($BG123*BJ$115,0)</f>
        <v>38</v>
      </c>
      <c r="BL123">
        <f t="shared" si="24"/>
        <v>19582.772339743398</v>
      </c>
      <c r="BT123" s="21">
        <f>365/BU111</f>
        <v>4.0555555555555554</v>
      </c>
      <c r="BU123" s="5">
        <f>ROUNDDOWN($BT123*BU$115,0)</f>
        <v>20</v>
      </c>
      <c r="BV123" s="5">
        <f>ROUNDDOWN($BT123*BV$115,0)</f>
        <v>40</v>
      </c>
      <c r="BW123" s="5">
        <f>ROUNDDOWN($BT123*BW$115,0)</f>
        <v>101</v>
      </c>
      <c r="BY123">
        <f t="shared" si="27"/>
        <v>53490.053183928314</v>
      </c>
      <c r="CF123" s="21">
        <f>365/CG111</f>
        <v>6.083333333333333</v>
      </c>
      <c r="CG123" s="5">
        <f>ROUNDDOWN($CF123*CG$115,0)</f>
        <v>30</v>
      </c>
      <c r="CH123" s="5">
        <f>ROUNDDOWN($CF123*CH$115,0)</f>
        <v>60</v>
      </c>
      <c r="CI123" s="5">
        <f t="shared" si="19"/>
        <v>152</v>
      </c>
      <c r="CK123">
        <f>CI123*$CJ$111</f>
        <v>91077.967154308673</v>
      </c>
      <c r="CM123">
        <f t="shared" si="28"/>
        <v>3645.1160100134502</v>
      </c>
      <c r="GO123" t="s">
        <v>475</v>
      </c>
    </row>
    <row r="124" spans="3:202" x14ac:dyDescent="0.25">
      <c r="C124" s="21"/>
      <c r="D124" s="5"/>
      <c r="E124" s="5"/>
      <c r="F124" s="5"/>
      <c r="R124" s="21"/>
      <c r="S124" s="5"/>
      <c r="T124" s="5"/>
      <c r="U124" s="5"/>
      <c r="AF124" s="21"/>
      <c r="AG124" s="5"/>
      <c r="AH124" s="5"/>
      <c r="AI124" s="5"/>
      <c r="AT124" s="21"/>
      <c r="AU124" s="5"/>
      <c r="AV124" s="5"/>
      <c r="AW124" s="5"/>
      <c r="BG124" s="21"/>
      <c r="BH124" s="5"/>
      <c r="BI124" s="5"/>
      <c r="BJ124" s="5"/>
      <c r="BT124" s="21">
        <f>365/BU112</f>
        <v>2.0277777777777777</v>
      </c>
      <c r="BU124" s="5">
        <f>ROUNDDOWN($CF124*BU$115,0)</f>
        <v>15</v>
      </c>
      <c r="BV124" s="5">
        <f>ROUNDDOWN($CF124*BV$115,0)</f>
        <v>30</v>
      </c>
      <c r="BW124" s="5">
        <f>ROUNDDOWN($CF124*BW$115,0)</f>
        <v>75</v>
      </c>
      <c r="BY124">
        <f>BW124*$BX$111</f>
        <v>39720.336522719044</v>
      </c>
      <c r="CF124" s="21">
        <v>3</v>
      </c>
      <c r="CG124" s="5">
        <f>ROUNDDOWN($CF124*CG$115,0)</f>
        <v>15</v>
      </c>
      <c r="CH124" s="5">
        <f>ROUNDDOWN($CF124*CH$115,0)</f>
        <v>30</v>
      </c>
      <c r="CI124" s="5">
        <f>ROUNDDOWN($CF124*CI$115,0)</f>
        <v>75</v>
      </c>
      <c r="CK124">
        <f>CI124*$CJ$111</f>
        <v>44939.78642482336</v>
      </c>
      <c r="CM124">
        <f>CF124*$CJ$111</f>
        <v>1797.5914569929346</v>
      </c>
      <c r="CO124" t="s">
        <v>1593</v>
      </c>
      <c r="GP124" t="s">
        <v>80</v>
      </c>
      <c r="GQ124" t="s">
        <v>2</v>
      </c>
      <c r="GR124" t="s">
        <v>81</v>
      </c>
      <c r="GS124" t="s">
        <v>82</v>
      </c>
      <c r="GT124" t="s">
        <v>59</v>
      </c>
    </row>
    <row r="125" spans="3:202" x14ac:dyDescent="0.25">
      <c r="DG125" t="s">
        <v>474</v>
      </c>
      <c r="DU125" t="s">
        <v>474</v>
      </c>
      <c r="GP125" t="s">
        <v>466</v>
      </c>
      <c r="GQ125">
        <v>1</v>
      </c>
      <c r="GR125" s="1">
        <f>Index!$C$88</f>
        <v>40</v>
      </c>
      <c r="GS125" s="1">
        <f>GR125</f>
        <v>40</v>
      </c>
      <c r="GT125">
        <v>40</v>
      </c>
    </row>
    <row r="126" spans="3:202" x14ac:dyDescent="0.25">
      <c r="C126" t="s">
        <v>474</v>
      </c>
      <c r="R126" t="s">
        <v>474</v>
      </c>
      <c r="AF126" t="s">
        <v>474</v>
      </c>
      <c r="AT126" t="s">
        <v>474</v>
      </c>
      <c r="BG126" t="s">
        <v>474</v>
      </c>
      <c r="BT126" t="s">
        <v>474</v>
      </c>
      <c r="CF126" t="s">
        <v>474</v>
      </c>
      <c r="CS126" t="s">
        <v>474</v>
      </c>
      <c r="DG126" t="s">
        <v>475</v>
      </c>
      <c r="DU126" t="s">
        <v>475</v>
      </c>
      <c r="EI126" t="s">
        <v>474</v>
      </c>
      <c r="EW126" t="s">
        <v>474</v>
      </c>
      <c r="FK126" t="s">
        <v>474</v>
      </c>
      <c r="FY126" t="s">
        <v>474</v>
      </c>
      <c r="GP126" t="s">
        <v>919</v>
      </c>
      <c r="GQ126">
        <v>28</v>
      </c>
      <c r="GR126">
        <f>Index!$C$90</f>
        <v>35.125005520162802</v>
      </c>
      <c r="GS126">
        <f>GR126</f>
        <v>35.125005520162802</v>
      </c>
      <c r="GT126">
        <f>GQ126*GS126</f>
        <v>983.50015456455844</v>
      </c>
    </row>
    <row r="127" spans="3:202" x14ac:dyDescent="0.25">
      <c r="C127" t="s">
        <v>475</v>
      </c>
      <c r="R127" t="s">
        <v>475</v>
      </c>
      <c r="AF127" t="s">
        <v>475</v>
      </c>
      <c r="AT127" t="s">
        <v>475</v>
      </c>
      <c r="BG127" t="s">
        <v>475</v>
      </c>
      <c r="BT127" t="s">
        <v>475</v>
      </c>
      <c r="CF127" t="s">
        <v>475</v>
      </c>
      <c r="CS127" t="s">
        <v>475</v>
      </c>
      <c r="DH127" t="s">
        <v>80</v>
      </c>
      <c r="DI127" t="s">
        <v>2</v>
      </c>
      <c r="DJ127" t="s">
        <v>81</v>
      </c>
      <c r="DK127" t="s">
        <v>82</v>
      </c>
      <c r="DL127" t="s">
        <v>59</v>
      </c>
      <c r="DV127" t="s">
        <v>80</v>
      </c>
      <c r="DW127" t="s">
        <v>2</v>
      </c>
      <c r="DX127" t="s">
        <v>81</v>
      </c>
      <c r="DY127" t="s">
        <v>82</v>
      </c>
      <c r="DZ127" t="s">
        <v>59</v>
      </c>
      <c r="EI127" t="s">
        <v>475</v>
      </c>
      <c r="EW127" t="s">
        <v>475</v>
      </c>
      <c r="FK127" t="s">
        <v>475</v>
      </c>
      <c r="FY127" t="s">
        <v>475</v>
      </c>
      <c r="GS127" t="s">
        <v>53</v>
      </c>
      <c r="GT127">
        <f>GT126+GT125</f>
        <v>1023.5001545645584</v>
      </c>
    </row>
    <row r="128" spans="3:202" x14ac:dyDescent="0.25">
      <c r="D128" t="s">
        <v>80</v>
      </c>
      <c r="E128" t="s">
        <v>2</v>
      </c>
      <c r="F128" t="s">
        <v>81</v>
      </c>
      <c r="G128" t="s">
        <v>82</v>
      </c>
      <c r="H128" t="s">
        <v>59</v>
      </c>
      <c r="S128" t="s">
        <v>80</v>
      </c>
      <c r="T128" t="s">
        <v>2</v>
      </c>
      <c r="U128" t="s">
        <v>81</v>
      </c>
      <c r="V128" t="s">
        <v>82</v>
      </c>
      <c r="W128" t="s">
        <v>59</v>
      </c>
      <c r="AG128" t="s">
        <v>80</v>
      </c>
      <c r="AH128" t="s">
        <v>2</v>
      </c>
      <c r="AI128" t="s">
        <v>81</v>
      </c>
      <c r="AJ128" t="s">
        <v>82</v>
      </c>
      <c r="AK128" t="s">
        <v>59</v>
      </c>
      <c r="AU128" t="s">
        <v>80</v>
      </c>
      <c r="AV128" t="s">
        <v>2</v>
      </c>
      <c r="AW128" t="s">
        <v>81</v>
      </c>
      <c r="AX128" t="s">
        <v>82</v>
      </c>
      <c r="AY128" t="s">
        <v>59</v>
      </c>
      <c r="BH128" t="s">
        <v>80</v>
      </c>
      <c r="BI128" t="s">
        <v>2</v>
      </c>
      <c r="BJ128" t="s">
        <v>81</v>
      </c>
      <c r="BK128" t="s">
        <v>82</v>
      </c>
      <c r="BL128" t="s">
        <v>59</v>
      </c>
      <c r="BU128" t="s">
        <v>80</v>
      </c>
      <c r="BV128" t="s">
        <v>2</v>
      </c>
      <c r="BW128" t="s">
        <v>81</v>
      </c>
      <c r="BX128" t="s">
        <v>82</v>
      </c>
      <c r="BY128" t="s">
        <v>59</v>
      </c>
      <c r="CG128" t="s">
        <v>80</v>
      </c>
      <c r="CH128" t="s">
        <v>2</v>
      </c>
      <c r="CI128" t="s">
        <v>81</v>
      </c>
      <c r="CJ128" t="s">
        <v>82</v>
      </c>
      <c r="CK128" t="s">
        <v>59</v>
      </c>
      <c r="CT128" t="s">
        <v>80</v>
      </c>
      <c r="CU128" t="s">
        <v>2</v>
      </c>
      <c r="CV128" t="s">
        <v>81</v>
      </c>
      <c r="CW128" t="s">
        <v>82</v>
      </c>
      <c r="CX128" t="s">
        <v>59</v>
      </c>
      <c r="DH128" t="s">
        <v>466</v>
      </c>
      <c r="DI128">
        <v>1</v>
      </c>
      <c r="DJ128" s="1">
        <f>Index!$C$88</f>
        <v>40</v>
      </c>
      <c r="DK128" s="1">
        <f>DJ128</f>
        <v>40</v>
      </c>
      <c r="DL128">
        <f>DI128*DK128</f>
        <v>40</v>
      </c>
      <c r="DV128" t="s">
        <v>466</v>
      </c>
      <c r="DW128">
        <v>1</v>
      </c>
      <c r="DX128" s="1">
        <f>Index!$C$88</f>
        <v>40</v>
      </c>
      <c r="DY128" s="1">
        <f>DX128</f>
        <v>40</v>
      </c>
      <c r="DZ128">
        <f>DW128*DY128</f>
        <v>40</v>
      </c>
      <c r="EJ128" t="s">
        <v>80</v>
      </c>
      <c r="EK128" t="s">
        <v>2</v>
      </c>
      <c r="EL128" t="s">
        <v>81</v>
      </c>
      <c r="EM128" t="s">
        <v>82</v>
      </c>
      <c r="EN128" t="s">
        <v>59</v>
      </c>
      <c r="EX128" t="s">
        <v>80</v>
      </c>
      <c r="EY128" t="s">
        <v>2</v>
      </c>
      <c r="EZ128" t="s">
        <v>81</v>
      </c>
      <c r="FA128" t="s">
        <v>82</v>
      </c>
      <c r="FB128" t="s">
        <v>59</v>
      </c>
      <c r="FL128" t="s">
        <v>80</v>
      </c>
      <c r="FM128" t="s">
        <v>2</v>
      </c>
      <c r="FN128" t="s">
        <v>81</v>
      </c>
      <c r="FO128" t="s">
        <v>82</v>
      </c>
      <c r="FP128" t="s">
        <v>59</v>
      </c>
      <c r="FZ128" t="s">
        <v>80</v>
      </c>
      <c r="GA128" t="s">
        <v>2</v>
      </c>
      <c r="GB128" t="s">
        <v>81</v>
      </c>
      <c r="GC128" t="s">
        <v>82</v>
      </c>
      <c r="GD128" t="s">
        <v>59</v>
      </c>
    </row>
    <row r="129" spans="1:202" x14ac:dyDescent="0.25">
      <c r="D129" t="s">
        <v>466</v>
      </c>
      <c r="E129">
        <v>1</v>
      </c>
      <c r="F129" s="1">
        <f>Index!$C$88</f>
        <v>40</v>
      </c>
      <c r="G129" s="1">
        <f>F129</f>
        <v>40</v>
      </c>
      <c r="H129">
        <f>E129*G129</f>
        <v>40</v>
      </c>
      <c r="S129" t="s">
        <v>466</v>
      </c>
      <c r="T129">
        <v>1</v>
      </c>
      <c r="U129" s="1">
        <f>Index!$C$88</f>
        <v>40</v>
      </c>
      <c r="V129" s="1">
        <f>U129</f>
        <v>40</v>
      </c>
      <c r="W129">
        <f>T129*V129</f>
        <v>40</v>
      </c>
      <c r="AG129" t="s">
        <v>466</v>
      </c>
      <c r="AH129">
        <v>1</v>
      </c>
      <c r="AI129" s="1">
        <f>Index!$C$88</f>
        <v>40</v>
      </c>
      <c r="AJ129" s="1">
        <f>AI129</f>
        <v>40</v>
      </c>
      <c r="AK129">
        <f>AH129*AJ129</f>
        <v>40</v>
      </c>
      <c r="AU129" t="s">
        <v>466</v>
      </c>
      <c r="AV129">
        <v>1</v>
      </c>
      <c r="AW129" s="1">
        <f>Index!$C$88</f>
        <v>40</v>
      </c>
      <c r="AX129" s="1">
        <f>AW129</f>
        <v>40</v>
      </c>
      <c r="AY129">
        <f>AV129*AX129</f>
        <v>40</v>
      </c>
      <c r="BH129" t="s">
        <v>466</v>
      </c>
      <c r="BI129">
        <v>1</v>
      </c>
      <c r="BJ129" s="1">
        <f>Index!$C$88</f>
        <v>40</v>
      </c>
      <c r="BK129" s="1">
        <f>BJ129</f>
        <v>40</v>
      </c>
      <c r="BL129">
        <f>BI129*BK129</f>
        <v>40</v>
      </c>
      <c r="BU129" t="s">
        <v>466</v>
      </c>
      <c r="BV129">
        <v>1</v>
      </c>
      <c r="BW129" s="1">
        <f>Index!$C$88</f>
        <v>40</v>
      </c>
      <c r="BX129" s="1">
        <f>BW129</f>
        <v>40</v>
      </c>
      <c r="BY129">
        <f>BV129*BX129</f>
        <v>40</v>
      </c>
      <c r="CG129" t="s">
        <v>466</v>
      </c>
      <c r="CH129">
        <v>1</v>
      </c>
      <c r="CI129" s="1">
        <f>Index!$C$88</f>
        <v>40</v>
      </c>
      <c r="CJ129" s="1">
        <f>CI129</f>
        <v>40</v>
      </c>
      <c r="CK129">
        <f>CH129*CJ129</f>
        <v>40</v>
      </c>
      <c r="CT129" t="s">
        <v>466</v>
      </c>
      <c r="CU129">
        <v>1</v>
      </c>
      <c r="CV129" s="1">
        <f>Index!$C$88</f>
        <v>40</v>
      </c>
      <c r="CW129" s="1">
        <f>CV129</f>
        <v>40</v>
      </c>
      <c r="CX129">
        <f>CU129*CW129</f>
        <v>40</v>
      </c>
      <c r="DH129" t="s">
        <v>919</v>
      </c>
      <c r="DI129">
        <v>28</v>
      </c>
      <c r="DJ129">
        <f>Index!$C$90</f>
        <v>35.125005520162802</v>
      </c>
      <c r="DK129">
        <f>DJ129</f>
        <v>35.125005520162802</v>
      </c>
      <c r="DL129">
        <f>DI129*DK129</f>
        <v>983.50015456455844</v>
      </c>
      <c r="DV129" t="s">
        <v>919</v>
      </c>
      <c r="DW129">
        <v>28</v>
      </c>
      <c r="DX129">
        <f>Index!$C$90</f>
        <v>35.125005520162802</v>
      </c>
      <c r="DY129">
        <f>DX129</f>
        <v>35.125005520162802</v>
      </c>
      <c r="DZ129">
        <f>DW129*DY129</f>
        <v>983.50015456455844</v>
      </c>
      <c r="EJ129" t="s">
        <v>466</v>
      </c>
      <c r="EK129">
        <v>1</v>
      </c>
      <c r="EL129" s="1">
        <f>Index!$C$88</f>
        <v>40</v>
      </c>
      <c r="EM129" s="1">
        <f>EL129</f>
        <v>40</v>
      </c>
      <c r="EN129">
        <f>EK129*EM129</f>
        <v>40</v>
      </c>
      <c r="EX129" t="s">
        <v>466</v>
      </c>
      <c r="EY129">
        <v>1</v>
      </c>
      <c r="EZ129" s="1">
        <f>Index!$C$88</f>
        <v>40</v>
      </c>
      <c r="FA129" s="1">
        <f>EZ129</f>
        <v>40</v>
      </c>
      <c r="FB129">
        <f>EY129*FA129</f>
        <v>40</v>
      </c>
      <c r="FL129" t="s">
        <v>466</v>
      </c>
      <c r="FM129">
        <v>1</v>
      </c>
      <c r="FN129" s="1">
        <f>Index!$C$88</f>
        <v>40</v>
      </c>
      <c r="FO129" s="1">
        <f>FN129</f>
        <v>40</v>
      </c>
      <c r="FP129">
        <f>FM129*FO129</f>
        <v>40</v>
      </c>
      <c r="FZ129" t="s">
        <v>466</v>
      </c>
      <c r="GA129">
        <v>1</v>
      </c>
      <c r="GB129" s="1">
        <f>Index!$C$88</f>
        <v>40</v>
      </c>
      <c r="GC129" s="1">
        <f>GB129</f>
        <v>40</v>
      </c>
      <c r="GD129">
        <f>GA129*GC129</f>
        <v>40</v>
      </c>
      <c r="GO129" t="s">
        <v>956</v>
      </c>
    </row>
    <row r="130" spans="1:202" x14ac:dyDescent="0.25">
      <c r="D130" t="s">
        <v>919</v>
      </c>
      <c r="E130">
        <v>28</v>
      </c>
      <c r="F130">
        <f>Index!$C$90</f>
        <v>35.125005520162802</v>
      </c>
      <c r="G130">
        <f>F130</f>
        <v>35.125005520162802</v>
      </c>
      <c r="H130">
        <f>E130*G130</f>
        <v>983.50015456455844</v>
      </c>
      <c r="S130" t="s">
        <v>919</v>
      </c>
      <c r="T130">
        <v>28</v>
      </c>
      <c r="U130">
        <f>Index!$C$90</f>
        <v>35.125005520162802</v>
      </c>
      <c r="V130">
        <f>U130</f>
        <v>35.125005520162802</v>
      </c>
      <c r="W130">
        <f>T130*V130</f>
        <v>983.50015456455844</v>
      </c>
      <c r="AG130" t="s">
        <v>919</v>
      </c>
      <c r="AH130">
        <v>28</v>
      </c>
      <c r="AI130">
        <f>Index!$C$90</f>
        <v>35.125005520162802</v>
      </c>
      <c r="AJ130">
        <f>AI130</f>
        <v>35.125005520162802</v>
      </c>
      <c r="AK130">
        <f>AH130*AJ130</f>
        <v>983.50015456455844</v>
      </c>
      <c r="AU130" t="s">
        <v>919</v>
      </c>
      <c r="AV130">
        <v>28</v>
      </c>
      <c r="AW130">
        <f>Index!$C$90</f>
        <v>35.125005520162802</v>
      </c>
      <c r="AX130">
        <f>AW130</f>
        <v>35.125005520162802</v>
      </c>
      <c r="AY130">
        <f>AV130*AX130</f>
        <v>983.50015456455844</v>
      </c>
      <c r="BH130" t="s">
        <v>919</v>
      </c>
      <c r="BI130">
        <v>28</v>
      </c>
      <c r="BJ130">
        <f>Index!$C$90</f>
        <v>35.125005520162802</v>
      </c>
      <c r="BK130">
        <f>BJ130</f>
        <v>35.125005520162802</v>
      </c>
      <c r="BL130">
        <f>BI130*BK130</f>
        <v>983.50015456455844</v>
      </c>
      <c r="BU130" t="s">
        <v>919</v>
      </c>
      <c r="BV130">
        <v>28</v>
      </c>
      <c r="BW130">
        <f>Index!$C$90</f>
        <v>35.125005520162802</v>
      </c>
      <c r="BX130">
        <f>BW130</f>
        <v>35.125005520162802</v>
      </c>
      <c r="BY130">
        <f>BV130*BX130</f>
        <v>983.50015456455844</v>
      </c>
      <c r="CG130" t="s">
        <v>919</v>
      </c>
      <c r="CH130">
        <v>28</v>
      </c>
      <c r="CI130">
        <f>Index!$C$90</f>
        <v>35.125005520162802</v>
      </c>
      <c r="CJ130">
        <f>CI130</f>
        <v>35.125005520162802</v>
      </c>
      <c r="CK130">
        <f>CH130*CJ130</f>
        <v>983.50015456455844</v>
      </c>
      <c r="CT130" t="s">
        <v>919</v>
      </c>
      <c r="CU130">
        <v>28</v>
      </c>
      <c r="CV130">
        <f>Index!$C$90</f>
        <v>35.125005520162802</v>
      </c>
      <c r="CW130">
        <f>CV130</f>
        <v>35.125005520162802</v>
      </c>
      <c r="CX130">
        <f>CU130*CW130</f>
        <v>983.50015456455844</v>
      </c>
      <c r="DK130" t="s">
        <v>53</v>
      </c>
      <c r="DL130">
        <f>DL129+DL128</f>
        <v>1023.5001545645584</v>
      </c>
      <c r="DY130" t="s">
        <v>53</v>
      </c>
      <c r="DZ130">
        <f>DZ129+DZ128</f>
        <v>1023.5001545645584</v>
      </c>
      <c r="EJ130" t="s">
        <v>919</v>
      </c>
      <c r="EK130">
        <v>28</v>
      </c>
      <c r="EL130">
        <f>Index!$C$90</f>
        <v>35.125005520162802</v>
      </c>
      <c r="EM130">
        <f>EL130</f>
        <v>35.125005520162802</v>
      </c>
      <c r="EN130">
        <f>EK130*EM130</f>
        <v>983.50015456455844</v>
      </c>
      <c r="EX130" t="s">
        <v>919</v>
      </c>
      <c r="EY130">
        <v>28</v>
      </c>
      <c r="EZ130">
        <f>Index!$C$90</f>
        <v>35.125005520162802</v>
      </c>
      <c r="FA130">
        <f>EZ130</f>
        <v>35.125005520162802</v>
      </c>
      <c r="FB130">
        <f>EY130*FA130</f>
        <v>983.50015456455844</v>
      </c>
      <c r="FL130" t="s">
        <v>919</v>
      </c>
      <c r="FM130">
        <v>28</v>
      </c>
      <c r="FN130">
        <f>Index!$C$90</f>
        <v>35.125005520162802</v>
      </c>
      <c r="FO130">
        <f>FN130</f>
        <v>35.125005520162802</v>
      </c>
      <c r="FP130">
        <f>FM130*FO130</f>
        <v>983.50015456455844</v>
      </c>
      <c r="FZ130" t="s">
        <v>919</v>
      </c>
      <c r="GA130">
        <v>28</v>
      </c>
      <c r="GB130">
        <f>Index!$C$90</f>
        <v>35.125005520162802</v>
      </c>
      <c r="GC130">
        <f>GB130</f>
        <v>35.125005520162802</v>
      </c>
      <c r="GD130">
        <f>GA130*GC130</f>
        <v>983.50015456455844</v>
      </c>
      <c r="GP130" t="s">
        <v>934</v>
      </c>
      <c r="GQ130">
        <v>2</v>
      </c>
      <c r="GR130">
        <v>293.933333333333</v>
      </c>
      <c r="GT130">
        <f>GR130*GQ130</f>
        <v>587.86666666666599</v>
      </c>
    </row>
    <row r="131" spans="1:202" x14ac:dyDescent="0.25">
      <c r="G131" t="s">
        <v>53</v>
      </c>
      <c r="H131">
        <f>H130+H129</f>
        <v>1023.5001545645584</v>
      </c>
      <c r="V131" t="s">
        <v>53</v>
      </c>
      <c r="W131">
        <f>W130+W129</f>
        <v>1023.5001545645584</v>
      </c>
      <c r="AJ131" t="s">
        <v>53</v>
      </c>
      <c r="AK131">
        <f>AK130+AK129</f>
        <v>1023.5001545645584</v>
      </c>
      <c r="AX131" t="s">
        <v>53</v>
      </c>
      <c r="AY131">
        <f>AY130+AY129</f>
        <v>1023.5001545645584</v>
      </c>
      <c r="BK131" t="s">
        <v>53</v>
      </c>
      <c r="BL131">
        <f>BL130+BL129</f>
        <v>1023.5001545645584</v>
      </c>
      <c r="BX131" t="s">
        <v>53</v>
      </c>
      <c r="BY131">
        <f>BY130+BY129</f>
        <v>1023.5001545645584</v>
      </c>
      <c r="CJ131" t="s">
        <v>53</v>
      </c>
      <c r="CK131">
        <f>CK130+CK129</f>
        <v>1023.5001545645584</v>
      </c>
      <c r="CW131" t="s">
        <v>53</v>
      </c>
      <c r="CX131">
        <f>CX130+CX129</f>
        <v>1023.5001545645584</v>
      </c>
      <c r="EM131" t="s">
        <v>53</v>
      </c>
      <c r="EN131">
        <f>EN130+EN129</f>
        <v>1023.5001545645584</v>
      </c>
      <c r="FA131" t="s">
        <v>53</v>
      </c>
      <c r="FB131">
        <f>FB130+FB129</f>
        <v>1023.5001545645584</v>
      </c>
      <c r="FO131" t="s">
        <v>53</v>
      </c>
      <c r="FP131">
        <f>FP130+FP129</f>
        <v>1023.5001545645584</v>
      </c>
      <c r="GC131" t="s">
        <v>53</v>
      </c>
      <c r="GD131">
        <f>GD130+GD129</f>
        <v>1023.5001545645584</v>
      </c>
      <c r="GP131" t="s">
        <v>935</v>
      </c>
      <c r="GQ131">
        <v>2</v>
      </c>
      <c r="GR131">
        <v>58.776066288000003</v>
      </c>
      <c r="GT131">
        <f>GR131*GQ131</f>
        <v>117.55213257600001</v>
      </c>
    </row>
    <row r="132" spans="1:202" x14ac:dyDescent="0.25">
      <c r="DG132" t="s">
        <v>956</v>
      </c>
      <c r="DU132" t="s">
        <v>956</v>
      </c>
      <c r="GT132">
        <f>GT130+GT131</f>
        <v>705.41879924266595</v>
      </c>
    </row>
    <row r="133" spans="1:202" x14ac:dyDescent="0.25">
      <c r="C133" t="s">
        <v>956</v>
      </c>
      <c r="R133" t="s">
        <v>956</v>
      </c>
      <c r="AF133" t="s">
        <v>956</v>
      </c>
      <c r="AT133" t="s">
        <v>956</v>
      </c>
      <c r="BG133" t="s">
        <v>956</v>
      </c>
      <c r="BT133" t="s">
        <v>956</v>
      </c>
      <c r="CF133" t="s">
        <v>956</v>
      </c>
      <c r="CS133" t="s">
        <v>956</v>
      </c>
      <c r="DH133" t="s">
        <v>934</v>
      </c>
      <c r="DI133">
        <v>1</v>
      </c>
      <c r="DJ133">
        <v>293.93333333333328</v>
      </c>
      <c r="DL133">
        <f>DJ133</f>
        <v>293.93333333333328</v>
      </c>
      <c r="DV133" t="s">
        <v>934</v>
      </c>
      <c r="DW133">
        <v>1</v>
      </c>
      <c r="DX133">
        <v>293.93333333333328</v>
      </c>
      <c r="DZ133">
        <f>DX133</f>
        <v>293.93333333333328</v>
      </c>
      <c r="EI133" t="s">
        <v>956</v>
      </c>
      <c r="EW133" t="s">
        <v>956</v>
      </c>
      <c r="FK133" t="s">
        <v>956</v>
      </c>
      <c r="FY133" t="s">
        <v>956</v>
      </c>
    </row>
    <row r="134" spans="1:202" x14ac:dyDescent="0.25">
      <c r="D134" t="s">
        <v>934</v>
      </c>
      <c r="E134">
        <v>1</v>
      </c>
      <c r="F134">
        <v>50.4</v>
      </c>
      <c r="H134">
        <f>F134</f>
        <v>50.4</v>
      </c>
      <c r="S134" t="s">
        <v>934</v>
      </c>
      <c r="T134">
        <v>1</v>
      </c>
      <c r="U134">
        <v>50.4</v>
      </c>
      <c r="W134">
        <f>U134</f>
        <v>50.4</v>
      </c>
      <c r="AG134" t="s">
        <v>934</v>
      </c>
      <c r="AH134">
        <v>1</v>
      </c>
      <c r="AI134">
        <v>73.2</v>
      </c>
      <c r="AK134">
        <f>AI134</f>
        <v>73.2</v>
      </c>
      <c r="AU134" t="s">
        <v>934</v>
      </c>
      <c r="AV134">
        <v>1</v>
      </c>
      <c r="AW134">
        <v>293.93333333333328</v>
      </c>
      <c r="AY134">
        <f>AW134</f>
        <v>293.93333333333328</v>
      </c>
      <c r="BH134" t="s">
        <v>934</v>
      </c>
      <c r="BI134">
        <v>1</v>
      </c>
      <c r="BJ134">
        <v>293.93333333333328</v>
      </c>
      <c r="BL134">
        <f>BJ134</f>
        <v>293.93333333333328</v>
      </c>
      <c r="BU134" t="s">
        <v>934</v>
      </c>
      <c r="BV134">
        <v>1</v>
      </c>
      <c r="BW134">
        <v>293.93333333333328</v>
      </c>
      <c r="BY134">
        <f>BW134</f>
        <v>293.93333333333328</v>
      </c>
      <c r="CG134" t="s">
        <v>934</v>
      </c>
      <c r="CH134">
        <v>1</v>
      </c>
      <c r="CI134">
        <v>293.93333333333328</v>
      </c>
      <c r="CK134">
        <f>CI134</f>
        <v>293.93333333333328</v>
      </c>
      <c r="CT134" t="s">
        <v>934</v>
      </c>
      <c r="CU134">
        <v>1</v>
      </c>
      <c r="CV134">
        <v>293.93333333333328</v>
      </c>
      <c r="CX134">
        <f>CV134</f>
        <v>293.93333333333328</v>
      </c>
      <c r="DH134" t="s">
        <v>935</v>
      </c>
      <c r="DI134">
        <v>1</v>
      </c>
      <c r="DJ134">
        <v>58.776066287999996</v>
      </c>
      <c r="DL134">
        <f>DJ134</f>
        <v>58.776066287999996</v>
      </c>
      <c r="DV134" t="s">
        <v>935</v>
      </c>
      <c r="DW134">
        <v>1</v>
      </c>
      <c r="DX134">
        <v>58.776066287999996</v>
      </c>
      <c r="DZ134">
        <f>DX134</f>
        <v>58.776066287999996</v>
      </c>
      <c r="EJ134" t="s">
        <v>934</v>
      </c>
      <c r="EK134">
        <v>1</v>
      </c>
      <c r="EL134">
        <v>293.93333333333328</v>
      </c>
      <c r="EN134">
        <f>EL134</f>
        <v>293.93333333333328</v>
      </c>
      <c r="EX134" t="s">
        <v>934</v>
      </c>
      <c r="EY134">
        <v>1</v>
      </c>
      <c r="EZ134">
        <v>293.93333333333328</v>
      </c>
      <c r="FB134">
        <f>EZ134</f>
        <v>293.93333333333328</v>
      </c>
      <c r="FL134" t="s">
        <v>934</v>
      </c>
      <c r="FM134">
        <v>1</v>
      </c>
      <c r="FN134">
        <v>293.93333333333328</v>
      </c>
      <c r="FP134">
        <f>FN134</f>
        <v>293.93333333333328</v>
      </c>
      <c r="FZ134" t="s">
        <v>934</v>
      </c>
      <c r="GA134">
        <v>1</v>
      </c>
      <c r="GB134">
        <v>293.93333333333328</v>
      </c>
      <c r="GD134">
        <f>GB134</f>
        <v>293.93333333333328</v>
      </c>
    </row>
    <row r="135" spans="1:202" x14ac:dyDescent="0.25">
      <c r="D135" t="s">
        <v>935</v>
      </c>
      <c r="E135">
        <v>1</v>
      </c>
      <c r="F135">
        <v>28.212511818239999</v>
      </c>
      <c r="H135">
        <f>F135</f>
        <v>28.212511818239999</v>
      </c>
      <c r="S135" t="s">
        <v>935</v>
      </c>
      <c r="T135">
        <v>1</v>
      </c>
      <c r="U135">
        <v>28.212511818239999</v>
      </c>
      <c r="W135">
        <f>U135</f>
        <v>28.212511818239999</v>
      </c>
      <c r="AG135" t="s">
        <v>935</v>
      </c>
      <c r="AH135">
        <v>1</v>
      </c>
      <c r="AI135">
        <v>28.212511818239999</v>
      </c>
      <c r="AK135">
        <f>AI135</f>
        <v>28.212511818239999</v>
      </c>
      <c r="AU135" t="s">
        <v>935</v>
      </c>
      <c r="AV135">
        <v>1</v>
      </c>
      <c r="AW135">
        <v>58.776066287999996</v>
      </c>
      <c r="AY135">
        <f>AW135</f>
        <v>58.776066287999996</v>
      </c>
      <c r="BH135" t="s">
        <v>935</v>
      </c>
      <c r="BI135">
        <v>1</v>
      </c>
      <c r="BJ135">
        <v>58.776066287999996</v>
      </c>
      <c r="BL135">
        <f>BJ135</f>
        <v>58.776066287999996</v>
      </c>
      <c r="BU135" t="s">
        <v>935</v>
      </c>
      <c r="BV135">
        <v>1</v>
      </c>
      <c r="BW135">
        <v>58.776066288000003</v>
      </c>
      <c r="BY135">
        <f>BW135</f>
        <v>58.776066288000003</v>
      </c>
      <c r="CG135" t="s">
        <v>935</v>
      </c>
      <c r="CH135">
        <v>1</v>
      </c>
      <c r="CI135">
        <v>58.776066287999996</v>
      </c>
      <c r="CK135">
        <f>CI135</f>
        <v>58.776066287999996</v>
      </c>
      <c r="CT135" t="s">
        <v>935</v>
      </c>
      <c r="CU135">
        <v>1</v>
      </c>
      <c r="CV135">
        <v>58.776066287999996</v>
      </c>
      <c r="CX135">
        <f>CV135</f>
        <v>58.776066287999996</v>
      </c>
      <c r="DL135">
        <f>DL133+DL134</f>
        <v>352.70939962133326</v>
      </c>
      <c r="DZ135">
        <f>DZ133+DZ134</f>
        <v>352.70939962133326</v>
      </c>
      <c r="EJ135" t="s">
        <v>935</v>
      </c>
      <c r="EK135">
        <v>1</v>
      </c>
      <c r="EL135">
        <v>58.776066287999996</v>
      </c>
      <c r="EN135">
        <f>EL135</f>
        <v>58.776066287999996</v>
      </c>
      <c r="EX135" t="s">
        <v>935</v>
      </c>
      <c r="EY135">
        <v>1</v>
      </c>
      <c r="EZ135">
        <v>58.776066287999996</v>
      </c>
      <c r="FB135">
        <f>EZ135</f>
        <v>58.776066287999996</v>
      </c>
      <c r="FL135" t="s">
        <v>935</v>
      </c>
      <c r="FM135">
        <v>1</v>
      </c>
      <c r="FN135">
        <v>58.776066287999996</v>
      </c>
      <c r="FP135">
        <f>FN135</f>
        <v>58.776066287999996</v>
      </c>
      <c r="FZ135" t="s">
        <v>935</v>
      </c>
      <c r="GA135">
        <v>1</v>
      </c>
      <c r="GB135">
        <v>58.776066287999996</v>
      </c>
      <c r="GD135">
        <f>GB135</f>
        <v>58.776066287999996</v>
      </c>
    </row>
    <row r="136" spans="1:202" x14ac:dyDescent="0.25">
      <c r="H136">
        <f>H134+H135</f>
        <v>78.612511818239994</v>
      </c>
      <c r="W136">
        <f>W134+W135</f>
        <v>78.612511818239994</v>
      </c>
      <c r="AK136">
        <f>AK134+AK135</f>
        <v>101.41251181824001</v>
      </c>
      <c r="AY136">
        <f>AY134+AY135</f>
        <v>352.70939962133326</v>
      </c>
      <c r="BL136">
        <f>BL134+BL135</f>
        <v>352.70939962133326</v>
      </c>
      <c r="BY136">
        <f>BY134+BY135</f>
        <v>352.70939962133326</v>
      </c>
      <c r="CK136">
        <f>CK134+CK135</f>
        <v>352.70939962133326</v>
      </c>
      <c r="CX136">
        <f>CX134+CX135</f>
        <v>352.70939962133326</v>
      </c>
      <c r="EN136">
        <f>EN134+EN135</f>
        <v>352.70939962133326</v>
      </c>
      <c r="FB136">
        <f>FB134+FB135</f>
        <v>352.70939962133326</v>
      </c>
      <c r="FP136">
        <f>FP134+FP135</f>
        <v>352.70939962133326</v>
      </c>
      <c r="GD136">
        <f>GD134+GD135</f>
        <v>352.70939962133326</v>
      </c>
      <c r="GP136" t="s">
        <v>1596</v>
      </c>
      <c r="GR136">
        <f>GT132+GT127+GS108+GS104</f>
        <v>18927.40686173239</v>
      </c>
    </row>
    <row r="138" spans="1:202" ht="15.75" thickBot="1" x14ac:dyDescent="0.3"/>
    <row r="139" spans="1:202" s="88" customFormat="1" ht="15.75" thickBot="1" x14ac:dyDescent="0.3">
      <c r="A139" s="86" t="s">
        <v>1612</v>
      </c>
      <c r="O139" s="90"/>
      <c r="AC139" s="90"/>
      <c r="AQ139" s="90"/>
      <c r="BD139" s="90"/>
      <c r="BQ139" s="90"/>
      <c r="CD139" s="90"/>
      <c r="CQ139" s="90"/>
      <c r="DE139" s="90"/>
      <c r="DS139" s="90"/>
      <c r="EG139" s="90"/>
      <c r="EU139" s="90"/>
      <c r="FI139" s="90"/>
      <c r="FW139" s="90"/>
      <c r="GK139" s="90"/>
    </row>
    <row r="142" spans="1:202" x14ac:dyDescent="0.25">
      <c r="C142" t="s">
        <v>1614</v>
      </c>
      <c r="D142" t="s">
        <v>1614</v>
      </c>
      <c r="R142" t="s">
        <v>1614</v>
      </c>
      <c r="S142" t="s">
        <v>1614</v>
      </c>
      <c r="AF142" t="s">
        <v>1614</v>
      </c>
      <c r="AG142" t="s">
        <v>1614</v>
      </c>
      <c r="AT142" t="s">
        <v>1614</v>
      </c>
      <c r="AU142" t="s">
        <v>1614</v>
      </c>
      <c r="BG142" t="s">
        <v>1614</v>
      </c>
      <c r="BH142" t="s">
        <v>1614</v>
      </c>
      <c r="BT142" t="s">
        <v>1614</v>
      </c>
      <c r="BU142" t="s">
        <v>1614</v>
      </c>
      <c r="CG142" t="s">
        <v>1614</v>
      </c>
      <c r="CH142" t="s">
        <v>1614</v>
      </c>
      <c r="GN142" t="s">
        <v>1614</v>
      </c>
      <c r="GO142" t="s">
        <v>1614</v>
      </c>
    </row>
    <row r="143" spans="1:202" x14ac:dyDescent="0.25">
      <c r="B143" t="s">
        <v>1613</v>
      </c>
      <c r="C143">
        <v>0</v>
      </c>
      <c r="D143">
        <v>3.5000000000000003E-2</v>
      </c>
      <c r="E143">
        <v>0.06</v>
      </c>
      <c r="Q143" t="s">
        <v>1613</v>
      </c>
      <c r="R143">
        <v>0</v>
      </c>
      <c r="S143">
        <v>3.5000000000000003E-2</v>
      </c>
      <c r="T143">
        <v>0.06</v>
      </c>
      <c r="AE143" t="s">
        <v>1613</v>
      </c>
      <c r="AF143">
        <v>0</v>
      </c>
      <c r="AG143">
        <v>3.5000000000000003E-2</v>
      </c>
      <c r="AH143">
        <v>0.06</v>
      </c>
      <c r="AS143" t="s">
        <v>1613</v>
      </c>
      <c r="AT143">
        <v>0</v>
      </c>
      <c r="AU143">
        <v>3.5000000000000003E-2</v>
      </c>
      <c r="AV143">
        <v>0.06</v>
      </c>
      <c r="BF143" t="s">
        <v>1613</v>
      </c>
      <c r="BG143">
        <v>0</v>
      </c>
      <c r="BH143">
        <v>3.5000000000000003E-2</v>
      </c>
      <c r="BI143">
        <v>0.06</v>
      </c>
      <c r="BS143" t="s">
        <v>1613</v>
      </c>
      <c r="BT143">
        <v>0</v>
      </c>
      <c r="BU143">
        <v>3.5000000000000003E-2</v>
      </c>
      <c r="BV143">
        <v>0.06</v>
      </c>
      <c r="CF143" t="s">
        <v>1613</v>
      </c>
      <c r="CG143">
        <v>0</v>
      </c>
      <c r="CH143">
        <v>3.5000000000000003E-2</v>
      </c>
      <c r="CI143">
        <v>0.06</v>
      </c>
      <c r="CS143" t="s">
        <v>1613</v>
      </c>
      <c r="CT143">
        <v>0</v>
      </c>
      <c r="CU143">
        <v>3.5000000000000003E-2</v>
      </c>
      <c r="CV143">
        <v>0.06</v>
      </c>
      <c r="DG143" t="s">
        <v>1613</v>
      </c>
      <c r="DH143">
        <v>0</v>
      </c>
      <c r="DI143">
        <v>3.5000000000000003E-2</v>
      </c>
      <c r="DJ143">
        <v>0.06</v>
      </c>
      <c r="DU143" t="s">
        <v>1613</v>
      </c>
      <c r="DV143">
        <v>0</v>
      </c>
      <c r="DW143">
        <v>3.5000000000000003E-2</v>
      </c>
      <c r="DX143">
        <v>0.06</v>
      </c>
      <c r="EI143" t="s">
        <v>1613</v>
      </c>
      <c r="EJ143">
        <v>0</v>
      </c>
      <c r="EK143">
        <v>3.5000000000000003E-2</v>
      </c>
      <c r="EL143">
        <v>0.06</v>
      </c>
      <c r="EW143" t="s">
        <v>1613</v>
      </c>
      <c r="EX143">
        <v>0</v>
      </c>
      <c r="EY143">
        <v>3.5000000000000003E-2</v>
      </c>
      <c r="EZ143">
        <v>0.06</v>
      </c>
      <c r="FK143" t="s">
        <v>1613</v>
      </c>
      <c r="FL143">
        <v>0</v>
      </c>
      <c r="FM143">
        <v>3.5000000000000003E-2</v>
      </c>
      <c r="FN143">
        <v>0.06</v>
      </c>
      <c r="FY143" t="s">
        <v>1613</v>
      </c>
      <c r="FZ143">
        <v>0</v>
      </c>
      <c r="GA143">
        <v>3.5000000000000003E-2</v>
      </c>
      <c r="GB143">
        <v>0.06</v>
      </c>
      <c r="GM143" t="s">
        <v>1613</v>
      </c>
      <c r="GN143">
        <v>0</v>
      </c>
      <c r="GO143">
        <v>3.5000000000000003E-2</v>
      </c>
      <c r="GP143">
        <v>0.06</v>
      </c>
    </row>
    <row r="144" spans="1:202" x14ac:dyDescent="0.25">
      <c r="B144">
        <v>1</v>
      </c>
      <c r="C144">
        <f>H104+H131+H136+F109</f>
        <v>1322.4583602289522</v>
      </c>
      <c r="D144">
        <f>C144/((1+$D$143)^B144)</f>
        <v>1277.7375461149297</v>
      </c>
      <c r="E144">
        <f>C144/((1+E$143)^$B144)</f>
        <v>1247.602226631087</v>
      </c>
      <c r="Q144">
        <v>1</v>
      </c>
      <c r="R144">
        <f>W104+W131+W136+U109</f>
        <v>1362.7269009981831</v>
      </c>
      <c r="S144">
        <f>R144/((1+S$143)^Q144)</f>
        <v>1316.6443487905151</v>
      </c>
      <c r="T144">
        <f>R144/((1+T$143)^$B144)</f>
        <v>1285.5914160360217</v>
      </c>
      <c r="AE144">
        <v>1</v>
      </c>
      <c r="AF144">
        <f>AK104+AK131+AK136+AI109</f>
        <v>1458.8843202289524</v>
      </c>
      <c r="AG144">
        <f>AF144/((1+AG$143)^AE144)</f>
        <v>1409.5500678540604</v>
      </c>
      <c r="AH144">
        <f>AF144/((1+AH$143)^$B144)</f>
        <v>1376.3059624801438</v>
      </c>
      <c r="AS144">
        <v>1</v>
      </c>
      <c r="AT144">
        <f>AY104+AY131+AY136+AX111</f>
        <v>1988.9326487809572</v>
      </c>
      <c r="AU144">
        <f>AT144/((1+AU$143)^AS144)</f>
        <v>1921.6740567931954</v>
      </c>
      <c r="AV144">
        <f>AT144/((1+AV$143)^$B144)</f>
        <v>1876.351555453733</v>
      </c>
      <c r="BF144">
        <v>1</v>
      </c>
      <c r="BG144">
        <f>BL104+BL131+BL136+BK111</f>
        <v>2234.9208222358193</v>
      </c>
      <c r="BH144">
        <f>BG144/((1+BH$143)^BF144)</f>
        <v>2159.3437895998254</v>
      </c>
      <c r="BI144">
        <f>BG144/((1+BI$143)^$B144)</f>
        <v>2108.4158700337916</v>
      </c>
      <c r="BS144">
        <v>1</v>
      </c>
      <c r="BT144">
        <f>BY104+BY131+BY136+BX111*2</f>
        <v>2966.0892204327583</v>
      </c>
      <c r="BU144">
        <f>BT144/((1+BU$143)^BS144)</f>
        <v>2865.7866864084622</v>
      </c>
      <c r="BV144">
        <f>BT144/((1+BV$143)^$B144)</f>
        <v>2798.1973777667531</v>
      </c>
      <c r="CF144">
        <v>1</v>
      </c>
      <c r="CG144">
        <f>CL104+CK131+CK136+CJ111*2</f>
        <v>3695.2554973093866</v>
      </c>
      <c r="CH144">
        <f>CG144/((1+CH$143)^CF144)</f>
        <v>3570.2951664824996</v>
      </c>
      <c r="CI144">
        <f>CG144/((1+CI$143)^$B144)</f>
        <v>3486.0900918013081</v>
      </c>
      <c r="CS144">
        <v>1</v>
      </c>
      <c r="CT144">
        <f>CX104+CX131+CX136+CU118</f>
        <v>2437.5509388012765</v>
      </c>
      <c r="CU144">
        <f>CT144/((1+CU$143)^CS144)</f>
        <v>2355.1216800012335</v>
      </c>
      <c r="CV144">
        <f>CT144/((1+CV$143)^$B144)</f>
        <v>2299.5763573596946</v>
      </c>
      <c r="DG144">
        <v>1</v>
      </c>
      <c r="DH144">
        <f>DL104+DL131+DL136+DI118</f>
        <v>2241.3032769230772</v>
      </c>
      <c r="DI144">
        <f>DH144/((1+DI$143)^DG144)</f>
        <v>2165.510412486065</v>
      </c>
      <c r="DJ144">
        <f>DH144/((1+DJ$143)^$B144)</f>
        <v>2114.4370537010163</v>
      </c>
      <c r="DU144">
        <v>1</v>
      </c>
      <c r="DV144">
        <f>DZ104+DZ131+DZ136+DW118</f>
        <v>3361.9549153846156</v>
      </c>
      <c r="DW144">
        <f>DV144/((1+DW$143)^DU144)</f>
        <v>3248.2656187290972</v>
      </c>
      <c r="DX144">
        <f>DV144/((1+DX$143)^$B144)</f>
        <v>3171.6555805515241</v>
      </c>
      <c r="EI144">
        <v>1</v>
      </c>
      <c r="EJ144">
        <f>EN104+EN131+EN136+EK118</f>
        <v>5858.816108032046</v>
      </c>
      <c r="EK144">
        <f>EJ144/((1+EK$143)^EI144)</f>
        <v>5660.6918918184028</v>
      </c>
      <c r="EL144">
        <f>EJ144/((1+EL$143)^$B144)</f>
        <v>5527.1850075774018</v>
      </c>
      <c r="EW144">
        <v>1</v>
      </c>
      <c r="EX144">
        <f>FB104+FB131+FB136+EY118</f>
        <v>6979.4677464935839</v>
      </c>
      <c r="EY144">
        <f>EX144/((1+EY$143)^EW144)</f>
        <v>6743.4470980614342</v>
      </c>
      <c r="EZ144">
        <f>EX144/((1+EZ$143)^$B144)</f>
        <v>6584.4035344279091</v>
      </c>
      <c r="FK144">
        <v>1</v>
      </c>
      <c r="FL144">
        <f>FP104+FP131+FP136+FM118</f>
        <v>8100.1193849551228</v>
      </c>
      <c r="FM144">
        <f>FL144/((1+FM$143)^FK144)</f>
        <v>7826.2023043044674</v>
      </c>
      <c r="FN144">
        <f>FL144/((1+FN$143)^$B144)</f>
        <v>7641.6220612784173</v>
      </c>
      <c r="FY144">
        <v>1</v>
      </c>
      <c r="FZ144">
        <f>GD104+GD131+GD136+GA118</f>
        <v>10341.422661878201</v>
      </c>
      <c r="GA144">
        <f>FZ144/((1+GA$143)^FY144)</f>
        <v>9991.7127167905328</v>
      </c>
      <c r="GB144">
        <f>FZ144/((1+GB$143)^$B144)</f>
        <v>9756.0591149794345</v>
      </c>
      <c r="GM144">
        <v>1</v>
      </c>
      <c r="GN144">
        <f>GR136</f>
        <v>18927.40686173239</v>
      </c>
      <c r="GO144">
        <f>GN144/((1+GO$143)^GM144)</f>
        <v>18287.349624862214</v>
      </c>
      <c r="GP144">
        <f>GN144/((1+GP$143)^$B144)</f>
        <v>17856.044209181498</v>
      </c>
    </row>
    <row r="145" spans="2:198" x14ac:dyDescent="0.25">
      <c r="B145">
        <v>2</v>
      </c>
      <c r="C145">
        <f>C144</f>
        <v>1322.4583602289522</v>
      </c>
      <c r="D145">
        <f t="shared" ref="D145:D173" si="30">C145/((1+$D$143)^B145)</f>
        <v>1234.5290300627341</v>
      </c>
      <c r="E145">
        <f t="shared" ref="E145:E173" si="31">C145/((1+E$143)^$B145)</f>
        <v>1176.9832326708365</v>
      </c>
      <c r="Q145">
        <v>2</v>
      </c>
      <c r="R145">
        <f>R144</f>
        <v>1362.7269009981831</v>
      </c>
      <c r="S145">
        <f t="shared" ref="S145:S173" si="32">R145/((1+S$143)^Q145)</f>
        <v>1272.1201437589518</v>
      </c>
      <c r="T145">
        <f t="shared" ref="T145:T173" si="33">R145/((1+T$143)^$B145)</f>
        <v>1212.8220906000204</v>
      </c>
      <c r="AE145">
        <v>2</v>
      </c>
      <c r="AF145">
        <f>AF144</f>
        <v>1458.8843202289524</v>
      </c>
      <c r="AG145">
        <f t="shared" ref="AG145:AG173" si="34">AF145/((1+AG$143)^AE145)</f>
        <v>1361.8841235304933</v>
      </c>
      <c r="AH145">
        <f t="shared" ref="AH145:AH173" si="35">AF145/((1+AH$143)^$B145)</f>
        <v>1298.401851396362</v>
      </c>
      <c r="AS145">
        <v>2</v>
      </c>
      <c r="AT145">
        <f>AT144+AX111</f>
        <v>2383.1442818375608</v>
      </c>
      <c r="AU145">
        <f t="shared" ref="AU145:AU173" si="36">AT145/((1+AU$143)^AS145)</f>
        <v>2224.6906876123699</v>
      </c>
      <c r="AV145">
        <f t="shared" ref="AV145:AV173" si="37">AT145/((1+AV$143)^$B145)</f>
        <v>2120.9899268757213</v>
      </c>
      <c r="BF145">
        <v>2</v>
      </c>
      <c r="BG145">
        <f>BG144+BK111</f>
        <v>2750.2569364395931</v>
      </c>
      <c r="BH145">
        <f t="shared" ref="BH145:BH173" si="38">BG145/((1+BH$143)^BF145)</f>
        <v>2567.3942789232829</v>
      </c>
      <c r="BI145">
        <f t="shared" ref="BI145:BI173" si="39">BG145/((1+BI$143)^$B145)</f>
        <v>2447.7188825557073</v>
      </c>
      <c r="BS145">
        <v>2</v>
      </c>
      <c r="BT145">
        <f>BT144</f>
        <v>2966.0892204327583</v>
      </c>
      <c r="BU145">
        <f t="shared" ref="BU145:BU173" si="40">BT145/((1+BU$143)^BS145)</f>
        <v>2768.8760255154225</v>
      </c>
      <c r="BV145">
        <f t="shared" ref="BV145:BV173" si="41">BT145/((1+BV$143)^$B145)</f>
        <v>2639.8088469497666</v>
      </c>
      <c r="CF145">
        <v>2</v>
      </c>
      <c r="CG145">
        <f>CG144</f>
        <v>3695.2554973093866</v>
      </c>
      <c r="CH145">
        <f t="shared" ref="CH145:CH173" si="42">CG145/((1+CH$143)^CF145)</f>
        <v>3449.5605473260866</v>
      </c>
      <c r="CI145">
        <f t="shared" ref="CI145:CI173" si="43">CG145/((1+CI$143)^$B145)</f>
        <v>3288.7642375484033</v>
      </c>
      <c r="CS145">
        <v>2</v>
      </c>
      <c r="CT145">
        <f>CT144</f>
        <v>2437.5509388012765</v>
      </c>
      <c r="CU145">
        <f t="shared" ref="CU145:CU173" si="44">CT145/((1+CU$143)^CS145)</f>
        <v>2275.4798840591629</v>
      </c>
      <c r="CV145">
        <f t="shared" ref="CV145:CV173" si="45">CT145/((1+CV$143)^$B145)</f>
        <v>2169.4116578865041</v>
      </c>
      <c r="DG145">
        <v>2</v>
      </c>
      <c r="DH145">
        <f>DH144</f>
        <v>2241.3032769230772</v>
      </c>
      <c r="DI145">
        <f t="shared" ref="DI145:DI173" si="46">DH145/((1+DI$143)^DG145)</f>
        <v>2092.2805917739761</v>
      </c>
      <c r="DJ145">
        <f t="shared" ref="DJ145:DJ173" si="47">DH145/((1+DJ$143)^$B145)</f>
        <v>1994.7519374537885</v>
      </c>
      <c r="DU145">
        <v>2</v>
      </c>
      <c r="DV145">
        <f>DV144</f>
        <v>3361.9549153846156</v>
      </c>
      <c r="DW145">
        <f t="shared" ref="DW145:DW173" si="48">DV145/((1+DW$143)^DU145)</f>
        <v>3138.4208876609637</v>
      </c>
      <c r="DX145">
        <f t="shared" ref="DX145:DX173" si="49">DV145/((1+DX$143)^$B145)</f>
        <v>2992.1279061806827</v>
      </c>
      <c r="EI145">
        <v>2</v>
      </c>
      <c r="EJ145">
        <f>EJ144</f>
        <v>5858.816108032046</v>
      </c>
      <c r="EK145">
        <f t="shared" ref="EK145:EK173" si="50">EJ145/((1+EK$143)^EI145)</f>
        <v>5469.2675283269591</v>
      </c>
      <c r="EL145">
        <f t="shared" ref="EL145:EL173" si="51">EJ145/((1+EL$143)^$B145)</f>
        <v>5214.3254788466047</v>
      </c>
      <c r="EW145">
        <v>2</v>
      </c>
      <c r="EX145">
        <f>EX144</f>
        <v>6979.4677464935839</v>
      </c>
      <c r="EY145">
        <f t="shared" ref="EY145:EY173" si="52">EX145/((1+EY$143)^EW145)</f>
        <v>6515.4078242139467</v>
      </c>
      <c r="EZ145">
        <f t="shared" ref="EZ145:EZ173" si="53">EX145/((1+EZ$143)^$B145)</f>
        <v>6211.7014475734986</v>
      </c>
      <c r="FK145">
        <v>2</v>
      </c>
      <c r="FL145">
        <f>FL144</f>
        <v>8100.1193849551228</v>
      </c>
      <c r="FM145">
        <f t="shared" ref="FM145:FM173" si="54">FL145/((1+FM$143)^FK145)</f>
        <v>7561.5481201009343</v>
      </c>
      <c r="FN145">
        <f t="shared" ref="FN145:FN173" si="55">FL145/((1+FN$143)^$B145)</f>
        <v>7209.0774163003935</v>
      </c>
      <c r="FY145">
        <v>2</v>
      </c>
      <c r="FZ145">
        <f>FZ144</f>
        <v>10341.422661878201</v>
      </c>
      <c r="GA145">
        <f t="shared" ref="GA145:GA173" si="56">FZ145/((1+GA$143)^FY145)</f>
        <v>9653.8287118749122</v>
      </c>
      <c r="GB145">
        <f t="shared" ref="GB145:GB173" si="57">FZ145/((1+GB$143)^$B145)</f>
        <v>9203.8293537541831</v>
      </c>
      <c r="GM145">
        <v>2</v>
      </c>
      <c r="GN145">
        <f>GN144</f>
        <v>18927.40686173239</v>
      </c>
      <c r="GO145">
        <f t="shared" ref="GO145:GO173" si="58">GN145/((1+GO$143)^GM145)</f>
        <v>17668.936835615666</v>
      </c>
      <c r="GP145">
        <f t="shared" ref="GP145:GP173" si="59">GN145/((1+GP$143)^$B145)</f>
        <v>16845.324725642924</v>
      </c>
    </row>
    <row r="146" spans="2:198" x14ac:dyDescent="0.25">
      <c r="B146">
        <v>3</v>
      </c>
      <c r="C146">
        <f t="shared" ref="C146:C173" si="60">C145</f>
        <v>1322.4583602289522</v>
      </c>
      <c r="D146">
        <f t="shared" si="30"/>
        <v>1192.7816715581973</v>
      </c>
      <c r="E146">
        <f t="shared" si="31"/>
        <v>1110.361540255506</v>
      </c>
      <c r="Q146">
        <v>3</v>
      </c>
      <c r="R146">
        <f t="shared" ref="R146:R173" si="61">R145</f>
        <v>1362.7269009981831</v>
      </c>
      <c r="S146">
        <f t="shared" si="32"/>
        <v>1229.1015881729004</v>
      </c>
      <c r="T146">
        <f t="shared" si="33"/>
        <v>1144.1717835849247</v>
      </c>
      <c r="AE146">
        <v>3</v>
      </c>
      <c r="AF146">
        <f t="shared" ref="AF146:AF173" si="62">AF145</f>
        <v>1458.8843202289524</v>
      </c>
      <c r="AG146">
        <f t="shared" si="34"/>
        <v>1315.8300710439551</v>
      </c>
      <c r="AH146">
        <f t="shared" si="35"/>
        <v>1224.9074069776998</v>
      </c>
      <c r="AS146">
        <v>3</v>
      </c>
      <c r="AT146">
        <f t="shared" ref="AT146:AT173" si="63">AT144</f>
        <v>1988.9326487809572</v>
      </c>
      <c r="AU146">
        <f t="shared" si="36"/>
        <v>1793.903294632963</v>
      </c>
      <c r="AV146">
        <f t="shared" si="37"/>
        <v>1669.9462045690038</v>
      </c>
      <c r="BF146">
        <v>3</v>
      </c>
      <c r="BG146">
        <f t="shared" ref="BG146:BG173" si="64">BG144</f>
        <v>2234.9208222358193</v>
      </c>
      <c r="BH146">
        <f t="shared" si="38"/>
        <v>2015.7705333611761</v>
      </c>
      <c r="BI146">
        <f t="shared" si="39"/>
        <v>1876.4826183996006</v>
      </c>
      <c r="BS146">
        <v>3</v>
      </c>
      <c r="BT146">
        <f t="shared" ref="BT146:BT173" si="65">BT144</f>
        <v>2966.0892204327583</v>
      </c>
      <c r="BU146">
        <f t="shared" si="40"/>
        <v>2675.2425367298774</v>
      </c>
      <c r="BV146">
        <f t="shared" si="41"/>
        <v>2490.3857046695912</v>
      </c>
      <c r="CF146">
        <v>3</v>
      </c>
      <c r="CG146">
        <f t="shared" ref="CG146:CG173" si="66">CG144</f>
        <v>3695.2554973093866</v>
      </c>
      <c r="CH146">
        <f t="shared" si="42"/>
        <v>3332.9087413778616</v>
      </c>
      <c r="CI146">
        <f t="shared" si="43"/>
        <v>3102.6077712720785</v>
      </c>
      <c r="CS146">
        <v>3</v>
      </c>
      <c r="CT146">
        <f t="shared" ref="CT146:CT173" si="67">CT145</f>
        <v>2437.5509388012765</v>
      </c>
      <c r="CU146">
        <f t="shared" si="44"/>
        <v>2198.5312889460515</v>
      </c>
      <c r="CV146">
        <f t="shared" si="45"/>
        <v>2046.6147715910415</v>
      </c>
      <c r="DG146">
        <v>3</v>
      </c>
      <c r="DH146">
        <f t="shared" ref="DH146:DH173" si="68">DH145</f>
        <v>2241.3032769230772</v>
      </c>
      <c r="DI146">
        <f t="shared" si="46"/>
        <v>2021.5271418106051</v>
      </c>
      <c r="DJ146">
        <f t="shared" si="47"/>
        <v>1881.8414504281022</v>
      </c>
      <c r="DU146">
        <v>3</v>
      </c>
      <c r="DV146">
        <f t="shared" ref="DV146:DV173" si="69">DV145</f>
        <v>3361.9549153846156</v>
      </c>
      <c r="DW146">
        <f t="shared" si="48"/>
        <v>3032.2907127159074</v>
      </c>
      <c r="DX146">
        <f t="shared" si="49"/>
        <v>2822.7621756421531</v>
      </c>
      <c r="EI146">
        <v>3</v>
      </c>
      <c r="EJ146">
        <f t="shared" ref="EJ146:EJ173" si="70">EJ145</f>
        <v>5858.816108032046</v>
      </c>
      <c r="EK146">
        <f t="shared" si="50"/>
        <v>5284.3164524898157</v>
      </c>
      <c r="EL146">
        <f t="shared" si="51"/>
        <v>4919.1749800439666</v>
      </c>
      <c r="EW146">
        <v>3</v>
      </c>
      <c r="EX146">
        <f t="shared" ref="EX146:EX173" si="71">EX145</f>
        <v>6979.4677464935839</v>
      </c>
      <c r="EY146">
        <f t="shared" si="52"/>
        <v>6295.0800233951177</v>
      </c>
      <c r="EZ146">
        <f t="shared" si="53"/>
        <v>5860.095705258017</v>
      </c>
      <c r="FK146">
        <v>3</v>
      </c>
      <c r="FL146">
        <f t="shared" ref="FL146:FL173" si="72">FL145</f>
        <v>8100.1193849551228</v>
      </c>
      <c r="FM146">
        <f t="shared" si="54"/>
        <v>7305.8435943004206</v>
      </c>
      <c r="FN146">
        <f t="shared" si="55"/>
        <v>6801.0164304720684</v>
      </c>
      <c r="FY146">
        <v>3</v>
      </c>
      <c r="FZ146">
        <f t="shared" ref="FZ146:FZ173" si="73">FZ145</f>
        <v>10341.422661878201</v>
      </c>
      <c r="GA146">
        <f t="shared" si="56"/>
        <v>9327.3707361110264</v>
      </c>
      <c r="GB146">
        <f t="shared" si="57"/>
        <v>8682.8578809001719</v>
      </c>
      <c r="GM146">
        <v>3</v>
      </c>
      <c r="GN146">
        <f t="shared" ref="GN146:GN173" si="74">GN144</f>
        <v>18927.40686173239</v>
      </c>
      <c r="GO146">
        <f t="shared" si="58"/>
        <v>17071.436556150406</v>
      </c>
      <c r="GP146">
        <f t="shared" si="59"/>
        <v>15891.815778908416</v>
      </c>
    </row>
    <row r="147" spans="2:198" x14ac:dyDescent="0.25">
      <c r="B147">
        <v>4</v>
      </c>
      <c r="C147">
        <f t="shared" si="60"/>
        <v>1322.4583602289522</v>
      </c>
      <c r="D147">
        <f t="shared" si="30"/>
        <v>1152.4460594765192</v>
      </c>
      <c r="E147">
        <f t="shared" si="31"/>
        <v>1047.5108870334964</v>
      </c>
      <c r="Q147">
        <v>4</v>
      </c>
      <c r="R147">
        <f t="shared" si="61"/>
        <v>1362.7269009981831</v>
      </c>
      <c r="S147">
        <f t="shared" si="32"/>
        <v>1187.5377663506285</v>
      </c>
      <c r="T147">
        <f t="shared" si="33"/>
        <v>1079.407343004646</v>
      </c>
      <c r="AE147">
        <v>4</v>
      </c>
      <c r="AF147">
        <f t="shared" si="62"/>
        <v>1458.8843202289524</v>
      </c>
      <c r="AG147">
        <f t="shared" si="34"/>
        <v>1271.3334019748359</v>
      </c>
      <c r="AH147">
        <f t="shared" si="35"/>
        <v>1155.5730254506602</v>
      </c>
      <c r="AS147">
        <v>4</v>
      </c>
      <c r="AT147">
        <f t="shared" si="63"/>
        <v>2383.1442818375608</v>
      </c>
      <c r="AU147">
        <f t="shared" si="36"/>
        <v>2076.7725618916384</v>
      </c>
      <c r="AV147">
        <f t="shared" si="37"/>
        <v>1887.6734842254548</v>
      </c>
      <c r="BF147">
        <v>4</v>
      </c>
      <c r="BG147">
        <f t="shared" si="64"/>
        <v>2750.2569364395931</v>
      </c>
      <c r="BH147">
        <f t="shared" si="38"/>
        <v>2396.6900314343702</v>
      </c>
      <c r="BI147">
        <f t="shared" si="39"/>
        <v>2178.4610916302126</v>
      </c>
      <c r="BS147">
        <v>4</v>
      </c>
      <c r="BT147">
        <f t="shared" si="65"/>
        <v>2966.0892204327583</v>
      </c>
      <c r="BU147">
        <f t="shared" si="40"/>
        <v>2584.7753978066448</v>
      </c>
      <c r="BV147">
        <f t="shared" si="41"/>
        <v>2349.420476103388</v>
      </c>
      <c r="CF147">
        <v>4</v>
      </c>
      <c r="CG147">
        <f t="shared" si="66"/>
        <v>3695.2554973093866</v>
      </c>
      <c r="CH147">
        <f t="shared" si="42"/>
        <v>3220.2016824906877</v>
      </c>
      <c r="CI147">
        <f t="shared" si="43"/>
        <v>2926.9884634642249</v>
      </c>
      <c r="CS147">
        <v>4</v>
      </c>
      <c r="CT147">
        <f t="shared" si="67"/>
        <v>2437.5509388012765</v>
      </c>
      <c r="CU147">
        <f t="shared" si="44"/>
        <v>2124.1848202377309</v>
      </c>
      <c r="CV147">
        <f t="shared" si="45"/>
        <v>1930.7686524443789</v>
      </c>
      <c r="DG147">
        <v>4</v>
      </c>
      <c r="DH147">
        <f t="shared" si="68"/>
        <v>2241.3032769230772</v>
      </c>
      <c r="DI147">
        <f t="shared" si="46"/>
        <v>1953.1663205899567</v>
      </c>
      <c r="DJ147">
        <f t="shared" si="47"/>
        <v>1775.3221230453794</v>
      </c>
      <c r="DU147">
        <v>4</v>
      </c>
      <c r="DV147">
        <f t="shared" si="69"/>
        <v>3361.9549153846156</v>
      </c>
      <c r="DW147">
        <f t="shared" si="48"/>
        <v>2929.7494808849347</v>
      </c>
      <c r="DX147">
        <f t="shared" si="49"/>
        <v>2662.9831845680692</v>
      </c>
      <c r="EI147">
        <v>4</v>
      </c>
      <c r="EJ147">
        <f t="shared" si="70"/>
        <v>5858.816108032046</v>
      </c>
      <c r="EK147">
        <f t="shared" si="50"/>
        <v>5105.6197608597258</v>
      </c>
      <c r="EL147">
        <f t="shared" si="51"/>
        <v>4640.7311132490249</v>
      </c>
      <c r="EW147">
        <v>4</v>
      </c>
      <c r="EX147">
        <f t="shared" si="71"/>
        <v>6979.4677464935839</v>
      </c>
      <c r="EY147">
        <f t="shared" si="52"/>
        <v>6082.2029211547033</v>
      </c>
      <c r="EZ147">
        <f t="shared" si="53"/>
        <v>5528.3921747717141</v>
      </c>
      <c r="FK147">
        <v>4</v>
      </c>
      <c r="FL147">
        <f t="shared" si="72"/>
        <v>8100.1193849551228</v>
      </c>
      <c r="FM147">
        <f t="shared" si="54"/>
        <v>7058.7860814496826</v>
      </c>
      <c r="FN147">
        <f t="shared" si="55"/>
        <v>6416.0532362944041</v>
      </c>
      <c r="FY147">
        <v>4</v>
      </c>
      <c r="FZ147">
        <f t="shared" si="73"/>
        <v>10341.422661878201</v>
      </c>
      <c r="GA147">
        <f t="shared" si="56"/>
        <v>9011.9524020396402</v>
      </c>
      <c r="GB147">
        <f t="shared" si="57"/>
        <v>8191.3753593397842</v>
      </c>
      <c r="GM147">
        <v>4</v>
      </c>
      <c r="GN147">
        <f t="shared" si="74"/>
        <v>18927.40686173239</v>
      </c>
      <c r="GO147">
        <f t="shared" si="58"/>
        <v>16494.141600145318</v>
      </c>
      <c r="GP147">
        <f t="shared" si="59"/>
        <v>14992.279036706052</v>
      </c>
    </row>
    <row r="148" spans="2:198" x14ac:dyDescent="0.25">
      <c r="B148">
        <v>5</v>
      </c>
      <c r="C148">
        <f t="shared" si="60"/>
        <v>1322.4583602289522</v>
      </c>
      <c r="D148">
        <f t="shared" si="30"/>
        <v>1113.4744536005019</v>
      </c>
      <c r="E148">
        <f t="shared" si="31"/>
        <v>988.21781795612844</v>
      </c>
      <c r="Q148">
        <v>5</v>
      </c>
      <c r="R148">
        <f t="shared" si="61"/>
        <v>1362.7269009981831</v>
      </c>
      <c r="S148">
        <f t="shared" si="32"/>
        <v>1147.3794843967428</v>
      </c>
      <c r="T148">
        <f t="shared" si="33"/>
        <v>1018.3088141553262</v>
      </c>
      <c r="AE148">
        <v>5</v>
      </c>
      <c r="AF148">
        <f t="shared" si="62"/>
        <v>1458.8843202289524</v>
      </c>
      <c r="AG148">
        <f t="shared" si="34"/>
        <v>1228.3414511834164</v>
      </c>
      <c r="AH148">
        <f t="shared" si="35"/>
        <v>1090.1632315572265</v>
      </c>
      <c r="AS148">
        <v>5</v>
      </c>
      <c r="AT148">
        <f t="shared" si="63"/>
        <v>1988.9326487809572</v>
      </c>
      <c r="AU148">
        <f t="shared" si="36"/>
        <v>1674.6279209624154</v>
      </c>
      <c r="AV148">
        <f t="shared" si="37"/>
        <v>1486.2461770817049</v>
      </c>
      <c r="BF148">
        <v>5</v>
      </c>
      <c r="BG148">
        <f t="shared" si="64"/>
        <v>2234.9208222358193</v>
      </c>
      <c r="BH148">
        <f t="shared" si="38"/>
        <v>1881.7433623759496</v>
      </c>
      <c r="BI148">
        <f t="shared" si="39"/>
        <v>1670.0628501242438</v>
      </c>
      <c r="BS148">
        <v>5</v>
      </c>
      <c r="BT148">
        <f t="shared" si="65"/>
        <v>2966.0892204327583</v>
      </c>
      <c r="BU148">
        <f t="shared" si="40"/>
        <v>2497.3675341127009</v>
      </c>
      <c r="BV148">
        <f t="shared" si="41"/>
        <v>2216.43441141829</v>
      </c>
      <c r="CF148">
        <v>5</v>
      </c>
      <c r="CG148">
        <f t="shared" si="66"/>
        <v>3695.2554973093866</v>
      </c>
      <c r="CH148">
        <f t="shared" si="42"/>
        <v>3111.3059734209551</v>
      </c>
      <c r="CI148">
        <f t="shared" si="43"/>
        <v>2761.3098711926646</v>
      </c>
      <c r="CS148">
        <v>5</v>
      </c>
      <c r="CT148">
        <f t="shared" si="67"/>
        <v>2437.5509388012765</v>
      </c>
      <c r="CU148">
        <f t="shared" si="44"/>
        <v>2052.3524833214792</v>
      </c>
      <c r="CV148">
        <f t="shared" si="45"/>
        <v>1821.4798607965836</v>
      </c>
      <c r="DG148">
        <v>5</v>
      </c>
      <c r="DH148">
        <f t="shared" si="68"/>
        <v>2241.3032769230772</v>
      </c>
      <c r="DI148">
        <f t="shared" si="46"/>
        <v>1887.1172179613111</v>
      </c>
      <c r="DJ148">
        <f t="shared" si="47"/>
        <v>1674.8321915522447</v>
      </c>
      <c r="DU148">
        <v>5</v>
      </c>
      <c r="DV148">
        <f t="shared" si="69"/>
        <v>3361.9549153846156</v>
      </c>
      <c r="DW148">
        <f t="shared" si="48"/>
        <v>2830.6758269419665</v>
      </c>
      <c r="DX148">
        <f t="shared" si="49"/>
        <v>2512.2482873283666</v>
      </c>
      <c r="EI148">
        <v>5</v>
      </c>
      <c r="EJ148">
        <f t="shared" si="70"/>
        <v>5858.816108032046</v>
      </c>
      <c r="EK148">
        <f t="shared" si="50"/>
        <v>4932.9659525214747</v>
      </c>
      <c r="EL148">
        <f t="shared" si="51"/>
        <v>4378.0482200462493</v>
      </c>
      <c r="EW148">
        <v>5</v>
      </c>
      <c r="EX148">
        <f t="shared" si="71"/>
        <v>6979.4677464935839</v>
      </c>
      <c r="EY148">
        <f t="shared" si="52"/>
        <v>5876.5245615021304</v>
      </c>
      <c r="EZ148">
        <f t="shared" si="53"/>
        <v>5215.4643158223707</v>
      </c>
      <c r="FK148">
        <v>5</v>
      </c>
      <c r="FL148">
        <f t="shared" si="72"/>
        <v>8100.1193849551228</v>
      </c>
      <c r="FM148">
        <f t="shared" si="54"/>
        <v>6820.083170482786</v>
      </c>
      <c r="FN148">
        <f t="shared" si="55"/>
        <v>6052.880411598494</v>
      </c>
      <c r="FY148">
        <v>5</v>
      </c>
      <c r="FZ148">
        <f t="shared" si="73"/>
        <v>10341.422661878201</v>
      </c>
      <c r="GA148">
        <f t="shared" si="56"/>
        <v>8707.2003884440983</v>
      </c>
      <c r="GB148">
        <f t="shared" si="57"/>
        <v>7727.7126031507396</v>
      </c>
      <c r="GM148">
        <v>5</v>
      </c>
      <c r="GN148">
        <f t="shared" si="74"/>
        <v>18927.40686173239</v>
      </c>
      <c r="GO148">
        <f t="shared" si="58"/>
        <v>15936.36869579258</v>
      </c>
      <c r="GP148">
        <f t="shared" si="59"/>
        <v>14143.659468590613</v>
      </c>
    </row>
    <row r="149" spans="2:198" x14ac:dyDescent="0.25">
      <c r="B149">
        <v>6</v>
      </c>
      <c r="C149">
        <f t="shared" si="60"/>
        <v>1322.4583602289522</v>
      </c>
      <c r="D149">
        <f t="shared" si="30"/>
        <v>1075.8207281164268</v>
      </c>
      <c r="E149">
        <f t="shared" si="31"/>
        <v>932.28096033597024</v>
      </c>
      <c r="Q149">
        <v>6</v>
      </c>
      <c r="R149">
        <f t="shared" si="61"/>
        <v>1362.7269009981831</v>
      </c>
      <c r="S149">
        <f t="shared" si="32"/>
        <v>1108.5792119775292</v>
      </c>
      <c r="T149">
        <f t="shared" si="33"/>
        <v>960.66869259936436</v>
      </c>
      <c r="AE149">
        <v>6</v>
      </c>
      <c r="AF149">
        <f t="shared" si="62"/>
        <v>1458.8843202289524</v>
      </c>
      <c r="AG149">
        <f t="shared" si="34"/>
        <v>1186.8033344767307</v>
      </c>
      <c r="AH149">
        <f t="shared" si="35"/>
        <v>1028.4558788275722</v>
      </c>
      <c r="AS149">
        <v>6</v>
      </c>
      <c r="AT149">
        <f t="shared" si="63"/>
        <v>2383.1442818375608</v>
      </c>
      <c r="AU149">
        <f t="shared" si="36"/>
        <v>1938.6894087531925</v>
      </c>
      <c r="AV149">
        <f t="shared" si="37"/>
        <v>1680.022680869931</v>
      </c>
      <c r="BF149">
        <v>6</v>
      </c>
      <c r="BG149">
        <f t="shared" si="64"/>
        <v>2750.2569364395931</v>
      </c>
      <c r="BH149">
        <f t="shared" si="38"/>
        <v>2237.3357898054751</v>
      </c>
      <c r="BI149">
        <f t="shared" si="39"/>
        <v>1938.822616260424</v>
      </c>
      <c r="BS149">
        <v>6</v>
      </c>
      <c r="BT149">
        <f t="shared" si="65"/>
        <v>2966.0892204327583</v>
      </c>
      <c r="BU149">
        <f t="shared" si="40"/>
        <v>2412.9154918963291</v>
      </c>
      <c r="BV149">
        <f t="shared" si="41"/>
        <v>2090.9758598285753</v>
      </c>
      <c r="CF149">
        <v>6</v>
      </c>
      <c r="CG149">
        <f t="shared" si="66"/>
        <v>3695.2554973093866</v>
      </c>
      <c r="CH149">
        <f t="shared" si="42"/>
        <v>3006.0927279429516</v>
      </c>
      <c r="CI149">
        <f t="shared" si="43"/>
        <v>2605.0093124459099</v>
      </c>
      <c r="CS149">
        <v>6</v>
      </c>
      <c r="CT149">
        <f t="shared" si="67"/>
        <v>2437.5509388012765</v>
      </c>
      <c r="CU149">
        <f t="shared" si="44"/>
        <v>1982.9492592478061</v>
      </c>
      <c r="CV149">
        <f t="shared" si="45"/>
        <v>1718.3772271665882</v>
      </c>
      <c r="DG149">
        <v>6</v>
      </c>
      <c r="DH149">
        <f t="shared" si="68"/>
        <v>2241.3032769230772</v>
      </c>
      <c r="DI149">
        <f t="shared" si="46"/>
        <v>1823.301659866001</v>
      </c>
      <c r="DJ149">
        <f t="shared" si="47"/>
        <v>1580.03036938891</v>
      </c>
      <c r="DU149">
        <v>6</v>
      </c>
      <c r="DV149">
        <f t="shared" si="69"/>
        <v>3361.9549153846156</v>
      </c>
      <c r="DW149">
        <f t="shared" si="48"/>
        <v>2734.9524897990013</v>
      </c>
      <c r="DX149">
        <f t="shared" si="49"/>
        <v>2370.0455540833646</v>
      </c>
      <c r="EI149">
        <v>6</v>
      </c>
      <c r="EJ149">
        <f t="shared" si="70"/>
        <v>5858.816108032046</v>
      </c>
      <c r="EK149">
        <f t="shared" si="50"/>
        <v>4766.1506787647104</v>
      </c>
      <c r="EL149">
        <f t="shared" si="51"/>
        <v>4130.2341698549517</v>
      </c>
      <c r="EW149">
        <v>6</v>
      </c>
      <c r="EX149">
        <f t="shared" si="71"/>
        <v>6979.4677464935839</v>
      </c>
      <c r="EY149">
        <f t="shared" si="52"/>
        <v>5677.8015086977102</v>
      </c>
      <c r="EZ149">
        <f t="shared" si="53"/>
        <v>4920.2493545494062</v>
      </c>
      <c r="FK149">
        <v>6</v>
      </c>
      <c r="FL149">
        <f t="shared" si="72"/>
        <v>8100.1193849551228</v>
      </c>
      <c r="FM149">
        <f t="shared" si="54"/>
        <v>6589.4523386307101</v>
      </c>
      <c r="FN149">
        <f t="shared" si="55"/>
        <v>5710.2645392438617</v>
      </c>
      <c r="FY149">
        <v>6</v>
      </c>
      <c r="FZ149">
        <f t="shared" si="73"/>
        <v>10341.422661878201</v>
      </c>
      <c r="GA149">
        <f t="shared" si="56"/>
        <v>8412.7539984967134</v>
      </c>
      <c r="GB149">
        <f t="shared" si="57"/>
        <v>7290.2949086327726</v>
      </c>
      <c r="GM149">
        <v>6</v>
      </c>
      <c r="GN149">
        <f t="shared" si="74"/>
        <v>18927.40686173239</v>
      </c>
      <c r="GO149">
        <f t="shared" si="58"/>
        <v>15397.45767709428</v>
      </c>
      <c r="GP149">
        <f t="shared" si="59"/>
        <v>13343.074970368503</v>
      </c>
    </row>
    <row r="150" spans="2:198" x14ac:dyDescent="0.25">
      <c r="B150">
        <v>7</v>
      </c>
      <c r="C150">
        <f t="shared" si="60"/>
        <v>1322.4583602289522</v>
      </c>
      <c r="D150">
        <f t="shared" si="30"/>
        <v>1039.4403170207024</v>
      </c>
      <c r="E150">
        <f t="shared" si="31"/>
        <v>879.51033993959447</v>
      </c>
      <c r="Q150">
        <v>7</v>
      </c>
      <c r="R150">
        <f t="shared" si="61"/>
        <v>1362.7269009981831</v>
      </c>
      <c r="S150">
        <f t="shared" si="32"/>
        <v>1071.0910260652456</v>
      </c>
      <c r="T150">
        <f t="shared" si="33"/>
        <v>906.29121943336247</v>
      </c>
      <c r="AE150">
        <v>7</v>
      </c>
      <c r="AF150">
        <f t="shared" si="62"/>
        <v>1458.8843202289524</v>
      </c>
      <c r="AG150">
        <f t="shared" si="34"/>
        <v>1146.6698883833149</v>
      </c>
      <c r="AH150">
        <f t="shared" si="35"/>
        <v>970.24139512035083</v>
      </c>
      <c r="AS150">
        <v>7</v>
      </c>
      <c r="AT150">
        <f t="shared" si="63"/>
        <v>1988.9326487809572</v>
      </c>
      <c r="AU150">
        <f t="shared" si="36"/>
        <v>1563.2830833507576</v>
      </c>
      <c r="AV150">
        <f t="shared" si="37"/>
        <v>1322.7538065874908</v>
      </c>
      <c r="BF150">
        <v>7</v>
      </c>
      <c r="BG150">
        <f t="shared" si="64"/>
        <v>2234.9208222358193</v>
      </c>
      <c r="BH150">
        <f t="shared" si="38"/>
        <v>1756.6275641214027</v>
      </c>
      <c r="BI150">
        <f t="shared" si="39"/>
        <v>1486.349991210612</v>
      </c>
      <c r="BS150">
        <v>7</v>
      </c>
      <c r="BT150">
        <f t="shared" si="65"/>
        <v>2966.0892204327583</v>
      </c>
      <c r="BU150">
        <f t="shared" si="40"/>
        <v>2331.319315841864</v>
      </c>
      <c r="BV150">
        <f t="shared" si="41"/>
        <v>1972.6187356873349</v>
      </c>
      <c r="CF150">
        <v>7</v>
      </c>
      <c r="CG150">
        <f t="shared" si="66"/>
        <v>3695.2554973093866</v>
      </c>
      <c r="CH150">
        <f t="shared" si="42"/>
        <v>2904.4374183023688</v>
      </c>
      <c r="CI150">
        <f t="shared" si="43"/>
        <v>2457.5559551376505</v>
      </c>
      <c r="CS150">
        <v>7</v>
      </c>
      <c r="CT150">
        <f t="shared" si="67"/>
        <v>2437.5509388012765</v>
      </c>
      <c r="CU150">
        <f t="shared" si="44"/>
        <v>1915.8930041041606</v>
      </c>
      <c r="CV150">
        <f t="shared" si="45"/>
        <v>1621.1105916665924</v>
      </c>
      <c r="DG150">
        <v>7</v>
      </c>
      <c r="DH150">
        <f t="shared" si="68"/>
        <v>2241.3032769230772</v>
      </c>
      <c r="DI150">
        <f t="shared" si="46"/>
        <v>1761.6441158125615</v>
      </c>
      <c r="DJ150">
        <f t="shared" si="47"/>
        <v>1490.5946881027451</v>
      </c>
      <c r="DU150">
        <v>7</v>
      </c>
      <c r="DV150">
        <f t="shared" si="69"/>
        <v>3361.9549153846156</v>
      </c>
      <c r="DW150">
        <f t="shared" si="48"/>
        <v>2642.4661737188421</v>
      </c>
      <c r="DX150">
        <f t="shared" si="49"/>
        <v>2235.8920321541173</v>
      </c>
      <c r="EI150">
        <v>7</v>
      </c>
      <c r="EJ150">
        <f t="shared" si="70"/>
        <v>5858.816108032046</v>
      </c>
      <c r="EK150">
        <f t="shared" si="50"/>
        <v>4604.9765012219423</v>
      </c>
      <c r="EL150">
        <f t="shared" si="51"/>
        <v>3896.4473300518412</v>
      </c>
      <c r="EW150">
        <v>7</v>
      </c>
      <c r="EX150">
        <f t="shared" si="71"/>
        <v>6979.4677464935839</v>
      </c>
      <c r="EY150">
        <f t="shared" si="52"/>
        <v>5485.7985591282222</v>
      </c>
      <c r="EZ150">
        <f t="shared" si="53"/>
        <v>4641.7446741032127</v>
      </c>
      <c r="FK150">
        <v>7</v>
      </c>
      <c r="FL150">
        <f t="shared" si="72"/>
        <v>8100.1193849551228</v>
      </c>
      <c r="FM150">
        <f t="shared" si="54"/>
        <v>6366.6206170345031</v>
      </c>
      <c r="FN150">
        <f t="shared" si="55"/>
        <v>5387.042018154586</v>
      </c>
      <c r="FY150">
        <v>7</v>
      </c>
      <c r="FZ150">
        <f t="shared" si="73"/>
        <v>10341.422661878201</v>
      </c>
      <c r="GA150">
        <f t="shared" si="56"/>
        <v>8128.2647328470657</v>
      </c>
      <c r="GB150">
        <f t="shared" si="57"/>
        <v>6877.6367062573318</v>
      </c>
      <c r="GM150">
        <v>7</v>
      </c>
      <c r="GN150">
        <f t="shared" si="74"/>
        <v>18927.40686173239</v>
      </c>
      <c r="GO150">
        <f t="shared" si="58"/>
        <v>14876.770702506552</v>
      </c>
      <c r="GP150">
        <f t="shared" si="59"/>
        <v>12587.806575819341</v>
      </c>
    </row>
    <row r="151" spans="2:198" x14ac:dyDescent="0.25">
      <c r="B151">
        <v>8</v>
      </c>
      <c r="C151">
        <f t="shared" si="60"/>
        <v>1322.4583602289522</v>
      </c>
      <c r="D151">
        <f t="shared" si="30"/>
        <v>1004.2901613726594</v>
      </c>
      <c r="E151">
        <f t="shared" si="31"/>
        <v>829.72673579207026</v>
      </c>
      <c r="Q151">
        <v>8</v>
      </c>
      <c r="R151">
        <f t="shared" si="61"/>
        <v>1362.7269009981831</v>
      </c>
      <c r="S151">
        <f t="shared" si="32"/>
        <v>1034.8705565847786</v>
      </c>
      <c r="T151">
        <f t="shared" si="33"/>
        <v>854.99171644656849</v>
      </c>
      <c r="AE151">
        <v>8</v>
      </c>
      <c r="AF151">
        <f t="shared" si="62"/>
        <v>1458.8843202289524</v>
      </c>
      <c r="AG151">
        <f t="shared" si="34"/>
        <v>1107.8936119645557</v>
      </c>
      <c r="AH151">
        <f t="shared" si="35"/>
        <v>915.32207086825565</v>
      </c>
      <c r="AS151">
        <v>8</v>
      </c>
      <c r="AT151">
        <f t="shared" si="63"/>
        <v>2383.1442818375608</v>
      </c>
      <c r="AU151">
        <f t="shared" si="36"/>
        <v>1809.787307758121</v>
      </c>
      <c r="AV151">
        <f t="shared" si="37"/>
        <v>1495.214205117418</v>
      </c>
      <c r="BF151">
        <v>8</v>
      </c>
      <c r="BG151">
        <f t="shared" si="64"/>
        <v>2750.2569364395931</v>
      </c>
      <c r="BH151">
        <f t="shared" si="38"/>
        <v>2088.5769000961291</v>
      </c>
      <c r="BI151">
        <f t="shared" si="39"/>
        <v>1725.5452262908721</v>
      </c>
      <c r="BS151">
        <v>8</v>
      </c>
      <c r="BT151">
        <f t="shared" si="65"/>
        <v>2966.0892204327583</v>
      </c>
      <c r="BU151">
        <f t="shared" si="40"/>
        <v>2252.4824307650865</v>
      </c>
      <c r="BV151">
        <f t="shared" si="41"/>
        <v>1860.9610714031464</v>
      </c>
      <c r="CF151">
        <v>8</v>
      </c>
      <c r="CG151">
        <f t="shared" si="66"/>
        <v>3695.2554973093866</v>
      </c>
      <c r="CH151">
        <f t="shared" si="42"/>
        <v>2806.2197278283761</v>
      </c>
      <c r="CI151">
        <f t="shared" si="43"/>
        <v>2318.4490142808027</v>
      </c>
      <c r="CS151">
        <v>8</v>
      </c>
      <c r="CT151">
        <f t="shared" si="67"/>
        <v>2437.5509388012765</v>
      </c>
      <c r="CU151">
        <f t="shared" si="44"/>
        <v>1851.10435179146</v>
      </c>
      <c r="CV151">
        <f t="shared" si="45"/>
        <v>1529.3496147798044</v>
      </c>
      <c r="DG151">
        <v>8</v>
      </c>
      <c r="DH151">
        <f t="shared" si="68"/>
        <v>2241.3032769230772</v>
      </c>
      <c r="DI151">
        <f t="shared" si="46"/>
        <v>1702.071609480736</v>
      </c>
      <c r="DJ151">
        <f t="shared" si="47"/>
        <v>1406.2214038705142</v>
      </c>
      <c r="DU151">
        <v>8</v>
      </c>
      <c r="DV151">
        <f t="shared" si="69"/>
        <v>3361.9549153846156</v>
      </c>
      <c r="DW151">
        <f t="shared" si="48"/>
        <v>2553.1074142211037</v>
      </c>
      <c r="DX151">
        <f t="shared" si="49"/>
        <v>2109.3321058057713</v>
      </c>
      <c r="EI151">
        <v>8</v>
      </c>
      <c r="EJ151">
        <f t="shared" si="70"/>
        <v>5858.816108032046</v>
      </c>
      <c r="EK151">
        <f t="shared" si="50"/>
        <v>4449.2526581854527</v>
      </c>
      <c r="EL151">
        <f t="shared" si="51"/>
        <v>3675.8937075960766</v>
      </c>
      <c r="EW151">
        <v>8</v>
      </c>
      <c r="EX151">
        <f t="shared" si="71"/>
        <v>6979.4677464935839</v>
      </c>
      <c r="EY151">
        <f t="shared" si="52"/>
        <v>5300.2884629258197</v>
      </c>
      <c r="EZ151">
        <f t="shared" si="53"/>
        <v>4379.0044095313333</v>
      </c>
      <c r="FK151">
        <v>8</v>
      </c>
      <c r="FL151">
        <f t="shared" si="72"/>
        <v>8100.1193849551228</v>
      </c>
      <c r="FM151">
        <f t="shared" si="54"/>
        <v>6151.3242676661885</v>
      </c>
      <c r="FN151">
        <f t="shared" si="55"/>
        <v>5082.1151114665909</v>
      </c>
      <c r="FY151">
        <v>8</v>
      </c>
      <c r="FZ151">
        <f t="shared" si="73"/>
        <v>10341.422661878201</v>
      </c>
      <c r="GA151">
        <f t="shared" si="56"/>
        <v>7853.3958771469252</v>
      </c>
      <c r="GB151">
        <f t="shared" si="57"/>
        <v>6488.336515337106</v>
      </c>
      <c r="GM151">
        <v>8</v>
      </c>
      <c r="GN151">
        <f t="shared" si="74"/>
        <v>18927.40686173239</v>
      </c>
      <c r="GO151">
        <f t="shared" si="58"/>
        <v>14373.691500006333</v>
      </c>
      <c r="GP151">
        <f t="shared" si="59"/>
        <v>11875.289222471078</v>
      </c>
    </row>
    <row r="152" spans="2:198" x14ac:dyDescent="0.25">
      <c r="B152">
        <v>9</v>
      </c>
      <c r="C152">
        <f t="shared" si="60"/>
        <v>1322.4583602289522</v>
      </c>
      <c r="D152">
        <f t="shared" si="30"/>
        <v>970.32865833107212</v>
      </c>
      <c r="E152">
        <f t="shared" si="31"/>
        <v>782.7610715019531</v>
      </c>
      <c r="Q152">
        <v>9</v>
      </c>
      <c r="R152">
        <f t="shared" si="61"/>
        <v>1362.7269009981831</v>
      </c>
      <c r="S152">
        <f t="shared" si="32"/>
        <v>999.87493389833696</v>
      </c>
      <c r="T152">
        <f t="shared" si="33"/>
        <v>806.595958911857</v>
      </c>
      <c r="AE152">
        <v>9</v>
      </c>
      <c r="AF152">
        <f t="shared" si="62"/>
        <v>1458.8843202289524</v>
      </c>
      <c r="AG152">
        <f t="shared" si="34"/>
        <v>1070.4286105937738</v>
      </c>
      <c r="AH152">
        <f t="shared" si="35"/>
        <v>863.51138761156187</v>
      </c>
      <c r="AS152">
        <v>9</v>
      </c>
      <c r="AT152">
        <f t="shared" si="63"/>
        <v>1988.9326487809572</v>
      </c>
      <c r="AU152">
        <f t="shared" si="36"/>
        <v>1459.3414860097162</v>
      </c>
      <c r="AV152">
        <f t="shared" si="37"/>
        <v>1177.2461788781513</v>
      </c>
      <c r="BF152">
        <v>9</v>
      </c>
      <c r="BG152">
        <f t="shared" si="64"/>
        <v>2234.9208222358193</v>
      </c>
      <c r="BH152">
        <f t="shared" si="38"/>
        <v>1639.8306276658996</v>
      </c>
      <c r="BI152">
        <f t="shared" si="39"/>
        <v>1322.8462007926416</v>
      </c>
      <c r="BS152">
        <v>9</v>
      </c>
      <c r="BT152">
        <f t="shared" si="65"/>
        <v>2966.0892204327583</v>
      </c>
      <c r="BU152">
        <f t="shared" si="40"/>
        <v>2176.3115273092626</v>
      </c>
      <c r="BV152">
        <f t="shared" si="41"/>
        <v>1755.6236522671193</v>
      </c>
      <c r="CF152">
        <v>9</v>
      </c>
      <c r="CG152">
        <f t="shared" si="66"/>
        <v>3695.2554973093866</v>
      </c>
      <c r="CH152">
        <f t="shared" si="42"/>
        <v>2711.3234085298322</v>
      </c>
      <c r="CI152">
        <f t="shared" si="43"/>
        <v>2187.2160512083042</v>
      </c>
      <c r="CS152">
        <v>9</v>
      </c>
      <c r="CT152">
        <f t="shared" si="67"/>
        <v>2437.5509388012765</v>
      </c>
      <c r="CU152">
        <f t="shared" si="44"/>
        <v>1788.5066200883673</v>
      </c>
      <c r="CV152">
        <f t="shared" si="45"/>
        <v>1442.7826554526455</v>
      </c>
      <c r="DG152">
        <v>9</v>
      </c>
      <c r="DH152">
        <f t="shared" si="68"/>
        <v>2241.3032769230772</v>
      </c>
      <c r="DI152">
        <f t="shared" si="46"/>
        <v>1644.5136323485374</v>
      </c>
      <c r="DJ152">
        <f t="shared" si="47"/>
        <v>1326.6239659155794</v>
      </c>
      <c r="DU152">
        <v>9</v>
      </c>
      <c r="DV152">
        <f t="shared" si="69"/>
        <v>3361.9549153846156</v>
      </c>
      <c r="DW152">
        <f t="shared" si="48"/>
        <v>2466.770448522806</v>
      </c>
      <c r="DX152">
        <f t="shared" si="49"/>
        <v>1989.9359488733692</v>
      </c>
      <c r="EI152">
        <v>9</v>
      </c>
      <c r="EJ152">
        <f t="shared" si="70"/>
        <v>5858.816108032046</v>
      </c>
      <c r="EK152">
        <f t="shared" si="50"/>
        <v>4298.7948388265249</v>
      </c>
      <c r="EL152">
        <f t="shared" si="51"/>
        <v>3467.8242524491288</v>
      </c>
      <c r="EW152">
        <v>9</v>
      </c>
      <c r="EX152">
        <f t="shared" si="71"/>
        <v>6979.4677464935839</v>
      </c>
      <c r="EY152">
        <f t="shared" si="52"/>
        <v>5121.0516550007933</v>
      </c>
      <c r="EZ152">
        <f t="shared" si="53"/>
        <v>4131.1362354069188</v>
      </c>
      <c r="FK152">
        <v>9</v>
      </c>
      <c r="FL152">
        <f t="shared" si="72"/>
        <v>8100.1193849551228</v>
      </c>
      <c r="FM152">
        <f t="shared" si="54"/>
        <v>5943.3084711750616</v>
      </c>
      <c r="FN152">
        <f t="shared" si="55"/>
        <v>4794.4482183647087</v>
      </c>
      <c r="FY152">
        <v>9</v>
      </c>
      <c r="FZ152">
        <f t="shared" si="73"/>
        <v>10341.422661878201</v>
      </c>
      <c r="GA152">
        <f t="shared" si="56"/>
        <v>7587.8221035236002</v>
      </c>
      <c r="GB152">
        <f t="shared" si="57"/>
        <v>6121.0721842802886</v>
      </c>
      <c r="GM152">
        <v>9</v>
      </c>
      <c r="GN152">
        <f t="shared" si="74"/>
        <v>18927.40686173239</v>
      </c>
      <c r="GO152">
        <f t="shared" si="58"/>
        <v>13887.62463768728</v>
      </c>
      <c r="GP152">
        <f t="shared" si="59"/>
        <v>11203.103040067053</v>
      </c>
    </row>
    <row r="153" spans="2:198" x14ac:dyDescent="0.25">
      <c r="B153">
        <v>10</v>
      </c>
      <c r="C153">
        <f t="shared" si="60"/>
        <v>1322.4583602289522</v>
      </c>
      <c r="D153">
        <f t="shared" si="30"/>
        <v>937.51561191407939</v>
      </c>
      <c r="E153">
        <f t="shared" si="31"/>
        <v>738.45384103957838</v>
      </c>
      <c r="Q153">
        <v>10</v>
      </c>
      <c r="R153">
        <f t="shared" si="61"/>
        <v>1362.7269009981831</v>
      </c>
      <c r="S153">
        <f t="shared" si="32"/>
        <v>966.0627380660261</v>
      </c>
      <c r="T153">
        <f t="shared" si="33"/>
        <v>760.93958387911039</v>
      </c>
      <c r="AE153">
        <v>10</v>
      </c>
      <c r="AF153">
        <f t="shared" si="62"/>
        <v>1458.8843202289524</v>
      </c>
      <c r="AG153">
        <f t="shared" si="34"/>
        <v>1034.2305416364964</v>
      </c>
      <c r="AH153">
        <f t="shared" si="35"/>
        <v>814.63338453920926</v>
      </c>
      <c r="AS153">
        <v>10</v>
      </c>
      <c r="AT153">
        <f t="shared" si="63"/>
        <v>2383.1442818375608</v>
      </c>
      <c r="AU153">
        <f t="shared" si="36"/>
        <v>1689.4558171795106</v>
      </c>
      <c r="AV153">
        <f t="shared" si="37"/>
        <v>1330.7353196132235</v>
      </c>
      <c r="BF153">
        <v>10</v>
      </c>
      <c r="BG153">
        <f t="shared" si="64"/>
        <v>2750.2569364395931</v>
      </c>
      <c r="BH153">
        <f t="shared" si="38"/>
        <v>1949.7088847778286</v>
      </c>
      <c r="BI153">
        <f t="shared" si="39"/>
        <v>1535.7291084824421</v>
      </c>
      <c r="BS153">
        <v>10</v>
      </c>
      <c r="BT153">
        <f t="shared" si="65"/>
        <v>2966.0892204327583</v>
      </c>
      <c r="BU153">
        <f t="shared" si="40"/>
        <v>2102.7164515065342</v>
      </c>
      <c r="BV153">
        <f t="shared" si="41"/>
        <v>1656.2487285538859</v>
      </c>
      <c r="CF153">
        <v>10</v>
      </c>
      <c r="CG153">
        <f t="shared" si="66"/>
        <v>3695.2554973093866</v>
      </c>
      <c r="CH153">
        <f t="shared" si="42"/>
        <v>2619.6361435070844</v>
      </c>
      <c r="CI153">
        <f t="shared" si="43"/>
        <v>2063.4113690644381</v>
      </c>
      <c r="CS153">
        <v>10</v>
      </c>
      <c r="CT153">
        <f t="shared" si="67"/>
        <v>2437.5509388012765</v>
      </c>
      <c r="CU153">
        <f t="shared" si="44"/>
        <v>1728.0257198921424</v>
      </c>
      <c r="CV153">
        <f t="shared" si="45"/>
        <v>1361.1157126911748</v>
      </c>
      <c r="DG153">
        <v>10</v>
      </c>
      <c r="DH153">
        <f t="shared" si="68"/>
        <v>2241.3032769230772</v>
      </c>
      <c r="DI153">
        <f t="shared" si="46"/>
        <v>1588.9020602401329</v>
      </c>
      <c r="DJ153">
        <f t="shared" si="47"/>
        <v>1251.5320433165843</v>
      </c>
      <c r="DU153">
        <v>10</v>
      </c>
      <c r="DV153">
        <f t="shared" si="69"/>
        <v>3361.9549153846156</v>
      </c>
      <c r="DW153">
        <f t="shared" si="48"/>
        <v>2383.3530903601991</v>
      </c>
      <c r="DX153">
        <f t="shared" si="49"/>
        <v>1877.2980649748763</v>
      </c>
      <c r="EI153">
        <v>10</v>
      </c>
      <c r="EJ153">
        <f t="shared" si="70"/>
        <v>5858.816108032046</v>
      </c>
      <c r="EK153">
        <f t="shared" si="50"/>
        <v>4153.4249650497823</v>
      </c>
      <c r="EL153">
        <f t="shared" si="51"/>
        <v>3271.5323136312536</v>
      </c>
      <c r="EW153">
        <v>10</v>
      </c>
      <c r="EX153">
        <f t="shared" si="71"/>
        <v>6979.4677464935839</v>
      </c>
      <c r="EY153">
        <f t="shared" si="52"/>
        <v>4947.8759951698485</v>
      </c>
      <c r="EZ153">
        <f t="shared" si="53"/>
        <v>3897.2983352895453</v>
      </c>
      <c r="FK153">
        <v>10</v>
      </c>
      <c r="FL153">
        <f t="shared" si="72"/>
        <v>8100.1193849551228</v>
      </c>
      <c r="FM153">
        <f t="shared" si="54"/>
        <v>5742.3270252899147</v>
      </c>
      <c r="FN153">
        <f t="shared" si="55"/>
        <v>4523.064356947838</v>
      </c>
      <c r="FY153">
        <v>10</v>
      </c>
      <c r="FZ153">
        <f t="shared" si="73"/>
        <v>10341.422661878201</v>
      </c>
      <c r="GA153">
        <f t="shared" si="56"/>
        <v>7331.2290855300489</v>
      </c>
      <c r="GB153">
        <f t="shared" si="57"/>
        <v>5774.5964002644223</v>
      </c>
      <c r="GM153">
        <v>10</v>
      </c>
      <c r="GN153">
        <f t="shared" si="74"/>
        <v>18927.40686173239</v>
      </c>
      <c r="GO153">
        <f t="shared" si="58"/>
        <v>13417.994819021527</v>
      </c>
      <c r="GP153">
        <f t="shared" si="59"/>
        <v>10568.96513213873</v>
      </c>
    </row>
    <row r="154" spans="2:198" x14ac:dyDescent="0.25">
      <c r="B154">
        <v>11</v>
      </c>
      <c r="C154">
        <f t="shared" si="60"/>
        <v>1322.4583602289522</v>
      </c>
      <c r="D154">
        <f t="shared" si="30"/>
        <v>905.81218542423119</v>
      </c>
      <c r="E154">
        <f t="shared" si="31"/>
        <v>696.65456701847006</v>
      </c>
      <c r="Q154">
        <v>11</v>
      </c>
      <c r="R154">
        <f t="shared" si="61"/>
        <v>1362.7269009981831</v>
      </c>
      <c r="S154">
        <f t="shared" si="32"/>
        <v>933.39394982224735</v>
      </c>
      <c r="T154">
        <f t="shared" si="33"/>
        <v>717.86753196142479</v>
      </c>
      <c r="AE154">
        <v>11</v>
      </c>
      <c r="AF154">
        <f t="shared" si="62"/>
        <v>1458.8843202289524</v>
      </c>
      <c r="AG154">
        <f t="shared" si="34"/>
        <v>999.2565619676293</v>
      </c>
      <c r="AH154">
        <f t="shared" si="35"/>
        <v>768.52206088604635</v>
      </c>
      <c r="AS154">
        <v>11</v>
      </c>
      <c r="AT154">
        <f t="shared" si="63"/>
        <v>1988.9326487809572</v>
      </c>
      <c r="AU154">
        <f t="shared" si="36"/>
        <v>1362.3108926786774</v>
      </c>
      <c r="AV154">
        <f t="shared" si="37"/>
        <v>1047.7449082219216</v>
      </c>
      <c r="BF154">
        <v>11</v>
      </c>
      <c r="BG154">
        <f t="shared" si="64"/>
        <v>2234.9208222358193</v>
      </c>
      <c r="BH154">
        <f t="shared" si="38"/>
        <v>1530.799437714672</v>
      </c>
      <c r="BI154">
        <f t="shared" si="39"/>
        <v>1177.3284093918132</v>
      </c>
      <c r="BS154">
        <v>11</v>
      </c>
      <c r="BT154">
        <f t="shared" si="65"/>
        <v>2966.0892204327583</v>
      </c>
      <c r="BU154">
        <f t="shared" si="40"/>
        <v>2031.6100980739459</v>
      </c>
      <c r="BV154">
        <f t="shared" si="41"/>
        <v>1562.4988005225337</v>
      </c>
      <c r="CF154">
        <v>11</v>
      </c>
      <c r="CG154">
        <f t="shared" si="66"/>
        <v>3695.2554973093866</v>
      </c>
      <c r="CH154">
        <f t="shared" si="42"/>
        <v>2531.0494140165069</v>
      </c>
      <c r="CI154">
        <f t="shared" si="43"/>
        <v>1946.614499117394</v>
      </c>
      <c r="CS154">
        <v>11</v>
      </c>
      <c r="CT154">
        <f t="shared" si="67"/>
        <v>2437.5509388012765</v>
      </c>
      <c r="CU154">
        <f t="shared" si="44"/>
        <v>1669.59006752864</v>
      </c>
      <c r="CV154">
        <f t="shared" si="45"/>
        <v>1284.071427067146</v>
      </c>
      <c r="DG154">
        <v>11</v>
      </c>
      <c r="DH154">
        <f t="shared" si="68"/>
        <v>2241.3032769230772</v>
      </c>
      <c r="DI154">
        <f t="shared" si="46"/>
        <v>1535.1710726957806</v>
      </c>
      <c r="DJ154">
        <f t="shared" si="47"/>
        <v>1180.6906069024378</v>
      </c>
      <c r="DU154">
        <v>11</v>
      </c>
      <c r="DV154">
        <f t="shared" si="69"/>
        <v>3361.9549153846156</v>
      </c>
      <c r="DW154">
        <f t="shared" si="48"/>
        <v>2302.7566090436708</v>
      </c>
      <c r="DX154">
        <f t="shared" si="49"/>
        <v>1771.0359103536566</v>
      </c>
      <c r="EI154">
        <v>11</v>
      </c>
      <c r="EJ154">
        <f t="shared" si="70"/>
        <v>5858.816108032046</v>
      </c>
      <c r="EK154">
        <f t="shared" si="50"/>
        <v>4012.9709807244276</v>
      </c>
      <c r="EL154">
        <f t="shared" si="51"/>
        <v>3086.3512392747671</v>
      </c>
      <c r="EW154">
        <v>11</v>
      </c>
      <c r="EX154">
        <f t="shared" si="71"/>
        <v>6979.4677464935839</v>
      </c>
      <c r="EY154">
        <f t="shared" si="52"/>
        <v>4780.5565170723175</v>
      </c>
      <c r="EZ154">
        <f t="shared" si="53"/>
        <v>3676.6965427259856</v>
      </c>
      <c r="FK154">
        <v>11</v>
      </c>
      <c r="FL154">
        <f t="shared" si="72"/>
        <v>8100.1193849551228</v>
      </c>
      <c r="FM154">
        <f t="shared" si="54"/>
        <v>5548.142053420208</v>
      </c>
      <c r="FN154">
        <f t="shared" si="55"/>
        <v>4267.0418461772042</v>
      </c>
      <c r="FY154">
        <v>11</v>
      </c>
      <c r="FZ154">
        <f t="shared" si="73"/>
        <v>10341.422661878201</v>
      </c>
      <c r="GA154">
        <f t="shared" si="56"/>
        <v>7083.3131261159888</v>
      </c>
      <c r="GB154">
        <f t="shared" si="57"/>
        <v>5447.7324530796432</v>
      </c>
      <c r="GM154">
        <v>11</v>
      </c>
      <c r="GN154">
        <f t="shared" si="74"/>
        <v>18927.40686173239</v>
      </c>
      <c r="GO154">
        <f t="shared" si="58"/>
        <v>12964.246201953167</v>
      </c>
      <c r="GP154">
        <f t="shared" si="59"/>
        <v>9970.7218227723843</v>
      </c>
    </row>
    <row r="155" spans="2:198" x14ac:dyDescent="0.25">
      <c r="B155">
        <v>12</v>
      </c>
      <c r="C155">
        <f t="shared" si="60"/>
        <v>1322.4583602289522</v>
      </c>
      <c r="D155">
        <f t="shared" si="30"/>
        <v>875.1808554823491</v>
      </c>
      <c r="E155">
        <f t="shared" si="31"/>
        <v>657.22128964006606</v>
      </c>
      <c r="Q155">
        <v>12</v>
      </c>
      <c r="R155">
        <f t="shared" si="61"/>
        <v>1362.7269009981831</v>
      </c>
      <c r="S155">
        <f t="shared" si="32"/>
        <v>901.82990320990086</v>
      </c>
      <c r="T155">
        <f t="shared" si="33"/>
        <v>677.23352071832517</v>
      </c>
      <c r="AE155">
        <v>12</v>
      </c>
      <c r="AF155">
        <f t="shared" si="62"/>
        <v>1458.8843202289524</v>
      </c>
      <c r="AG155">
        <f t="shared" si="34"/>
        <v>965.46527726341003</v>
      </c>
      <c r="AH155">
        <f t="shared" si="35"/>
        <v>725.02081215664748</v>
      </c>
      <c r="AS155">
        <v>12</v>
      </c>
      <c r="AT155">
        <f t="shared" si="63"/>
        <v>2383.1442818375608</v>
      </c>
      <c r="AU155">
        <f t="shared" si="36"/>
        <v>1577.1250831333386</v>
      </c>
      <c r="AV155">
        <f t="shared" si="37"/>
        <v>1184.3496970569804</v>
      </c>
      <c r="BF155">
        <v>12</v>
      </c>
      <c r="BG155">
        <f t="shared" si="64"/>
        <v>2750.2569364395931</v>
      </c>
      <c r="BH155">
        <f t="shared" si="38"/>
        <v>1820.0741065395493</v>
      </c>
      <c r="BI155">
        <f t="shared" si="39"/>
        <v>1366.7934393756157</v>
      </c>
      <c r="BS155">
        <v>12</v>
      </c>
      <c r="BT155">
        <f t="shared" si="65"/>
        <v>2966.0892204327583</v>
      </c>
      <c r="BU155">
        <f t="shared" si="40"/>
        <v>1962.9083073178222</v>
      </c>
      <c r="BV155">
        <f t="shared" si="41"/>
        <v>1474.0554721910694</v>
      </c>
      <c r="CF155">
        <v>12</v>
      </c>
      <c r="CG155">
        <f t="shared" si="66"/>
        <v>3695.2554973093866</v>
      </c>
      <c r="CH155">
        <f t="shared" si="42"/>
        <v>2445.4583710304414</v>
      </c>
      <c r="CI155">
        <f t="shared" si="43"/>
        <v>1836.4287727522583</v>
      </c>
      <c r="CS155">
        <v>12</v>
      </c>
      <c r="CT155">
        <f t="shared" si="67"/>
        <v>2437.5509388012765</v>
      </c>
      <c r="CU155">
        <f t="shared" si="44"/>
        <v>1613.1305000276716</v>
      </c>
      <c r="CV155">
        <f t="shared" si="45"/>
        <v>1211.3881387425904</v>
      </c>
      <c r="DG155">
        <v>12</v>
      </c>
      <c r="DH155">
        <f t="shared" si="68"/>
        <v>2241.3032769230772</v>
      </c>
      <c r="DI155">
        <f t="shared" si="46"/>
        <v>1483.2570750683872</v>
      </c>
      <c r="DJ155">
        <f t="shared" si="47"/>
        <v>1113.8590631155073</v>
      </c>
      <c r="DU155">
        <v>12</v>
      </c>
      <c r="DV155">
        <f t="shared" si="69"/>
        <v>3361.9549153846156</v>
      </c>
      <c r="DW155">
        <f t="shared" si="48"/>
        <v>2224.8856126025803</v>
      </c>
      <c r="DX155">
        <f t="shared" si="49"/>
        <v>1670.7885946732611</v>
      </c>
      <c r="EI155">
        <v>12</v>
      </c>
      <c r="EJ155">
        <f t="shared" si="70"/>
        <v>5858.816108032046</v>
      </c>
      <c r="EK155">
        <f t="shared" si="50"/>
        <v>3877.2666480429252</v>
      </c>
      <c r="EL155">
        <f t="shared" si="51"/>
        <v>2911.6521125233648</v>
      </c>
      <c r="EW155">
        <v>12</v>
      </c>
      <c r="EX155">
        <f t="shared" si="71"/>
        <v>6979.4677464935839</v>
      </c>
      <c r="EY155">
        <f t="shared" si="52"/>
        <v>4618.8951855771184</v>
      </c>
      <c r="EZ155">
        <f t="shared" si="53"/>
        <v>3468.5816440811182</v>
      </c>
      <c r="FK155">
        <v>12</v>
      </c>
      <c r="FL155">
        <f t="shared" si="72"/>
        <v>8100.1193849551228</v>
      </c>
      <c r="FM155">
        <f t="shared" si="54"/>
        <v>5360.5237231113124</v>
      </c>
      <c r="FN155">
        <f t="shared" si="55"/>
        <v>4025.5111756388719</v>
      </c>
      <c r="FY155">
        <v>12</v>
      </c>
      <c r="FZ155">
        <f t="shared" si="73"/>
        <v>10341.422661878201</v>
      </c>
      <c r="GA155">
        <f t="shared" si="56"/>
        <v>6843.7807981796996</v>
      </c>
      <c r="GB155">
        <f t="shared" si="57"/>
        <v>5139.3702387543799</v>
      </c>
      <c r="GM155">
        <v>12</v>
      </c>
      <c r="GN155">
        <f t="shared" si="74"/>
        <v>18927.40686173239</v>
      </c>
      <c r="GO155">
        <f t="shared" si="58"/>
        <v>12525.841741017553</v>
      </c>
      <c r="GP155">
        <f t="shared" si="59"/>
        <v>9406.3413422380982</v>
      </c>
    </row>
    <row r="156" spans="2:198" x14ac:dyDescent="0.25">
      <c r="B156">
        <v>13</v>
      </c>
      <c r="C156">
        <f t="shared" si="60"/>
        <v>1322.4583602289522</v>
      </c>
      <c r="D156">
        <f t="shared" si="30"/>
        <v>845.58536761579637</v>
      </c>
      <c r="E156">
        <f t="shared" si="31"/>
        <v>620.02008456609997</v>
      </c>
      <c r="Q156">
        <v>13</v>
      </c>
      <c r="R156">
        <f t="shared" si="61"/>
        <v>1362.7269009981831</v>
      </c>
      <c r="S156">
        <f t="shared" si="32"/>
        <v>871.33323981632964</v>
      </c>
      <c r="T156">
        <f t="shared" si="33"/>
        <v>638.89954784747658</v>
      </c>
      <c r="AE156">
        <v>13</v>
      </c>
      <c r="AF156">
        <f t="shared" si="62"/>
        <v>1458.8843202289524</v>
      </c>
      <c r="AG156">
        <f t="shared" si="34"/>
        <v>932.81669300812587</v>
      </c>
      <c r="AH156">
        <f t="shared" si="35"/>
        <v>683.98189826098815</v>
      </c>
      <c r="AS156">
        <v>13</v>
      </c>
      <c r="AT156">
        <f t="shared" si="63"/>
        <v>1988.9326487809572</v>
      </c>
      <c r="AU156">
        <f t="shared" si="36"/>
        <v>1271.731795541252</v>
      </c>
      <c r="AV156">
        <f t="shared" si="37"/>
        <v>932.48923836055667</v>
      </c>
      <c r="BF156">
        <v>13</v>
      </c>
      <c r="BG156">
        <f t="shared" si="64"/>
        <v>2234.9208222358193</v>
      </c>
      <c r="BH156">
        <f t="shared" si="38"/>
        <v>1429.0176552215198</v>
      </c>
      <c r="BI156">
        <f t="shared" si="39"/>
        <v>1047.8180930863412</v>
      </c>
      <c r="BS156">
        <v>13</v>
      </c>
      <c r="BT156">
        <f t="shared" si="65"/>
        <v>2966.0892204327583</v>
      </c>
      <c r="BU156">
        <f t="shared" si="40"/>
        <v>1896.5297655244663</v>
      </c>
      <c r="BV156">
        <f t="shared" si="41"/>
        <v>1390.6183699915748</v>
      </c>
      <c r="CF156">
        <v>13</v>
      </c>
      <c r="CG156">
        <f t="shared" si="66"/>
        <v>3695.2554973093866</v>
      </c>
      <c r="CH156">
        <f t="shared" si="42"/>
        <v>2362.7617111405239</v>
      </c>
      <c r="CI156">
        <f t="shared" si="43"/>
        <v>1732.4799742945831</v>
      </c>
      <c r="CS156">
        <v>13</v>
      </c>
      <c r="CT156">
        <f t="shared" si="67"/>
        <v>2437.5509388012765</v>
      </c>
      <c r="CU156">
        <f t="shared" si="44"/>
        <v>1558.5801932634511</v>
      </c>
      <c r="CV156">
        <f t="shared" si="45"/>
        <v>1142.8189988137644</v>
      </c>
      <c r="DG156">
        <v>13</v>
      </c>
      <c r="DH156">
        <f t="shared" si="68"/>
        <v>2241.3032769230772</v>
      </c>
      <c r="DI156">
        <f t="shared" si="46"/>
        <v>1433.0986232544806</v>
      </c>
      <c r="DJ156">
        <f t="shared" si="47"/>
        <v>1050.810436901422</v>
      </c>
      <c r="DU156">
        <v>13</v>
      </c>
      <c r="DV156">
        <f t="shared" si="69"/>
        <v>3361.9549153846156</v>
      </c>
      <c r="DW156">
        <f t="shared" si="48"/>
        <v>2149.6479348817206</v>
      </c>
      <c r="DX156">
        <f t="shared" si="49"/>
        <v>1576.2156553521329</v>
      </c>
      <c r="EI156">
        <v>13</v>
      </c>
      <c r="EJ156">
        <f t="shared" si="70"/>
        <v>5858.816108032046</v>
      </c>
      <c r="EK156">
        <f t="shared" si="50"/>
        <v>3746.151350766112</v>
      </c>
      <c r="EL156">
        <f t="shared" si="51"/>
        <v>2746.84161558808</v>
      </c>
      <c r="EW156">
        <v>13</v>
      </c>
      <c r="EX156">
        <f t="shared" si="71"/>
        <v>6979.4677464935839</v>
      </c>
      <c r="EY156">
        <f t="shared" si="52"/>
        <v>4462.7006623933521</v>
      </c>
      <c r="EZ156">
        <f t="shared" si="53"/>
        <v>3272.2468340387904</v>
      </c>
      <c r="FK156">
        <v>13</v>
      </c>
      <c r="FL156">
        <f t="shared" si="72"/>
        <v>8100.1193849551228</v>
      </c>
      <c r="FM156">
        <f t="shared" si="54"/>
        <v>5179.2499740205922</v>
      </c>
      <c r="FN156">
        <f t="shared" si="55"/>
        <v>3797.6520524895018</v>
      </c>
      <c r="FY156">
        <v>13</v>
      </c>
      <c r="FZ156">
        <f t="shared" si="73"/>
        <v>10341.422661878201</v>
      </c>
      <c r="GA156">
        <f t="shared" si="56"/>
        <v>6612.3485972750741</v>
      </c>
      <c r="GB156">
        <f t="shared" si="57"/>
        <v>4848.462489390924</v>
      </c>
      <c r="GM156">
        <v>13</v>
      </c>
      <c r="GN156">
        <f t="shared" si="74"/>
        <v>18927.40686173239</v>
      </c>
      <c r="GO156">
        <f t="shared" si="58"/>
        <v>12102.262551707783</v>
      </c>
      <c r="GP156">
        <f t="shared" si="59"/>
        <v>8873.9069266397146</v>
      </c>
    </row>
    <row r="157" spans="2:198" x14ac:dyDescent="0.25">
      <c r="B157">
        <v>14</v>
      </c>
      <c r="C157">
        <f t="shared" si="60"/>
        <v>1322.4583602289522</v>
      </c>
      <c r="D157">
        <f t="shared" si="30"/>
        <v>816.99069334859541</v>
      </c>
      <c r="E157">
        <f t="shared" si="31"/>
        <v>584.92460808122644</v>
      </c>
      <c r="Q157">
        <v>14</v>
      </c>
      <c r="R157">
        <f t="shared" si="61"/>
        <v>1362.7269009981831</v>
      </c>
      <c r="S157">
        <f t="shared" si="32"/>
        <v>841.86786455684012</v>
      </c>
      <c r="T157">
        <f t="shared" si="33"/>
        <v>602.73542249761942</v>
      </c>
      <c r="AE157">
        <v>14</v>
      </c>
      <c r="AF157">
        <f t="shared" si="62"/>
        <v>1458.8843202289524</v>
      </c>
      <c r="AG157">
        <f t="shared" si="34"/>
        <v>901.27216715760937</v>
      </c>
      <c r="AH157">
        <f t="shared" si="35"/>
        <v>645.26594175564924</v>
      </c>
      <c r="AS157">
        <v>14</v>
      </c>
      <c r="AT157">
        <f t="shared" si="63"/>
        <v>2383.1442818375608</v>
      </c>
      <c r="AU157">
        <f t="shared" si="36"/>
        <v>1472.2631409212245</v>
      </c>
      <c r="AV157">
        <f t="shared" si="37"/>
        <v>1054.0670141126561</v>
      </c>
      <c r="BF157">
        <v>14</v>
      </c>
      <c r="BG157">
        <f t="shared" si="64"/>
        <v>2750.2569364395931</v>
      </c>
      <c r="BH157">
        <f t="shared" si="38"/>
        <v>1699.0586539144899</v>
      </c>
      <c r="BI157">
        <f t="shared" si="39"/>
        <v>1216.4412952791167</v>
      </c>
      <c r="BS157">
        <v>14</v>
      </c>
      <c r="BT157">
        <f t="shared" si="65"/>
        <v>2966.0892204327583</v>
      </c>
      <c r="BU157">
        <f t="shared" si="40"/>
        <v>1832.3959087192909</v>
      </c>
      <c r="BV157">
        <f t="shared" si="41"/>
        <v>1311.9041226335612</v>
      </c>
      <c r="CF157">
        <v>14</v>
      </c>
      <c r="CG157">
        <f t="shared" si="66"/>
        <v>3695.2554973093866</v>
      </c>
      <c r="CH157">
        <f t="shared" si="42"/>
        <v>2282.8615566575104</v>
      </c>
      <c r="CI157">
        <f t="shared" si="43"/>
        <v>1634.4150700892294</v>
      </c>
      <c r="CS157">
        <v>14</v>
      </c>
      <c r="CT157">
        <f t="shared" si="67"/>
        <v>2437.5509388012765</v>
      </c>
      <c r="CU157">
        <f t="shared" si="44"/>
        <v>1505.8745828632377</v>
      </c>
      <c r="CV157">
        <f t="shared" si="45"/>
        <v>1078.1311309563816</v>
      </c>
      <c r="DG157">
        <v>14</v>
      </c>
      <c r="DH157">
        <f t="shared" si="68"/>
        <v>2241.3032769230772</v>
      </c>
      <c r="DI157">
        <f t="shared" si="46"/>
        <v>1384.6363509705125</v>
      </c>
      <c r="DJ157">
        <f t="shared" si="47"/>
        <v>991.33060085039813</v>
      </c>
      <c r="DU157">
        <v>14</v>
      </c>
      <c r="DV157">
        <f t="shared" si="69"/>
        <v>3361.9549153846156</v>
      </c>
      <c r="DW157">
        <f t="shared" si="48"/>
        <v>2076.9545264557687</v>
      </c>
      <c r="DX157">
        <f t="shared" si="49"/>
        <v>1486.9959012755971</v>
      </c>
      <c r="EI157">
        <v>14</v>
      </c>
      <c r="EJ157">
        <f t="shared" si="70"/>
        <v>5858.816108032046</v>
      </c>
      <c r="EK157">
        <f t="shared" si="50"/>
        <v>3619.4699041218473</v>
      </c>
      <c r="EL157">
        <f t="shared" si="51"/>
        <v>2591.3600147057359</v>
      </c>
      <c r="EW157">
        <v>14</v>
      </c>
      <c r="EX157">
        <f t="shared" si="71"/>
        <v>6979.4677464935839</v>
      </c>
      <c r="EY157">
        <f t="shared" si="52"/>
        <v>4311.7880796071031</v>
      </c>
      <c r="EZ157">
        <f t="shared" si="53"/>
        <v>3087.0253151309344</v>
      </c>
      <c r="FK157">
        <v>14</v>
      </c>
      <c r="FL157">
        <f t="shared" si="72"/>
        <v>8100.1193849551228</v>
      </c>
      <c r="FM157">
        <f t="shared" si="54"/>
        <v>5004.1062550923589</v>
      </c>
      <c r="FN157">
        <f t="shared" si="55"/>
        <v>3582.6906155561337</v>
      </c>
      <c r="FY157">
        <v>14</v>
      </c>
      <c r="FZ157">
        <f t="shared" si="73"/>
        <v>10341.422661878201</v>
      </c>
      <c r="GA157">
        <f t="shared" si="56"/>
        <v>6388.7426060628723</v>
      </c>
      <c r="GB157">
        <f t="shared" si="57"/>
        <v>4574.0212164065324</v>
      </c>
      <c r="GM157">
        <v>14</v>
      </c>
      <c r="GN157">
        <f t="shared" si="74"/>
        <v>18927.40686173239</v>
      </c>
      <c r="GO157">
        <f t="shared" si="58"/>
        <v>11693.007296336022</v>
      </c>
      <c r="GP157">
        <f t="shared" si="59"/>
        <v>8371.6103081506735</v>
      </c>
    </row>
    <row r="158" spans="2:198" x14ac:dyDescent="0.25">
      <c r="B158">
        <v>15</v>
      </c>
      <c r="C158">
        <f t="shared" si="60"/>
        <v>1322.4583602289522</v>
      </c>
      <c r="D158">
        <f t="shared" si="30"/>
        <v>789.36298874260444</v>
      </c>
      <c r="E158">
        <f t="shared" si="31"/>
        <v>551.81566800115684</v>
      </c>
      <c r="Q158">
        <v>15</v>
      </c>
      <c r="R158">
        <f t="shared" si="61"/>
        <v>1362.7269009981831</v>
      </c>
      <c r="S158">
        <f t="shared" si="32"/>
        <v>813.39890295346879</v>
      </c>
      <c r="T158">
        <f t="shared" si="33"/>
        <v>568.61832311096157</v>
      </c>
      <c r="AE158">
        <v>15</v>
      </c>
      <c r="AF158">
        <f t="shared" si="62"/>
        <v>1458.8843202289524</v>
      </c>
      <c r="AG158">
        <f t="shared" si="34"/>
        <v>870.79436440348741</v>
      </c>
      <c r="AH158">
        <f t="shared" si="35"/>
        <v>608.74145448646129</v>
      </c>
      <c r="AS158">
        <v>15</v>
      </c>
      <c r="AT158">
        <f t="shared" si="63"/>
        <v>1988.9326487809572</v>
      </c>
      <c r="AU158">
        <f t="shared" si="36"/>
        <v>1187.1752391339373</v>
      </c>
      <c r="AV158">
        <f t="shared" si="37"/>
        <v>829.91210249248525</v>
      </c>
      <c r="BF158">
        <v>15</v>
      </c>
      <c r="BG158">
        <f t="shared" si="64"/>
        <v>2234.9208222358193</v>
      </c>
      <c r="BH158">
        <f t="shared" si="38"/>
        <v>1334.0032721617958</v>
      </c>
      <c r="BI158">
        <f t="shared" si="39"/>
        <v>932.55437262935288</v>
      </c>
      <c r="BS158">
        <v>15</v>
      </c>
      <c r="BT158">
        <f t="shared" si="65"/>
        <v>2966.0892204327583</v>
      </c>
      <c r="BU158">
        <f t="shared" si="40"/>
        <v>1770.4308296804745</v>
      </c>
      <c r="BV158">
        <f t="shared" si="41"/>
        <v>1237.6453987109064</v>
      </c>
      <c r="CF158">
        <v>15</v>
      </c>
      <c r="CG158">
        <f t="shared" si="66"/>
        <v>3695.2554973093866</v>
      </c>
      <c r="CH158">
        <f t="shared" si="42"/>
        <v>2205.663339765711</v>
      </c>
      <c r="CI158">
        <f t="shared" si="43"/>
        <v>1541.9010095181407</v>
      </c>
      <c r="CS158">
        <v>15</v>
      </c>
      <c r="CT158">
        <f t="shared" si="67"/>
        <v>2437.5509388012765</v>
      </c>
      <c r="CU158">
        <f t="shared" si="44"/>
        <v>1454.9512877905679</v>
      </c>
      <c r="CV158">
        <f t="shared" si="45"/>
        <v>1017.104840524888</v>
      </c>
      <c r="DG158">
        <v>15</v>
      </c>
      <c r="DH158">
        <f t="shared" si="68"/>
        <v>2241.3032769230772</v>
      </c>
      <c r="DI158">
        <f t="shared" si="46"/>
        <v>1337.812899488418</v>
      </c>
      <c r="DJ158">
        <f t="shared" si="47"/>
        <v>935.21754797207348</v>
      </c>
      <c r="DU158">
        <v>15</v>
      </c>
      <c r="DV158">
        <f t="shared" si="69"/>
        <v>3361.9549153846156</v>
      </c>
      <c r="DW158">
        <f t="shared" si="48"/>
        <v>2006.7193492326269</v>
      </c>
      <c r="DX158">
        <f t="shared" si="49"/>
        <v>1402.8263219581099</v>
      </c>
      <c r="EI158">
        <v>15</v>
      </c>
      <c r="EJ158">
        <f t="shared" si="70"/>
        <v>5858.816108032046</v>
      </c>
      <c r="EK158">
        <f t="shared" si="50"/>
        <v>3497.0723711322198</v>
      </c>
      <c r="EL158">
        <f t="shared" si="51"/>
        <v>2444.679259156354</v>
      </c>
      <c r="EW158">
        <v>15</v>
      </c>
      <c r="EX158">
        <f t="shared" si="71"/>
        <v>6979.4677464935839</v>
      </c>
      <c r="EY158">
        <f t="shared" si="52"/>
        <v>4165.9788208764285</v>
      </c>
      <c r="EZ158">
        <f t="shared" si="53"/>
        <v>2912.2880331423903</v>
      </c>
      <c r="FK158">
        <v>15</v>
      </c>
      <c r="FL158">
        <f t="shared" si="72"/>
        <v>8100.1193849551228</v>
      </c>
      <c r="FM158">
        <f t="shared" si="54"/>
        <v>4834.885270620638</v>
      </c>
      <c r="FN158">
        <f t="shared" si="55"/>
        <v>3379.8968071284271</v>
      </c>
      <c r="FY158">
        <v>15</v>
      </c>
      <c r="FZ158">
        <f t="shared" si="73"/>
        <v>10341.422661878201</v>
      </c>
      <c r="GA158">
        <f t="shared" si="56"/>
        <v>6172.6981701090563</v>
      </c>
      <c r="GB158">
        <f t="shared" si="57"/>
        <v>4315.1143551005007</v>
      </c>
      <c r="GM158">
        <v>15</v>
      </c>
      <c r="GN158">
        <f t="shared" si="74"/>
        <v>18927.40686173239</v>
      </c>
      <c r="GO158">
        <f t="shared" si="58"/>
        <v>11297.591590662823</v>
      </c>
      <c r="GP158">
        <f t="shared" si="59"/>
        <v>7897.7455737270493</v>
      </c>
    </row>
    <row r="159" spans="2:198" x14ac:dyDescent="0.25">
      <c r="B159">
        <v>16</v>
      </c>
      <c r="C159">
        <f t="shared" si="60"/>
        <v>1322.4583602289522</v>
      </c>
      <c r="D159">
        <f t="shared" si="30"/>
        <v>762.66955434068075</v>
      </c>
      <c r="E159">
        <f t="shared" si="31"/>
        <v>520.58081886901607</v>
      </c>
      <c r="Q159">
        <v>16</v>
      </c>
      <c r="R159">
        <f t="shared" si="61"/>
        <v>1362.7269009981831</v>
      </c>
      <c r="S159">
        <f t="shared" si="32"/>
        <v>785.89265985842417</v>
      </c>
      <c r="T159">
        <f t="shared" si="33"/>
        <v>536.4323802933601</v>
      </c>
      <c r="AE159">
        <v>16</v>
      </c>
      <c r="AF159">
        <f t="shared" si="62"/>
        <v>1458.8843202289524</v>
      </c>
      <c r="AG159">
        <f t="shared" si="34"/>
        <v>841.347211984046</v>
      </c>
      <c r="AH159">
        <f t="shared" si="35"/>
        <v>574.28439102496372</v>
      </c>
      <c r="AS159">
        <v>16</v>
      </c>
      <c r="AT159">
        <f t="shared" si="63"/>
        <v>2383.1442818375608</v>
      </c>
      <c r="AU159">
        <f t="shared" si="36"/>
        <v>1374.3733958050129</v>
      </c>
      <c r="AV159">
        <f t="shared" si="37"/>
        <v>938.11589009670354</v>
      </c>
      <c r="BF159">
        <v>16</v>
      </c>
      <c r="BG159">
        <f t="shared" si="64"/>
        <v>2750.2569364395931</v>
      </c>
      <c r="BH159">
        <f t="shared" si="38"/>
        <v>1586.089433979314</v>
      </c>
      <c r="BI159">
        <f t="shared" si="39"/>
        <v>1082.6284222847248</v>
      </c>
      <c r="BS159">
        <v>16</v>
      </c>
      <c r="BT159">
        <f t="shared" si="65"/>
        <v>2966.0892204327583</v>
      </c>
      <c r="BU159">
        <f t="shared" si="40"/>
        <v>1710.5611880970771</v>
      </c>
      <c r="BV159">
        <f t="shared" si="41"/>
        <v>1167.5899987838743</v>
      </c>
      <c r="CF159">
        <v>16</v>
      </c>
      <c r="CG159">
        <f t="shared" si="66"/>
        <v>3695.2554973093866</v>
      </c>
      <c r="CH159">
        <f t="shared" si="42"/>
        <v>2131.0756905948901</v>
      </c>
      <c r="CI159">
        <f t="shared" si="43"/>
        <v>1454.6235938850386</v>
      </c>
      <c r="CS159">
        <v>16</v>
      </c>
      <c r="CT159">
        <f t="shared" si="67"/>
        <v>2437.5509388012765</v>
      </c>
      <c r="CU159">
        <f t="shared" si="44"/>
        <v>1405.7500365126264</v>
      </c>
      <c r="CV159">
        <f t="shared" si="45"/>
        <v>959.53286841970601</v>
      </c>
      <c r="DG159">
        <v>16</v>
      </c>
      <c r="DH159">
        <f t="shared" si="68"/>
        <v>2241.3032769230772</v>
      </c>
      <c r="DI159">
        <f t="shared" si="46"/>
        <v>1292.5728497472642</v>
      </c>
      <c r="DJ159">
        <f t="shared" si="47"/>
        <v>882.28070563403173</v>
      </c>
      <c r="DU159">
        <v>16</v>
      </c>
      <c r="DV159">
        <f t="shared" si="69"/>
        <v>3361.9549153846156</v>
      </c>
      <c r="DW159">
        <f t="shared" si="48"/>
        <v>1938.859274620896</v>
      </c>
      <c r="DX159">
        <f t="shared" si="49"/>
        <v>1323.4210584510477</v>
      </c>
      <c r="EI159">
        <v>16</v>
      </c>
      <c r="EJ159">
        <f t="shared" si="70"/>
        <v>5858.816108032046</v>
      </c>
      <c r="EK159">
        <f t="shared" si="50"/>
        <v>3378.8138851519038</v>
      </c>
      <c r="EL159">
        <f t="shared" si="51"/>
        <v>2306.3011878833531</v>
      </c>
      <c r="EW159">
        <v>16</v>
      </c>
      <c r="EX159">
        <f t="shared" si="71"/>
        <v>6979.4677464935839</v>
      </c>
      <c r="EY159">
        <f t="shared" si="52"/>
        <v>4025.1003100255357</v>
      </c>
      <c r="EZ159">
        <f t="shared" si="53"/>
        <v>2747.4415407003689</v>
      </c>
      <c r="FK159">
        <v>16</v>
      </c>
      <c r="FL159">
        <f t="shared" si="72"/>
        <v>8100.1193849551228</v>
      </c>
      <c r="FM159">
        <f t="shared" si="54"/>
        <v>4671.386734899168</v>
      </c>
      <c r="FN159">
        <f t="shared" si="55"/>
        <v>3188.5818935173847</v>
      </c>
      <c r="FY159">
        <v>16</v>
      </c>
      <c r="FZ159">
        <f t="shared" si="73"/>
        <v>10341.422661878201</v>
      </c>
      <c r="GA159">
        <f t="shared" si="56"/>
        <v>5963.9595846464326</v>
      </c>
      <c r="GB159">
        <f t="shared" si="57"/>
        <v>4070.8625991514173</v>
      </c>
      <c r="GM159">
        <v>16</v>
      </c>
      <c r="GN159">
        <f t="shared" si="74"/>
        <v>18927.40686173239</v>
      </c>
      <c r="GO159">
        <f t="shared" si="58"/>
        <v>10915.547430592103</v>
      </c>
      <c r="GP159">
        <f t="shared" si="59"/>
        <v>7450.7033714406143</v>
      </c>
    </row>
    <row r="160" spans="2:198" x14ac:dyDescent="0.25">
      <c r="B160">
        <v>17</v>
      </c>
      <c r="C160">
        <f t="shared" si="60"/>
        <v>1322.4583602289522</v>
      </c>
      <c r="D160">
        <f t="shared" si="30"/>
        <v>736.87879646442582</v>
      </c>
      <c r="E160">
        <f t="shared" si="31"/>
        <v>491.11398006510939</v>
      </c>
      <c r="Q160">
        <v>17</v>
      </c>
      <c r="R160">
        <f t="shared" si="61"/>
        <v>1362.7269009981831</v>
      </c>
      <c r="S160">
        <f t="shared" si="32"/>
        <v>759.31657957335665</v>
      </c>
      <c r="T160">
        <f t="shared" si="33"/>
        <v>506.06828329562268</v>
      </c>
      <c r="AE160">
        <v>17</v>
      </c>
      <c r="AF160">
        <f t="shared" si="62"/>
        <v>1458.8843202289524</v>
      </c>
      <c r="AG160">
        <f t="shared" si="34"/>
        <v>812.89585698941642</v>
      </c>
      <c r="AH160">
        <f t="shared" si="35"/>
        <v>541.77772738204112</v>
      </c>
      <c r="AS160">
        <v>17</v>
      </c>
      <c r="AT160">
        <f t="shared" si="63"/>
        <v>1988.9326487809572</v>
      </c>
      <c r="AU160">
        <f t="shared" si="36"/>
        <v>1108.240788941574</v>
      </c>
      <c r="AV160">
        <f t="shared" si="37"/>
        <v>738.61881674304504</v>
      </c>
      <c r="BF160">
        <v>17</v>
      </c>
      <c r="BG160">
        <f t="shared" si="64"/>
        <v>2234.9208222358193</v>
      </c>
      <c r="BH160">
        <f t="shared" si="38"/>
        <v>1245.3063288868316</v>
      </c>
      <c r="BI160">
        <f t="shared" si="39"/>
        <v>829.9700717598372</v>
      </c>
      <c r="BS160">
        <v>17</v>
      </c>
      <c r="BT160">
        <f t="shared" si="65"/>
        <v>2966.0892204327583</v>
      </c>
      <c r="BU160">
        <f t="shared" si="40"/>
        <v>1652.716123765292</v>
      </c>
      <c r="BV160">
        <f t="shared" si="41"/>
        <v>1101.4999988527115</v>
      </c>
      <c r="CF160">
        <v>17</v>
      </c>
      <c r="CG160">
        <f t="shared" si="66"/>
        <v>3695.2554973093866</v>
      </c>
      <c r="CH160">
        <f t="shared" si="42"/>
        <v>2059.0103290771885</v>
      </c>
      <c r="CI160">
        <f t="shared" si="43"/>
        <v>1372.286409325508</v>
      </c>
      <c r="CS160">
        <v>17</v>
      </c>
      <c r="CT160">
        <f t="shared" si="67"/>
        <v>2437.5509388012765</v>
      </c>
      <c r="CU160">
        <f t="shared" si="44"/>
        <v>1358.2125956643733</v>
      </c>
      <c r="CV160">
        <f t="shared" si="45"/>
        <v>905.21968718840174</v>
      </c>
      <c r="DG160">
        <v>17</v>
      </c>
      <c r="DH160">
        <f t="shared" si="68"/>
        <v>2241.3032769230772</v>
      </c>
      <c r="DI160">
        <f t="shared" si="46"/>
        <v>1248.8626567606416</v>
      </c>
      <c r="DJ160">
        <f t="shared" si="47"/>
        <v>832.34028833399213</v>
      </c>
      <c r="DU160">
        <v>17</v>
      </c>
      <c r="DV160">
        <f t="shared" si="69"/>
        <v>3361.9549153846156</v>
      </c>
      <c r="DW160">
        <f t="shared" si="48"/>
        <v>1873.2939851409624</v>
      </c>
      <c r="DX160">
        <f t="shared" si="49"/>
        <v>1248.5104325009881</v>
      </c>
      <c r="EI160">
        <v>17</v>
      </c>
      <c r="EJ160">
        <f t="shared" si="70"/>
        <v>5858.816108032046</v>
      </c>
      <c r="EK160">
        <f t="shared" si="50"/>
        <v>3264.5544784076369</v>
      </c>
      <c r="EL160">
        <f t="shared" si="51"/>
        <v>2175.7558376258048</v>
      </c>
      <c r="EW160">
        <v>17</v>
      </c>
      <c r="EX160">
        <f t="shared" si="71"/>
        <v>6979.4677464935839</v>
      </c>
      <c r="EY160">
        <f t="shared" si="52"/>
        <v>3888.9858067879572</v>
      </c>
      <c r="EZ160">
        <f t="shared" si="53"/>
        <v>2591.9259817928005</v>
      </c>
      <c r="FK160">
        <v>17</v>
      </c>
      <c r="FL160">
        <f t="shared" si="72"/>
        <v>8100.1193849551228</v>
      </c>
      <c r="FM160">
        <f t="shared" si="54"/>
        <v>4513.417135168278</v>
      </c>
      <c r="FN160">
        <f t="shared" si="55"/>
        <v>3008.0961259597966</v>
      </c>
      <c r="FY160">
        <v>17</v>
      </c>
      <c r="FZ160">
        <f t="shared" si="73"/>
        <v>10341.422661878201</v>
      </c>
      <c r="GA160">
        <f t="shared" si="56"/>
        <v>5762.2797919289205</v>
      </c>
      <c r="GB160">
        <f t="shared" si="57"/>
        <v>3840.4364142937893</v>
      </c>
      <c r="GM160">
        <v>17</v>
      </c>
      <c r="GN160">
        <f t="shared" si="74"/>
        <v>18927.40686173239</v>
      </c>
      <c r="GO160">
        <f t="shared" si="58"/>
        <v>10546.42263825324</v>
      </c>
      <c r="GP160">
        <f t="shared" si="59"/>
        <v>7028.9654447552957</v>
      </c>
    </row>
    <row r="161" spans="2:198" x14ac:dyDescent="0.25">
      <c r="B161">
        <v>18</v>
      </c>
      <c r="C161">
        <f t="shared" si="60"/>
        <v>1322.4583602289522</v>
      </c>
      <c r="D161">
        <f t="shared" si="30"/>
        <v>711.96018982070132</v>
      </c>
      <c r="E161">
        <f t="shared" si="31"/>
        <v>463.31507553312207</v>
      </c>
      <c r="Q161">
        <v>18</v>
      </c>
      <c r="R161">
        <f t="shared" si="61"/>
        <v>1362.7269009981831</v>
      </c>
      <c r="S161">
        <f t="shared" si="32"/>
        <v>733.63920731725284</v>
      </c>
      <c r="T161">
        <f t="shared" si="33"/>
        <v>477.42290876945532</v>
      </c>
      <c r="AE161">
        <v>18</v>
      </c>
      <c r="AF161">
        <f t="shared" si="62"/>
        <v>1458.8843202289524</v>
      </c>
      <c r="AG161">
        <f t="shared" si="34"/>
        <v>785.40662511054734</v>
      </c>
      <c r="AH161">
        <f t="shared" si="35"/>
        <v>511.11106356796336</v>
      </c>
      <c r="AS161">
        <v>18</v>
      </c>
      <c r="AT161">
        <f t="shared" si="63"/>
        <v>2383.1442818375608</v>
      </c>
      <c r="AU161">
        <f t="shared" si="36"/>
        <v>1282.9922712828893</v>
      </c>
      <c r="AV161">
        <f t="shared" si="37"/>
        <v>834.91980250685606</v>
      </c>
      <c r="BF161">
        <v>18</v>
      </c>
      <c r="BG161">
        <f t="shared" si="64"/>
        <v>2750.2569364395931</v>
      </c>
      <c r="BH161">
        <f t="shared" si="38"/>
        <v>1480.6314583577812</v>
      </c>
      <c r="BI161">
        <f t="shared" si="39"/>
        <v>963.5354416916382</v>
      </c>
      <c r="BS161">
        <v>18</v>
      </c>
      <c r="BT161">
        <f t="shared" si="65"/>
        <v>2966.0892204327583</v>
      </c>
      <c r="BU161">
        <f t="shared" si="40"/>
        <v>1596.827172720089</v>
      </c>
      <c r="BV161">
        <f t="shared" si="41"/>
        <v>1039.1509423138789</v>
      </c>
      <c r="CF161">
        <v>18</v>
      </c>
      <c r="CG161">
        <f t="shared" si="66"/>
        <v>3695.2554973093866</v>
      </c>
      <c r="CH161">
        <f t="shared" si="42"/>
        <v>1989.3819604610521</v>
      </c>
      <c r="CI161">
        <f t="shared" si="43"/>
        <v>1294.6098201184038</v>
      </c>
      <c r="CS161">
        <v>18</v>
      </c>
      <c r="CT161">
        <f t="shared" si="67"/>
        <v>2437.5509388012765</v>
      </c>
      <c r="CU161">
        <f t="shared" si="44"/>
        <v>1312.2827011249985</v>
      </c>
      <c r="CV161">
        <f t="shared" si="45"/>
        <v>853.98083697019035</v>
      </c>
      <c r="DG161">
        <v>18</v>
      </c>
      <c r="DH161">
        <f t="shared" si="68"/>
        <v>2241.3032769230772</v>
      </c>
      <c r="DI161">
        <f t="shared" si="46"/>
        <v>1206.6305862421659</v>
      </c>
      <c r="DJ161">
        <f t="shared" si="47"/>
        <v>785.22668710753976</v>
      </c>
      <c r="DU161">
        <v>18</v>
      </c>
      <c r="DV161">
        <f t="shared" si="69"/>
        <v>3361.9549153846156</v>
      </c>
      <c r="DW161">
        <f t="shared" si="48"/>
        <v>1809.9458793632489</v>
      </c>
      <c r="DX161">
        <f t="shared" si="49"/>
        <v>1177.8400306613096</v>
      </c>
      <c r="EI161">
        <v>18</v>
      </c>
      <c r="EJ161">
        <f t="shared" si="70"/>
        <v>5858.816108032046</v>
      </c>
      <c r="EK161">
        <f t="shared" si="50"/>
        <v>3154.1589163358813</v>
      </c>
      <c r="EL161">
        <f t="shared" si="51"/>
        <v>2052.5998468167968</v>
      </c>
      <c r="EW161">
        <v>18</v>
      </c>
      <c r="EX161">
        <f t="shared" si="71"/>
        <v>6979.4677464935839</v>
      </c>
      <c r="EY161">
        <f t="shared" si="52"/>
        <v>3757.4742094569638</v>
      </c>
      <c r="EZ161">
        <f t="shared" si="53"/>
        <v>2445.2131903705667</v>
      </c>
      <c r="FK161">
        <v>18</v>
      </c>
      <c r="FL161">
        <f t="shared" si="72"/>
        <v>8100.1193849551228</v>
      </c>
      <c r="FM161">
        <f t="shared" si="54"/>
        <v>4360.7895025780472</v>
      </c>
      <c r="FN161">
        <f t="shared" si="55"/>
        <v>2837.8265339243367</v>
      </c>
      <c r="FY161">
        <v>18</v>
      </c>
      <c r="FZ161">
        <f t="shared" si="73"/>
        <v>10341.422661878201</v>
      </c>
      <c r="GA161">
        <f t="shared" si="56"/>
        <v>5567.420088820214</v>
      </c>
      <c r="GB161">
        <f t="shared" si="57"/>
        <v>3623.0532210318765</v>
      </c>
      <c r="GM161">
        <v>18</v>
      </c>
      <c r="GN161">
        <f t="shared" si="74"/>
        <v>18927.40686173239</v>
      </c>
      <c r="GO161">
        <f t="shared" si="58"/>
        <v>10189.780326814725</v>
      </c>
      <c r="GP161">
        <f t="shared" si="59"/>
        <v>6631.0994761842412</v>
      </c>
    </row>
    <row r="162" spans="2:198" x14ac:dyDescent="0.25">
      <c r="B162">
        <v>19</v>
      </c>
      <c r="C162">
        <f t="shared" si="60"/>
        <v>1322.4583602289522</v>
      </c>
      <c r="D162">
        <f t="shared" si="30"/>
        <v>687.88424137265838</v>
      </c>
      <c r="E162">
        <f t="shared" si="31"/>
        <v>437.08969389917172</v>
      </c>
      <c r="Q162">
        <v>19</v>
      </c>
      <c r="R162">
        <f t="shared" si="61"/>
        <v>1362.7269009981831</v>
      </c>
      <c r="S162">
        <f t="shared" si="32"/>
        <v>708.83015199734587</v>
      </c>
      <c r="T162">
        <f t="shared" si="33"/>
        <v>450.39897053722194</v>
      </c>
      <c r="AE162">
        <v>19</v>
      </c>
      <c r="AF162">
        <f t="shared" si="62"/>
        <v>1458.8843202289524</v>
      </c>
      <c r="AG162">
        <f t="shared" si="34"/>
        <v>758.84698078313761</v>
      </c>
      <c r="AH162">
        <f t="shared" si="35"/>
        <v>482.18024864902196</v>
      </c>
      <c r="AS162">
        <v>19</v>
      </c>
      <c r="AT162">
        <f t="shared" si="63"/>
        <v>1988.9326487809572</v>
      </c>
      <c r="AU162">
        <f t="shared" si="36"/>
        <v>1034.5546350594639</v>
      </c>
      <c r="AV162">
        <f t="shared" si="37"/>
        <v>657.36811742884026</v>
      </c>
      <c r="BF162">
        <v>19</v>
      </c>
      <c r="BG162">
        <f t="shared" si="64"/>
        <v>2234.9208222358193</v>
      </c>
      <c r="BH162">
        <f t="shared" si="38"/>
        <v>1162.5067832498605</v>
      </c>
      <c r="BI162">
        <f t="shared" si="39"/>
        <v>738.67040918461828</v>
      </c>
      <c r="BS162">
        <v>19</v>
      </c>
      <c r="BT162">
        <f t="shared" si="65"/>
        <v>2966.0892204327583</v>
      </c>
      <c r="BU162">
        <f t="shared" si="40"/>
        <v>1542.8281862029849</v>
      </c>
      <c r="BV162">
        <f t="shared" si="41"/>
        <v>980.3310776546025</v>
      </c>
      <c r="CF162">
        <v>19</v>
      </c>
      <c r="CG162">
        <f t="shared" si="66"/>
        <v>3695.2554973093866</v>
      </c>
      <c r="CH162">
        <f t="shared" si="42"/>
        <v>1922.1081743585046</v>
      </c>
      <c r="CI162">
        <f t="shared" si="43"/>
        <v>1221.3300189796259</v>
      </c>
      <c r="CS162">
        <v>19</v>
      </c>
      <c r="CT162">
        <f t="shared" si="67"/>
        <v>2437.5509388012765</v>
      </c>
      <c r="CU162">
        <f t="shared" si="44"/>
        <v>1267.9059914251195</v>
      </c>
      <c r="CV162">
        <f t="shared" si="45"/>
        <v>805.64229902848137</v>
      </c>
      <c r="DG162">
        <v>19</v>
      </c>
      <c r="DH162">
        <f t="shared" si="68"/>
        <v>2241.3032769230772</v>
      </c>
      <c r="DI162">
        <f t="shared" si="46"/>
        <v>1165.8266533740734</v>
      </c>
      <c r="DJ162">
        <f t="shared" si="47"/>
        <v>740.77989349767893</v>
      </c>
      <c r="DU162">
        <v>19</v>
      </c>
      <c r="DV162">
        <f t="shared" si="69"/>
        <v>3361.9549153846156</v>
      </c>
      <c r="DW162">
        <f t="shared" si="48"/>
        <v>1748.7399800611101</v>
      </c>
      <c r="DX162">
        <f t="shared" si="49"/>
        <v>1111.1698402465183</v>
      </c>
      <c r="EI162">
        <v>19</v>
      </c>
      <c r="EJ162">
        <f t="shared" si="70"/>
        <v>5858.816108032046</v>
      </c>
      <c r="EK162">
        <f t="shared" si="50"/>
        <v>3047.4965375225911</v>
      </c>
      <c r="EL162">
        <f t="shared" si="51"/>
        <v>1936.4149498271668</v>
      </c>
      <c r="EW162">
        <v>19</v>
      </c>
      <c r="EX162">
        <f t="shared" si="71"/>
        <v>6979.4677464935839</v>
      </c>
      <c r="EY162">
        <f t="shared" si="52"/>
        <v>3630.4098642096274</v>
      </c>
      <c r="EZ162">
        <f t="shared" si="53"/>
        <v>2306.8048965760058</v>
      </c>
      <c r="FK162">
        <v>19</v>
      </c>
      <c r="FL162">
        <f t="shared" si="72"/>
        <v>8100.1193849551228</v>
      </c>
      <c r="FM162">
        <f t="shared" si="54"/>
        <v>4213.3231908966645</v>
      </c>
      <c r="FN162">
        <f t="shared" si="55"/>
        <v>2677.1948433248454</v>
      </c>
      <c r="FY162">
        <v>19</v>
      </c>
      <c r="FZ162">
        <f t="shared" si="73"/>
        <v>10341.422661878201</v>
      </c>
      <c r="GA162">
        <f t="shared" si="56"/>
        <v>5379.149844270738</v>
      </c>
      <c r="GB162">
        <f t="shared" si="57"/>
        <v>3417.9747368225248</v>
      </c>
      <c r="GM162">
        <v>19</v>
      </c>
      <c r="GN162">
        <f t="shared" si="74"/>
        <v>18927.40686173239</v>
      </c>
      <c r="GO162">
        <f t="shared" si="58"/>
        <v>9845.1983833958711</v>
      </c>
      <c r="GP162">
        <f t="shared" si="59"/>
        <v>6255.7542228153216</v>
      </c>
    </row>
    <row r="163" spans="2:198" x14ac:dyDescent="0.25">
      <c r="B163">
        <v>20</v>
      </c>
      <c r="C163">
        <f t="shared" si="60"/>
        <v>1322.4583602289522</v>
      </c>
      <c r="D163">
        <f t="shared" si="30"/>
        <v>664.62245543252027</v>
      </c>
      <c r="E163">
        <f t="shared" si="31"/>
        <v>412.34876782940728</v>
      </c>
      <c r="Q163">
        <v>20</v>
      </c>
      <c r="R163">
        <f t="shared" si="61"/>
        <v>1362.7269009981831</v>
      </c>
      <c r="S163">
        <f t="shared" si="32"/>
        <v>684.86005023898156</v>
      </c>
      <c r="T163">
        <f t="shared" si="33"/>
        <v>424.90468918605848</v>
      </c>
      <c r="AE163">
        <v>20</v>
      </c>
      <c r="AF163">
        <f t="shared" si="62"/>
        <v>1458.8843202289524</v>
      </c>
      <c r="AG163">
        <f t="shared" si="34"/>
        <v>733.18548867936011</v>
      </c>
      <c r="AH163">
        <f t="shared" si="35"/>
        <v>454.88702702737925</v>
      </c>
      <c r="AS163">
        <v>20</v>
      </c>
      <c r="AT163">
        <f t="shared" si="63"/>
        <v>2383.1442818375608</v>
      </c>
      <c r="AU163">
        <f t="shared" si="36"/>
        <v>1197.6870137299723</v>
      </c>
      <c r="AV163">
        <f t="shared" si="37"/>
        <v>743.07565192849415</v>
      </c>
      <c r="BF163">
        <v>20</v>
      </c>
      <c r="BG163">
        <f t="shared" si="64"/>
        <v>2750.2569364395931</v>
      </c>
      <c r="BH163">
        <f t="shared" si="38"/>
        <v>1382.185309676101</v>
      </c>
      <c r="BI163">
        <f t="shared" si="39"/>
        <v>857.54311293310616</v>
      </c>
      <c r="BS163">
        <v>20</v>
      </c>
      <c r="BT163">
        <f t="shared" si="65"/>
        <v>2966.0892204327583</v>
      </c>
      <c r="BU163">
        <f t="shared" si="40"/>
        <v>1490.6552523700336</v>
      </c>
      <c r="BV163">
        <f t="shared" si="41"/>
        <v>924.84063929679485</v>
      </c>
      <c r="CF163">
        <v>20</v>
      </c>
      <c r="CG163">
        <f t="shared" si="66"/>
        <v>3695.2554973093866</v>
      </c>
      <c r="CH163">
        <f t="shared" si="42"/>
        <v>1857.1093472062848</v>
      </c>
      <c r="CI163">
        <f t="shared" si="43"/>
        <v>1152.1981311128548</v>
      </c>
      <c r="CS163">
        <v>20</v>
      </c>
      <c r="CT163">
        <f t="shared" si="67"/>
        <v>2437.5509388012765</v>
      </c>
      <c r="CU163">
        <f t="shared" si="44"/>
        <v>1225.0299434059127</v>
      </c>
      <c r="CV163">
        <f t="shared" si="45"/>
        <v>760.03990474385034</v>
      </c>
      <c r="DG163">
        <v>20</v>
      </c>
      <c r="DH163">
        <f t="shared" si="68"/>
        <v>2241.3032769230772</v>
      </c>
      <c r="DI163">
        <f t="shared" si="46"/>
        <v>1126.402563646448</v>
      </c>
      <c r="DJ163">
        <f t="shared" si="47"/>
        <v>698.84895612988578</v>
      </c>
      <c r="DU163">
        <v>20</v>
      </c>
      <c r="DV163">
        <f t="shared" si="69"/>
        <v>3361.9549153846156</v>
      </c>
      <c r="DW163">
        <f t="shared" si="48"/>
        <v>1689.6038454696718</v>
      </c>
      <c r="DX163">
        <f t="shared" si="49"/>
        <v>1048.2734341948287</v>
      </c>
      <c r="EI163">
        <v>20</v>
      </c>
      <c r="EJ163">
        <f t="shared" si="70"/>
        <v>5858.816108032046</v>
      </c>
      <c r="EK163">
        <f t="shared" si="50"/>
        <v>2944.4410990556435</v>
      </c>
      <c r="EL163">
        <f t="shared" si="51"/>
        <v>1826.8065564407234</v>
      </c>
      <c r="EW163">
        <v>20</v>
      </c>
      <c r="EX163">
        <f t="shared" si="71"/>
        <v>6979.4677464935839</v>
      </c>
      <c r="EY163">
        <f t="shared" si="52"/>
        <v>3507.6423808788672</v>
      </c>
      <c r="EZ163">
        <f t="shared" si="53"/>
        <v>2176.2310345056662</v>
      </c>
      <c r="FK163">
        <v>20</v>
      </c>
      <c r="FL163">
        <f t="shared" si="72"/>
        <v>8100.1193849551228</v>
      </c>
      <c r="FM163">
        <f t="shared" si="54"/>
        <v>4070.8436627020915</v>
      </c>
      <c r="FN163">
        <f t="shared" si="55"/>
        <v>2525.6555125706091</v>
      </c>
      <c r="FY163">
        <v>20</v>
      </c>
      <c r="FZ163">
        <f t="shared" si="73"/>
        <v>10341.422661878201</v>
      </c>
      <c r="GA163">
        <f t="shared" si="56"/>
        <v>5197.2462263485404</v>
      </c>
      <c r="GB163">
        <f t="shared" si="57"/>
        <v>3224.5044687004952</v>
      </c>
      <c r="GM163">
        <v>20</v>
      </c>
      <c r="GN163">
        <f t="shared" si="74"/>
        <v>18927.40686173239</v>
      </c>
      <c r="GO163">
        <f t="shared" si="58"/>
        <v>9512.2689694646106</v>
      </c>
      <c r="GP163">
        <f t="shared" si="59"/>
        <v>5901.654927184265</v>
      </c>
    </row>
    <row r="164" spans="2:198" x14ac:dyDescent="0.25">
      <c r="B164">
        <v>21</v>
      </c>
      <c r="C164">
        <f t="shared" si="60"/>
        <v>1322.4583602289522</v>
      </c>
      <c r="D164">
        <f t="shared" si="30"/>
        <v>642.14729993480228</v>
      </c>
      <c r="E164">
        <f t="shared" si="31"/>
        <v>389.0082715371766</v>
      </c>
      <c r="Q164">
        <v>21</v>
      </c>
      <c r="R164">
        <f t="shared" si="61"/>
        <v>1362.7269009981831</v>
      </c>
      <c r="S164">
        <f t="shared" si="32"/>
        <v>661.7005316318664</v>
      </c>
      <c r="T164">
        <f t="shared" si="33"/>
        <v>400.85348036420601</v>
      </c>
      <c r="AE164">
        <v>21</v>
      </c>
      <c r="AF164">
        <f t="shared" si="62"/>
        <v>1458.8843202289524</v>
      </c>
      <c r="AG164">
        <f t="shared" si="34"/>
        <v>708.39177650179738</v>
      </c>
      <c r="AH164">
        <f t="shared" si="35"/>
        <v>429.13870474281049</v>
      </c>
      <c r="AS164">
        <v>21</v>
      </c>
      <c r="AT164">
        <f t="shared" si="63"/>
        <v>1988.9326487809572</v>
      </c>
      <c r="AU164">
        <f t="shared" si="36"/>
        <v>965.7678219416689</v>
      </c>
      <c r="AV164">
        <f t="shared" si="37"/>
        <v>585.05528429053061</v>
      </c>
      <c r="BF164">
        <v>21</v>
      </c>
      <c r="BG164">
        <f t="shared" si="64"/>
        <v>2234.9208222358193</v>
      </c>
      <c r="BH164">
        <f t="shared" si="38"/>
        <v>1085.2125214122718</v>
      </c>
      <c r="BI164">
        <f t="shared" si="39"/>
        <v>657.41403451817212</v>
      </c>
      <c r="BS164">
        <v>21</v>
      </c>
      <c r="BT164">
        <f t="shared" si="65"/>
        <v>2966.0892204327583</v>
      </c>
      <c r="BU164">
        <f t="shared" si="40"/>
        <v>1440.2466206473757</v>
      </c>
      <c r="BV164">
        <f t="shared" si="41"/>
        <v>872.49116914791944</v>
      </c>
      <c r="CF164">
        <v>21</v>
      </c>
      <c r="CG164">
        <f t="shared" si="66"/>
        <v>3695.2554973093866</v>
      </c>
      <c r="CH164">
        <f t="shared" si="42"/>
        <v>1794.3085480253962</v>
      </c>
      <c r="CI164">
        <f t="shared" si="43"/>
        <v>1086.979368974391</v>
      </c>
      <c r="CS164">
        <v>21</v>
      </c>
      <c r="CT164">
        <f t="shared" si="67"/>
        <v>2437.5509388012765</v>
      </c>
      <c r="CU164">
        <f t="shared" si="44"/>
        <v>1183.603810054022</v>
      </c>
      <c r="CV164">
        <f t="shared" si="45"/>
        <v>717.01877806023606</v>
      </c>
      <c r="DG164">
        <v>21</v>
      </c>
      <c r="DH164">
        <f t="shared" si="68"/>
        <v>2241.3032769230772</v>
      </c>
      <c r="DI164">
        <f t="shared" si="46"/>
        <v>1088.3116556970513</v>
      </c>
      <c r="DJ164">
        <f t="shared" si="47"/>
        <v>659.29146804706193</v>
      </c>
      <c r="DU164">
        <v>21</v>
      </c>
      <c r="DV164">
        <f t="shared" si="69"/>
        <v>3361.9549153846156</v>
      </c>
      <c r="DW164">
        <f t="shared" si="48"/>
        <v>1632.4674835455769</v>
      </c>
      <c r="DX164">
        <f t="shared" si="49"/>
        <v>988.93720207059289</v>
      </c>
      <c r="EI164">
        <v>21</v>
      </c>
      <c r="EJ164">
        <f t="shared" si="70"/>
        <v>5858.816108032046</v>
      </c>
      <c r="EK164">
        <f t="shared" si="50"/>
        <v>2844.8706271069027</v>
      </c>
      <c r="EL164">
        <f t="shared" si="51"/>
        <v>1723.4024117365311</v>
      </c>
      <c r="EW164">
        <v>21</v>
      </c>
      <c r="EX164">
        <f t="shared" si="71"/>
        <v>6979.4677464935839</v>
      </c>
      <c r="EY164">
        <f t="shared" si="52"/>
        <v>3389.0264549554281</v>
      </c>
      <c r="EZ164">
        <f t="shared" si="53"/>
        <v>2053.0481457600617</v>
      </c>
      <c r="FK164">
        <v>21</v>
      </c>
      <c r="FL164">
        <f t="shared" si="72"/>
        <v>8100.1193849551228</v>
      </c>
      <c r="FM164">
        <f t="shared" si="54"/>
        <v>3933.1822828039535</v>
      </c>
      <c r="FN164">
        <f t="shared" si="55"/>
        <v>2382.6938797835928</v>
      </c>
      <c r="FY164">
        <v>21</v>
      </c>
      <c r="FZ164">
        <f t="shared" si="73"/>
        <v>10341.422661878201</v>
      </c>
      <c r="GA164">
        <f t="shared" si="56"/>
        <v>5021.4939385010057</v>
      </c>
      <c r="GB164">
        <f t="shared" si="57"/>
        <v>3041.9853478306554</v>
      </c>
      <c r="GM164">
        <v>21</v>
      </c>
      <c r="GN164">
        <f t="shared" si="74"/>
        <v>18927.40686173239</v>
      </c>
      <c r="GO164">
        <f t="shared" si="58"/>
        <v>9190.5980381300596</v>
      </c>
      <c r="GP164">
        <f t="shared" si="59"/>
        <v>5567.5989879096833</v>
      </c>
    </row>
    <row r="165" spans="2:198" x14ac:dyDescent="0.25">
      <c r="B165">
        <v>22</v>
      </c>
      <c r="C165">
        <f t="shared" si="60"/>
        <v>1322.4583602289522</v>
      </c>
      <c r="D165">
        <f t="shared" si="30"/>
        <v>620.4321738500505</v>
      </c>
      <c r="E165">
        <f t="shared" si="31"/>
        <v>366.98893541243075</v>
      </c>
      <c r="Q165">
        <v>22</v>
      </c>
      <c r="R165">
        <f t="shared" si="61"/>
        <v>1362.7269009981831</v>
      </c>
      <c r="S165">
        <f t="shared" si="32"/>
        <v>639.32418515156166</v>
      </c>
      <c r="T165">
        <f t="shared" si="33"/>
        <v>378.16366072094905</v>
      </c>
      <c r="AE165">
        <v>22</v>
      </c>
      <c r="AF165">
        <f t="shared" si="62"/>
        <v>1458.8843202289524</v>
      </c>
      <c r="AG165">
        <f t="shared" si="34"/>
        <v>684.43649903555297</v>
      </c>
      <c r="AH165">
        <f t="shared" si="35"/>
        <v>404.84783466302878</v>
      </c>
      <c r="AS165">
        <v>22</v>
      </c>
      <c r="AT165">
        <f t="shared" si="63"/>
        <v>2383.1442818375608</v>
      </c>
      <c r="AU165">
        <f t="shared" si="36"/>
        <v>1118.0536430068123</v>
      </c>
      <c r="AV165">
        <f t="shared" si="37"/>
        <v>661.33468487762002</v>
      </c>
      <c r="BF165">
        <v>22</v>
      </c>
      <c r="BG165">
        <f t="shared" si="64"/>
        <v>2750.2569364395931</v>
      </c>
      <c r="BH165">
        <f t="shared" si="38"/>
        <v>1290.2847764718908</v>
      </c>
      <c r="BI165">
        <f t="shared" si="39"/>
        <v>763.21031766919361</v>
      </c>
      <c r="BS165">
        <v>22</v>
      </c>
      <c r="BT165">
        <f t="shared" si="65"/>
        <v>2966.0892204327583</v>
      </c>
      <c r="BU165">
        <f t="shared" si="40"/>
        <v>1391.5426286448076</v>
      </c>
      <c r="BV165">
        <f t="shared" si="41"/>
        <v>823.10487655464101</v>
      </c>
      <c r="CF165">
        <v>22</v>
      </c>
      <c r="CG165">
        <f t="shared" si="66"/>
        <v>3695.2554973093866</v>
      </c>
      <c r="CH165">
        <f t="shared" si="42"/>
        <v>1733.6314473675325</v>
      </c>
      <c r="CI165">
        <f t="shared" si="43"/>
        <v>1025.452234881501</v>
      </c>
      <c r="CS165">
        <v>22</v>
      </c>
      <c r="CT165">
        <f t="shared" si="67"/>
        <v>2437.5509388012765</v>
      </c>
      <c r="CU165">
        <f t="shared" si="44"/>
        <v>1143.5785604386685</v>
      </c>
      <c r="CV165">
        <f t="shared" si="45"/>
        <v>676.43280949078871</v>
      </c>
      <c r="DG165">
        <v>22</v>
      </c>
      <c r="DH165">
        <f t="shared" si="68"/>
        <v>2241.3032769230772</v>
      </c>
      <c r="DI165">
        <f t="shared" si="46"/>
        <v>1051.5088460841075</v>
      </c>
      <c r="DJ165">
        <f t="shared" si="47"/>
        <v>621.9730830632659</v>
      </c>
      <c r="DU165">
        <v>22</v>
      </c>
      <c r="DV165">
        <f t="shared" si="69"/>
        <v>3361.9549153846156</v>
      </c>
      <c r="DW165">
        <f t="shared" si="48"/>
        <v>1577.2632691261613</v>
      </c>
      <c r="DX165">
        <f t="shared" si="49"/>
        <v>932.95962459489886</v>
      </c>
      <c r="EI165">
        <v>22</v>
      </c>
      <c r="EJ165">
        <f t="shared" si="70"/>
        <v>5858.816108032046</v>
      </c>
      <c r="EK165">
        <f t="shared" si="50"/>
        <v>2748.6672725670555</v>
      </c>
      <c r="EL165">
        <f t="shared" si="51"/>
        <v>1625.8513318269161</v>
      </c>
      <c r="EW165">
        <v>22</v>
      </c>
      <c r="EX165">
        <f t="shared" si="71"/>
        <v>6979.4677464935839</v>
      </c>
      <c r="EY165">
        <f t="shared" si="52"/>
        <v>3274.4216956091091</v>
      </c>
      <c r="EZ165">
        <f t="shared" si="53"/>
        <v>1936.8378733585489</v>
      </c>
      <c r="FK165">
        <v>22</v>
      </c>
      <c r="FL165">
        <f t="shared" si="72"/>
        <v>8100.1193849551228</v>
      </c>
      <c r="FM165">
        <f t="shared" si="54"/>
        <v>3800.1761186511631</v>
      </c>
      <c r="FN165">
        <f t="shared" si="55"/>
        <v>2247.8244148901817</v>
      </c>
      <c r="FY165">
        <v>22</v>
      </c>
      <c r="FZ165">
        <f t="shared" si="73"/>
        <v>10341.422661878201</v>
      </c>
      <c r="GA165">
        <f t="shared" si="56"/>
        <v>4851.684964735271</v>
      </c>
      <c r="GB165">
        <f t="shared" si="57"/>
        <v>2869.7974979534483</v>
      </c>
      <c r="GM165">
        <v>22</v>
      </c>
      <c r="GN165">
        <f t="shared" si="74"/>
        <v>18927.40686173239</v>
      </c>
      <c r="GO165">
        <f t="shared" si="58"/>
        <v>8879.804867758512</v>
      </c>
      <c r="GP165">
        <f t="shared" si="59"/>
        <v>5252.4518753864932</v>
      </c>
    </row>
    <row r="166" spans="2:198" x14ac:dyDescent="0.25">
      <c r="B166">
        <v>23</v>
      </c>
      <c r="C166">
        <f t="shared" si="60"/>
        <v>1322.4583602289522</v>
      </c>
      <c r="D166">
        <f t="shared" si="30"/>
        <v>599.45137570053191</v>
      </c>
      <c r="E166">
        <f t="shared" si="31"/>
        <v>346.21597680417989</v>
      </c>
      <c r="Q166">
        <v>23</v>
      </c>
      <c r="R166">
        <f t="shared" si="61"/>
        <v>1362.7269009981831</v>
      </c>
      <c r="S166">
        <f t="shared" si="32"/>
        <v>617.70452671648468</v>
      </c>
      <c r="T166">
        <f t="shared" si="33"/>
        <v>356.75817049146133</v>
      </c>
      <c r="AE166">
        <v>23</v>
      </c>
      <c r="AF166">
        <f t="shared" si="62"/>
        <v>1458.8843202289524</v>
      </c>
      <c r="AG166">
        <f t="shared" si="34"/>
        <v>661.29130341599318</v>
      </c>
      <c r="AH166">
        <f t="shared" si="35"/>
        <v>381.93191949342332</v>
      </c>
      <c r="AS166">
        <v>23</v>
      </c>
      <c r="AT166">
        <f t="shared" si="63"/>
        <v>1988.9326487809572</v>
      </c>
      <c r="AU166">
        <f t="shared" si="36"/>
        <v>901.55459585210281</v>
      </c>
      <c r="AV166">
        <f t="shared" si="37"/>
        <v>520.69712023009117</v>
      </c>
      <c r="BF166">
        <v>23</v>
      </c>
      <c r="BG166">
        <f t="shared" si="64"/>
        <v>2234.9208222358193</v>
      </c>
      <c r="BH166">
        <f t="shared" si="38"/>
        <v>1013.0575009099599</v>
      </c>
      <c r="BI166">
        <f t="shared" si="39"/>
        <v>585.09615033657167</v>
      </c>
      <c r="BS166">
        <v>23</v>
      </c>
      <c r="BT166">
        <f t="shared" si="65"/>
        <v>2966.0892204327583</v>
      </c>
      <c r="BU166">
        <f t="shared" si="40"/>
        <v>1344.4856315408767</v>
      </c>
      <c r="BV166">
        <f t="shared" si="41"/>
        <v>776.51403448551025</v>
      </c>
      <c r="CF166">
        <v>23</v>
      </c>
      <c r="CG166">
        <f t="shared" si="66"/>
        <v>3695.2554973093866</v>
      </c>
      <c r="CH166">
        <f t="shared" si="42"/>
        <v>1675.0062293406113</v>
      </c>
      <c r="CI166">
        <f t="shared" si="43"/>
        <v>967.4077687561329</v>
      </c>
      <c r="CS166">
        <v>23</v>
      </c>
      <c r="CT166">
        <f t="shared" si="67"/>
        <v>2437.5509388012765</v>
      </c>
      <c r="CU166">
        <f t="shared" si="44"/>
        <v>1104.906821679873</v>
      </c>
      <c r="CV166">
        <f t="shared" si="45"/>
        <v>638.14415989697034</v>
      </c>
      <c r="DG166">
        <v>23</v>
      </c>
      <c r="DH166">
        <f t="shared" si="68"/>
        <v>2241.3032769230772</v>
      </c>
      <c r="DI166">
        <f t="shared" si="46"/>
        <v>1015.950575926674</v>
      </c>
      <c r="DJ166">
        <f t="shared" si="47"/>
        <v>586.76705949364703</v>
      </c>
      <c r="DU166">
        <v>23</v>
      </c>
      <c r="DV166">
        <f t="shared" si="69"/>
        <v>3361.9549153846156</v>
      </c>
      <c r="DW166">
        <f t="shared" si="48"/>
        <v>1523.9258638900108</v>
      </c>
      <c r="DX166">
        <f t="shared" si="49"/>
        <v>880.15058924047048</v>
      </c>
      <c r="EI166">
        <v>23</v>
      </c>
      <c r="EJ166">
        <f t="shared" si="70"/>
        <v>5858.816108032046</v>
      </c>
      <c r="EK166">
        <f t="shared" si="50"/>
        <v>2655.7171715623726</v>
      </c>
      <c r="EL166">
        <f t="shared" si="51"/>
        <v>1533.8220111574678</v>
      </c>
      <c r="EW166">
        <v>23</v>
      </c>
      <c r="EX166">
        <f t="shared" si="71"/>
        <v>6979.4677464935839</v>
      </c>
      <c r="EY166">
        <f t="shared" si="52"/>
        <v>3163.6924595257092</v>
      </c>
      <c r="EZ166">
        <f t="shared" si="53"/>
        <v>1827.2055409042912</v>
      </c>
      <c r="FK166">
        <v>23</v>
      </c>
      <c r="FL166">
        <f t="shared" si="72"/>
        <v>8100.1193849551228</v>
      </c>
      <c r="FM166">
        <f t="shared" si="54"/>
        <v>3671.6677474890462</v>
      </c>
      <c r="FN166">
        <f t="shared" si="55"/>
        <v>2120.5890706511145</v>
      </c>
      <c r="FY166">
        <v>23</v>
      </c>
      <c r="FZ166">
        <f t="shared" si="73"/>
        <v>10341.422661878201</v>
      </c>
      <c r="GA166">
        <f t="shared" si="56"/>
        <v>4687.6183234157206</v>
      </c>
      <c r="GB166">
        <f t="shared" si="57"/>
        <v>2707.3561301447621</v>
      </c>
      <c r="GM166">
        <v>23</v>
      </c>
      <c r="GN166">
        <f t="shared" si="74"/>
        <v>18927.40686173239</v>
      </c>
      <c r="GO166">
        <f t="shared" si="58"/>
        <v>8579.5216113608803</v>
      </c>
      <c r="GP166">
        <f t="shared" si="59"/>
        <v>4955.1432786665027</v>
      </c>
    </row>
    <row r="167" spans="2:198" x14ac:dyDescent="0.25">
      <c r="B167">
        <v>24</v>
      </c>
      <c r="C167">
        <f t="shared" si="60"/>
        <v>1322.4583602289522</v>
      </c>
      <c r="D167">
        <f t="shared" si="30"/>
        <v>579.1800731406106</v>
      </c>
      <c r="E167">
        <f t="shared" si="31"/>
        <v>326.61884604167921</v>
      </c>
      <c r="Q167">
        <v>24</v>
      </c>
      <c r="R167">
        <f t="shared" si="61"/>
        <v>1362.7269009981831</v>
      </c>
      <c r="S167">
        <f t="shared" si="32"/>
        <v>596.8159678420144</v>
      </c>
      <c r="T167">
        <f t="shared" si="33"/>
        <v>336.56431178439755</v>
      </c>
      <c r="AE167">
        <v>24</v>
      </c>
      <c r="AF167">
        <f t="shared" si="62"/>
        <v>1458.8843202289524</v>
      </c>
      <c r="AG167">
        <f t="shared" si="34"/>
        <v>638.9287955710081</v>
      </c>
      <c r="AH167">
        <f t="shared" si="35"/>
        <v>360.31313159756922</v>
      </c>
      <c r="AS167">
        <v>24</v>
      </c>
      <c r="AT167">
        <f t="shared" si="63"/>
        <v>2383.1442818375608</v>
      </c>
      <c r="AU167">
        <f t="shared" si="36"/>
        <v>1043.7150393304978</v>
      </c>
      <c r="AV167">
        <f t="shared" si="37"/>
        <v>588.58551519902107</v>
      </c>
      <c r="BF167">
        <v>24</v>
      </c>
      <c r="BG167">
        <f t="shared" si="64"/>
        <v>2750.2569364395931</v>
      </c>
      <c r="BH167">
        <f t="shared" si="38"/>
        <v>1204.4946453563828</v>
      </c>
      <c r="BI167">
        <f t="shared" si="39"/>
        <v>679.25446570771953</v>
      </c>
      <c r="BS167">
        <v>24</v>
      </c>
      <c r="BT167">
        <f t="shared" si="65"/>
        <v>2966.0892204327583</v>
      </c>
      <c r="BU167">
        <f t="shared" si="40"/>
        <v>1299.01993385592</v>
      </c>
      <c r="BV167">
        <f t="shared" si="41"/>
        <v>732.56040989199096</v>
      </c>
      <c r="CF167">
        <v>24</v>
      </c>
      <c r="CG167">
        <f t="shared" si="66"/>
        <v>3695.2554973093866</v>
      </c>
      <c r="CH167">
        <f t="shared" si="42"/>
        <v>1618.3635066092866</v>
      </c>
      <c r="CI167">
        <f t="shared" si="43"/>
        <v>912.64883844918211</v>
      </c>
      <c r="CS167">
        <v>24</v>
      </c>
      <c r="CT167">
        <f t="shared" si="67"/>
        <v>2437.5509388012765</v>
      </c>
      <c r="CU167">
        <f t="shared" si="44"/>
        <v>1067.5428228791047</v>
      </c>
      <c r="CV167">
        <f t="shared" si="45"/>
        <v>602.02279235563253</v>
      </c>
      <c r="DG167">
        <v>24</v>
      </c>
      <c r="DH167">
        <f t="shared" si="68"/>
        <v>2241.3032769230772</v>
      </c>
      <c r="DI167">
        <f t="shared" si="46"/>
        <v>981.59475934944362</v>
      </c>
      <c r="DJ167">
        <f t="shared" si="47"/>
        <v>553.55382971098788</v>
      </c>
      <c r="DU167">
        <v>24</v>
      </c>
      <c r="DV167">
        <f t="shared" si="69"/>
        <v>3361.9549153846156</v>
      </c>
      <c r="DW167">
        <f t="shared" si="48"/>
        <v>1472.3921390241653</v>
      </c>
      <c r="DX167">
        <f t="shared" si="49"/>
        <v>830.33074456648171</v>
      </c>
      <c r="EI167">
        <v>24</v>
      </c>
      <c r="EJ167">
        <f t="shared" si="70"/>
        <v>5858.816108032046</v>
      </c>
      <c r="EK167">
        <f t="shared" si="50"/>
        <v>2565.9103106882831</v>
      </c>
      <c r="EL167">
        <f t="shared" si="51"/>
        <v>1447.001897318366</v>
      </c>
      <c r="EW167">
        <v>24</v>
      </c>
      <c r="EX167">
        <f t="shared" si="71"/>
        <v>6979.4677464935839</v>
      </c>
      <c r="EY167">
        <f t="shared" si="52"/>
        <v>3056.7076903630045</v>
      </c>
      <c r="EZ167">
        <f t="shared" si="53"/>
        <v>1723.7788121738597</v>
      </c>
      <c r="FK167">
        <v>24</v>
      </c>
      <c r="FL167">
        <f t="shared" si="72"/>
        <v>8100.1193849551228</v>
      </c>
      <c r="FM167">
        <f t="shared" si="54"/>
        <v>3547.5050700377269</v>
      </c>
      <c r="FN167">
        <f t="shared" si="55"/>
        <v>2000.5557270293536</v>
      </c>
      <c r="FY167">
        <v>24</v>
      </c>
      <c r="FZ167">
        <f t="shared" si="73"/>
        <v>10341.422661878201</v>
      </c>
      <c r="GA167">
        <f t="shared" si="56"/>
        <v>4529.0998293871708</v>
      </c>
      <c r="GB167">
        <f t="shared" si="57"/>
        <v>2554.1095567403418</v>
      </c>
      <c r="GM167">
        <v>24</v>
      </c>
      <c r="GN167">
        <f t="shared" si="74"/>
        <v>18927.40686173239</v>
      </c>
      <c r="GO167">
        <f t="shared" si="58"/>
        <v>8289.3928612182444</v>
      </c>
      <c r="GP167">
        <f t="shared" si="59"/>
        <v>4674.6634704400976</v>
      </c>
    </row>
    <row r="168" spans="2:198" x14ac:dyDescent="0.25">
      <c r="B168">
        <v>25</v>
      </c>
      <c r="C168">
        <f t="shared" si="60"/>
        <v>1322.4583602289522</v>
      </c>
      <c r="D168">
        <f t="shared" si="30"/>
        <v>559.5942735658075</v>
      </c>
      <c r="E168">
        <f t="shared" si="31"/>
        <v>308.13098683177282</v>
      </c>
      <c r="Q168">
        <v>25</v>
      </c>
      <c r="R168">
        <f t="shared" si="61"/>
        <v>1362.7269009981831</v>
      </c>
      <c r="S168">
        <f t="shared" si="32"/>
        <v>576.63378535460333</v>
      </c>
      <c r="T168">
        <f t="shared" si="33"/>
        <v>317.51350168339388</v>
      </c>
      <c r="AE168">
        <v>25</v>
      </c>
      <c r="AF168">
        <f t="shared" si="62"/>
        <v>1458.8843202289524</v>
      </c>
      <c r="AG168">
        <f t="shared" si="34"/>
        <v>617.32250779807543</v>
      </c>
      <c r="AH168">
        <f t="shared" si="35"/>
        <v>339.91804867695208</v>
      </c>
      <c r="AS168">
        <v>25</v>
      </c>
      <c r="AT168">
        <f t="shared" si="63"/>
        <v>1988.9326487809572</v>
      </c>
      <c r="AU168">
        <f t="shared" si="36"/>
        <v>841.61086219244612</v>
      </c>
      <c r="AV168">
        <f t="shared" si="37"/>
        <v>463.41858333044792</v>
      </c>
      <c r="BF168">
        <v>25</v>
      </c>
      <c r="BG168">
        <f t="shared" si="64"/>
        <v>2234.9208222358193</v>
      </c>
      <c r="BH168">
        <f t="shared" si="38"/>
        <v>945.70001718589481</v>
      </c>
      <c r="BI168">
        <f t="shared" si="39"/>
        <v>520.7334908655854</v>
      </c>
      <c r="BS168">
        <v>25</v>
      </c>
      <c r="BT168">
        <f t="shared" si="65"/>
        <v>2966.0892204327583</v>
      </c>
      <c r="BU168">
        <f t="shared" si="40"/>
        <v>1255.09172353229</v>
      </c>
      <c r="BV168">
        <f t="shared" si="41"/>
        <v>691.09472631319898</v>
      </c>
      <c r="CF168">
        <v>25</v>
      </c>
      <c r="CG168">
        <f t="shared" si="66"/>
        <v>3695.2554973093866</v>
      </c>
      <c r="CH168">
        <f t="shared" si="42"/>
        <v>1563.6362382698421</v>
      </c>
      <c r="CI168">
        <f t="shared" si="43"/>
        <v>860.98947023507742</v>
      </c>
      <c r="CS168">
        <v>25</v>
      </c>
      <c r="CT168">
        <f t="shared" si="67"/>
        <v>2437.5509388012765</v>
      </c>
      <c r="CU168">
        <f t="shared" si="44"/>
        <v>1031.4423409459951</v>
      </c>
      <c r="CV168">
        <f t="shared" si="45"/>
        <v>567.94603052418165</v>
      </c>
      <c r="DG168">
        <v>25</v>
      </c>
      <c r="DH168">
        <f t="shared" si="68"/>
        <v>2241.3032769230772</v>
      </c>
      <c r="DI168">
        <f t="shared" si="46"/>
        <v>948.40073367096011</v>
      </c>
      <c r="DJ168">
        <f t="shared" si="47"/>
        <v>522.22059406696974</v>
      </c>
      <c r="DU168">
        <v>25</v>
      </c>
      <c r="DV168">
        <f t="shared" si="69"/>
        <v>3361.9549153846156</v>
      </c>
      <c r="DW168">
        <f t="shared" si="48"/>
        <v>1422.6011005064402</v>
      </c>
      <c r="DX168">
        <f t="shared" si="49"/>
        <v>783.33089110045444</v>
      </c>
      <c r="EI168">
        <v>25</v>
      </c>
      <c r="EJ168">
        <f t="shared" si="70"/>
        <v>5858.816108032046</v>
      </c>
      <c r="EK168">
        <f t="shared" si="50"/>
        <v>2479.1403968002737</v>
      </c>
      <c r="EL168">
        <f t="shared" si="51"/>
        <v>1365.0961295456284</v>
      </c>
      <c r="EW168">
        <v>25</v>
      </c>
      <c r="EX168">
        <f t="shared" si="71"/>
        <v>6979.4677464935839</v>
      </c>
      <c r="EY168">
        <f t="shared" si="52"/>
        <v>2953.3407636357538</v>
      </c>
      <c r="EZ168">
        <f t="shared" si="53"/>
        <v>1626.206426579113</v>
      </c>
      <c r="FK168">
        <v>25</v>
      </c>
      <c r="FL168">
        <f t="shared" si="72"/>
        <v>8100.1193849551228</v>
      </c>
      <c r="FM168">
        <f t="shared" si="54"/>
        <v>3427.5411304712338</v>
      </c>
      <c r="FN168">
        <f t="shared" si="55"/>
        <v>1887.316723612598</v>
      </c>
      <c r="FY168">
        <v>25</v>
      </c>
      <c r="FZ168">
        <f t="shared" si="73"/>
        <v>10341.422661878201</v>
      </c>
      <c r="GA168">
        <f t="shared" si="56"/>
        <v>4375.9418641421944</v>
      </c>
      <c r="GB168">
        <f t="shared" si="57"/>
        <v>2409.5373176795679</v>
      </c>
      <c r="GM168">
        <v>25</v>
      </c>
      <c r="GN168">
        <f t="shared" si="74"/>
        <v>18927.40686173239</v>
      </c>
      <c r="GO168">
        <f t="shared" si="58"/>
        <v>8009.0752282301883</v>
      </c>
      <c r="GP168">
        <f t="shared" si="59"/>
        <v>4410.0598777736768</v>
      </c>
    </row>
    <row r="169" spans="2:198" x14ac:dyDescent="0.25">
      <c r="B169">
        <v>26</v>
      </c>
      <c r="C169">
        <f t="shared" si="60"/>
        <v>1322.4583602289522</v>
      </c>
      <c r="D169">
        <f t="shared" si="30"/>
        <v>540.67079571575596</v>
      </c>
      <c r="E169">
        <f t="shared" si="31"/>
        <v>290.68961021865363</v>
      </c>
      <c r="Q169">
        <v>26</v>
      </c>
      <c r="R169">
        <f t="shared" si="61"/>
        <v>1362.7269009981831</v>
      </c>
      <c r="S169">
        <f t="shared" si="32"/>
        <v>557.1340921300515</v>
      </c>
      <c r="T169">
        <f t="shared" si="33"/>
        <v>299.54103932395651</v>
      </c>
      <c r="AE169">
        <v>26</v>
      </c>
      <c r="AF169">
        <f t="shared" si="62"/>
        <v>1458.8843202289524</v>
      </c>
      <c r="AG169">
        <f t="shared" si="34"/>
        <v>596.44686743775412</v>
      </c>
      <c r="AH169">
        <f t="shared" si="35"/>
        <v>320.67740441221895</v>
      </c>
      <c r="AS169">
        <v>26</v>
      </c>
      <c r="AT169">
        <f t="shared" si="63"/>
        <v>2383.1442818375608</v>
      </c>
      <c r="AU169">
        <f t="shared" si="36"/>
        <v>974.31915734836093</v>
      </c>
      <c r="AV169">
        <f t="shared" si="37"/>
        <v>523.83901317107609</v>
      </c>
      <c r="BF169">
        <v>26</v>
      </c>
      <c r="BG169">
        <f t="shared" si="64"/>
        <v>2750.2569364395931</v>
      </c>
      <c r="BH169">
        <f t="shared" si="38"/>
        <v>1124.4086399742191</v>
      </c>
      <c r="BI169">
        <f t="shared" si="39"/>
        <v>604.53405634364492</v>
      </c>
      <c r="BS169">
        <v>26</v>
      </c>
      <c r="BT169">
        <f t="shared" si="65"/>
        <v>2966.0892204327583</v>
      </c>
      <c r="BU169">
        <f t="shared" si="40"/>
        <v>1212.6490082437583</v>
      </c>
      <c r="BV169">
        <f t="shared" si="41"/>
        <v>651.9761568992443</v>
      </c>
      <c r="CF169">
        <v>26</v>
      </c>
      <c r="CG169">
        <f t="shared" si="66"/>
        <v>3695.2554973093866</v>
      </c>
      <c r="CH169">
        <f t="shared" si="42"/>
        <v>1510.759650502263</v>
      </c>
      <c r="CI169">
        <f t="shared" si="43"/>
        <v>812.25421720290319</v>
      </c>
      <c r="CS169">
        <v>26</v>
      </c>
      <c r="CT169">
        <f t="shared" si="67"/>
        <v>2437.5509388012765</v>
      </c>
      <c r="CU169">
        <f t="shared" si="44"/>
        <v>996.56264825699998</v>
      </c>
      <c r="CV169">
        <f t="shared" si="45"/>
        <v>535.79814200394492</v>
      </c>
      <c r="DG169">
        <v>26</v>
      </c>
      <c r="DH169">
        <f t="shared" si="68"/>
        <v>2241.3032769230772</v>
      </c>
      <c r="DI169">
        <f t="shared" si="46"/>
        <v>916.32921127629004</v>
      </c>
      <c r="DJ169">
        <f t="shared" si="47"/>
        <v>492.66093779902798</v>
      </c>
      <c r="DU169">
        <v>26</v>
      </c>
      <c r="DV169">
        <f t="shared" si="69"/>
        <v>3361.9549153846156</v>
      </c>
      <c r="DW169">
        <f t="shared" si="48"/>
        <v>1374.493816914435</v>
      </c>
      <c r="DX169">
        <f t="shared" si="49"/>
        <v>738.99140669854194</v>
      </c>
      <c r="EI169">
        <v>26</v>
      </c>
      <c r="EJ169">
        <f t="shared" si="70"/>
        <v>5858.816108032046</v>
      </c>
      <c r="EK169">
        <f t="shared" si="50"/>
        <v>2395.3047312079943</v>
      </c>
      <c r="EL169">
        <f t="shared" si="51"/>
        <v>1287.8265373071965</v>
      </c>
      <c r="EW169">
        <v>26</v>
      </c>
      <c r="EX169">
        <f t="shared" si="71"/>
        <v>6979.4677464935839</v>
      </c>
      <c r="EY169">
        <f t="shared" si="52"/>
        <v>2853.469336846139</v>
      </c>
      <c r="EZ169">
        <f t="shared" si="53"/>
        <v>1534.1570062067103</v>
      </c>
      <c r="FK169">
        <v>26</v>
      </c>
      <c r="FL169">
        <f t="shared" si="72"/>
        <v>8100.1193849551228</v>
      </c>
      <c r="FM169">
        <f t="shared" si="54"/>
        <v>3311.633942484284</v>
      </c>
      <c r="FN169">
        <f t="shared" si="55"/>
        <v>1780.4874751062243</v>
      </c>
      <c r="FY169">
        <v>26</v>
      </c>
      <c r="FZ169">
        <f t="shared" si="73"/>
        <v>10341.422661878201</v>
      </c>
      <c r="GA169">
        <f t="shared" si="56"/>
        <v>4227.9631537605746</v>
      </c>
      <c r="GB169">
        <f t="shared" si="57"/>
        <v>2273.1484129052528</v>
      </c>
      <c r="GM169">
        <v>26</v>
      </c>
      <c r="GN169">
        <f t="shared" si="74"/>
        <v>18927.40686173239</v>
      </c>
      <c r="GO169">
        <f t="shared" si="58"/>
        <v>7738.2369354881048</v>
      </c>
      <c r="GP169">
        <f t="shared" si="59"/>
        <v>4160.433846956299</v>
      </c>
    </row>
    <row r="170" spans="2:198" x14ac:dyDescent="0.25">
      <c r="B170">
        <v>27</v>
      </c>
      <c r="C170">
        <f t="shared" si="60"/>
        <v>1322.4583602289522</v>
      </c>
      <c r="D170">
        <f t="shared" si="30"/>
        <v>522.38724223744543</v>
      </c>
      <c r="E170">
        <f t="shared" si="31"/>
        <v>274.23548133835243</v>
      </c>
      <c r="Q170">
        <v>27</v>
      </c>
      <c r="R170">
        <f t="shared" si="61"/>
        <v>1362.7269009981831</v>
      </c>
      <c r="S170">
        <f t="shared" si="32"/>
        <v>538.29380882130579</v>
      </c>
      <c r="T170">
        <f t="shared" si="33"/>
        <v>282.5858861546759</v>
      </c>
      <c r="AE170">
        <v>27</v>
      </c>
      <c r="AF170">
        <f t="shared" si="62"/>
        <v>1458.8843202289524</v>
      </c>
      <c r="AG170">
        <f t="shared" si="34"/>
        <v>576.27716660652573</v>
      </c>
      <c r="AH170">
        <f t="shared" si="35"/>
        <v>302.52585321907441</v>
      </c>
      <c r="AS170">
        <v>27</v>
      </c>
      <c r="AT170">
        <f t="shared" si="63"/>
        <v>1988.9326487809572</v>
      </c>
      <c r="AU170">
        <f t="shared" si="36"/>
        <v>785.65274540124267</v>
      </c>
      <c r="AV170">
        <f t="shared" si="37"/>
        <v>412.44088940054093</v>
      </c>
      <c r="BF170">
        <v>27</v>
      </c>
      <c r="BG170">
        <f t="shared" si="64"/>
        <v>2234.9208222358193</v>
      </c>
      <c r="BH170">
        <f t="shared" si="38"/>
        <v>882.82108537972397</v>
      </c>
      <c r="BI170">
        <f t="shared" si="39"/>
        <v>463.45095306655867</v>
      </c>
      <c r="BS170">
        <v>27</v>
      </c>
      <c r="BT170">
        <f t="shared" si="65"/>
        <v>2966.0892204327583</v>
      </c>
      <c r="BU170">
        <f t="shared" si="40"/>
        <v>1171.6415538587037</v>
      </c>
      <c r="BV170">
        <f t="shared" si="41"/>
        <v>615.07184613136246</v>
      </c>
      <c r="CF170">
        <v>27</v>
      </c>
      <c r="CG170">
        <f t="shared" si="66"/>
        <v>3695.2554973093866</v>
      </c>
      <c r="CH170">
        <f t="shared" si="42"/>
        <v>1459.6711599055682</v>
      </c>
      <c r="CI170">
        <f t="shared" si="43"/>
        <v>766.27756339896519</v>
      </c>
      <c r="CS170">
        <v>27</v>
      </c>
      <c r="CT170">
        <f t="shared" si="67"/>
        <v>2437.5509388012765</v>
      </c>
      <c r="CU170">
        <f t="shared" si="44"/>
        <v>962.86246208405794</v>
      </c>
      <c r="CV170">
        <f t="shared" si="45"/>
        <v>505.46994528674037</v>
      </c>
      <c r="DG170">
        <v>27</v>
      </c>
      <c r="DH170">
        <f t="shared" si="68"/>
        <v>2241.3032769230772</v>
      </c>
      <c r="DI170">
        <f t="shared" si="46"/>
        <v>885.34223311718836</v>
      </c>
      <c r="DJ170">
        <f t="shared" si="47"/>
        <v>464.77446962172445</v>
      </c>
      <c r="DU170">
        <v>27</v>
      </c>
      <c r="DV170">
        <f t="shared" si="69"/>
        <v>3361.9549153846156</v>
      </c>
      <c r="DW170">
        <f t="shared" si="48"/>
        <v>1328.0133496757826</v>
      </c>
      <c r="DX170">
        <f t="shared" si="49"/>
        <v>697.16170443258659</v>
      </c>
      <c r="EI170">
        <v>27</v>
      </c>
      <c r="EJ170">
        <f t="shared" si="70"/>
        <v>5858.816108032046</v>
      </c>
      <c r="EK170">
        <f t="shared" si="50"/>
        <v>2314.3040881236657</v>
      </c>
      <c r="EL170">
        <f t="shared" si="51"/>
        <v>1214.9306955728266</v>
      </c>
      <c r="EW170">
        <v>27</v>
      </c>
      <c r="EX170">
        <f t="shared" si="71"/>
        <v>6979.4677464935839</v>
      </c>
      <c r="EY170">
        <f t="shared" si="52"/>
        <v>2756.9752046822596</v>
      </c>
      <c r="EZ170">
        <f t="shared" si="53"/>
        <v>1447.3179303836887</v>
      </c>
      <c r="FK170">
        <v>27</v>
      </c>
      <c r="FL170">
        <f t="shared" si="72"/>
        <v>8100.1193849551228</v>
      </c>
      <c r="FM170">
        <f t="shared" si="54"/>
        <v>3199.6463212408539</v>
      </c>
      <c r="FN170">
        <f t="shared" si="55"/>
        <v>1679.705165194551</v>
      </c>
      <c r="FY170">
        <v>27</v>
      </c>
      <c r="FZ170">
        <f t="shared" si="73"/>
        <v>10341.422661878201</v>
      </c>
      <c r="GA170">
        <f t="shared" si="56"/>
        <v>4084.9885543580431</v>
      </c>
      <c r="GB170">
        <f t="shared" si="57"/>
        <v>2144.4796348162758</v>
      </c>
      <c r="GM170">
        <v>27</v>
      </c>
      <c r="GN170">
        <f t="shared" si="74"/>
        <v>18927.40686173239</v>
      </c>
      <c r="GO170">
        <f t="shared" si="58"/>
        <v>7476.5574255923721</v>
      </c>
      <c r="GP170">
        <f t="shared" si="59"/>
        <v>3924.9375914682055</v>
      </c>
    </row>
    <row r="171" spans="2:198" x14ac:dyDescent="0.25">
      <c r="B171">
        <v>28</v>
      </c>
      <c r="C171">
        <f t="shared" si="60"/>
        <v>1322.4583602289522</v>
      </c>
      <c r="D171">
        <f t="shared" si="30"/>
        <v>504.72197317627575</v>
      </c>
      <c r="E171">
        <f t="shared" si="31"/>
        <v>258.71271824372866</v>
      </c>
      <c r="Q171">
        <v>28</v>
      </c>
      <c r="R171">
        <f t="shared" si="61"/>
        <v>1362.7269009981831</v>
      </c>
      <c r="S171">
        <f t="shared" si="32"/>
        <v>520.09063654232443</v>
      </c>
      <c r="T171">
        <f t="shared" si="33"/>
        <v>266.59045863648669</v>
      </c>
      <c r="AE171">
        <v>28</v>
      </c>
      <c r="AF171">
        <f t="shared" si="62"/>
        <v>1458.8843202289524</v>
      </c>
      <c r="AG171">
        <f t="shared" si="34"/>
        <v>556.78953295316489</v>
      </c>
      <c r="AH171">
        <f t="shared" si="35"/>
        <v>285.40174831988151</v>
      </c>
      <c r="AS171">
        <v>28</v>
      </c>
      <c r="AT171">
        <f t="shared" si="63"/>
        <v>2383.1442818375608</v>
      </c>
      <c r="AU171">
        <f t="shared" si="36"/>
        <v>909.53735895667205</v>
      </c>
      <c r="AV171">
        <f t="shared" si="37"/>
        <v>466.21485686283012</v>
      </c>
      <c r="BF171">
        <v>28</v>
      </c>
      <c r="BG171">
        <f t="shared" si="64"/>
        <v>2750.2569364395931</v>
      </c>
      <c r="BH171">
        <f t="shared" si="38"/>
        <v>1049.647497000368</v>
      </c>
      <c r="BI171">
        <f t="shared" si="39"/>
        <v>538.03315801321185</v>
      </c>
      <c r="BS171">
        <v>28</v>
      </c>
      <c r="BT171">
        <f t="shared" si="65"/>
        <v>2966.0892204327583</v>
      </c>
      <c r="BU171">
        <f t="shared" si="40"/>
        <v>1132.0208249842549</v>
      </c>
      <c r="BV171">
        <f t="shared" si="41"/>
        <v>580.25645861449289</v>
      </c>
      <c r="CF171">
        <v>28</v>
      </c>
      <c r="CG171">
        <f t="shared" si="66"/>
        <v>3695.2554973093866</v>
      </c>
      <c r="CH171">
        <f t="shared" si="42"/>
        <v>1410.3102994256697</v>
      </c>
      <c r="CI171">
        <f t="shared" si="43"/>
        <v>722.90336169713692</v>
      </c>
      <c r="CS171">
        <v>28</v>
      </c>
      <c r="CT171">
        <f t="shared" si="67"/>
        <v>2437.5509388012765</v>
      </c>
      <c r="CU171">
        <f t="shared" si="44"/>
        <v>930.3018957333893</v>
      </c>
      <c r="CV171">
        <f t="shared" si="45"/>
        <v>476.85843894975505</v>
      </c>
      <c r="DG171">
        <v>28</v>
      </c>
      <c r="DH171">
        <f t="shared" si="68"/>
        <v>2241.3032769230772</v>
      </c>
      <c r="DI171">
        <f t="shared" si="46"/>
        <v>855.40312378472311</v>
      </c>
      <c r="DJ171">
        <f t="shared" si="47"/>
        <v>438.46648077521172</v>
      </c>
      <c r="DU171">
        <v>28</v>
      </c>
      <c r="DV171">
        <f t="shared" si="69"/>
        <v>3361.9549153846156</v>
      </c>
      <c r="DW171">
        <f t="shared" si="48"/>
        <v>1283.1046856770845</v>
      </c>
      <c r="DX171">
        <f t="shared" si="49"/>
        <v>657.69972116281747</v>
      </c>
      <c r="EI171">
        <v>28</v>
      </c>
      <c r="EJ171">
        <f t="shared" si="70"/>
        <v>5858.816108032046</v>
      </c>
      <c r="EK171">
        <f t="shared" si="50"/>
        <v>2236.0425972209332</v>
      </c>
      <c r="EL171">
        <f t="shared" si="51"/>
        <v>1146.1610335592704</v>
      </c>
      <c r="EW171">
        <v>28</v>
      </c>
      <c r="EX171">
        <f t="shared" si="71"/>
        <v>6979.4677464935839</v>
      </c>
      <c r="EY171">
        <f t="shared" si="52"/>
        <v>2663.7441591132942</v>
      </c>
      <c r="EZ171">
        <f t="shared" si="53"/>
        <v>1365.3942739468762</v>
      </c>
      <c r="FK171">
        <v>28</v>
      </c>
      <c r="FL171">
        <f t="shared" si="72"/>
        <v>8100.1193849551228</v>
      </c>
      <c r="FM171">
        <f t="shared" si="54"/>
        <v>3091.4457210056562</v>
      </c>
      <c r="FN171">
        <f t="shared" si="55"/>
        <v>1584.6275143344819</v>
      </c>
      <c r="FY171">
        <v>28</v>
      </c>
      <c r="FZ171">
        <f t="shared" si="73"/>
        <v>10341.422661878201</v>
      </c>
      <c r="GA171">
        <f t="shared" si="56"/>
        <v>3946.8488447903796</v>
      </c>
      <c r="GB171">
        <f t="shared" si="57"/>
        <v>2023.0939951096939</v>
      </c>
      <c r="GM171">
        <v>28</v>
      </c>
      <c r="GN171">
        <f t="shared" si="74"/>
        <v>18927.40686173239</v>
      </c>
      <c r="GO171">
        <f t="shared" si="58"/>
        <v>7223.7269812486684</v>
      </c>
      <c r="GP171">
        <f t="shared" si="59"/>
        <v>3702.7713127058541</v>
      </c>
    </row>
    <row r="172" spans="2:198" x14ac:dyDescent="0.25">
      <c r="B172">
        <v>29</v>
      </c>
      <c r="C172">
        <f t="shared" si="60"/>
        <v>1322.4583602289522</v>
      </c>
      <c r="D172">
        <f t="shared" si="30"/>
        <v>487.6540803635516</v>
      </c>
      <c r="E172">
        <f t="shared" si="31"/>
        <v>244.06860211672515</v>
      </c>
      <c r="Q172">
        <v>29</v>
      </c>
      <c r="R172">
        <f t="shared" si="61"/>
        <v>1362.7269009981831</v>
      </c>
      <c r="S172">
        <f t="shared" si="32"/>
        <v>502.50303047567593</v>
      </c>
      <c r="T172">
        <f t="shared" si="33"/>
        <v>251.5004326759308</v>
      </c>
      <c r="AE172">
        <v>29</v>
      </c>
      <c r="AF172">
        <f t="shared" si="62"/>
        <v>1458.8843202289524</v>
      </c>
      <c r="AG172">
        <f t="shared" si="34"/>
        <v>537.96090140402418</v>
      </c>
      <c r="AH172">
        <f t="shared" si="35"/>
        <v>269.24693237724671</v>
      </c>
      <c r="AS172">
        <v>29</v>
      </c>
      <c r="AT172">
        <f t="shared" si="63"/>
        <v>1988.9326487809572</v>
      </c>
      <c r="AU172">
        <f t="shared" si="36"/>
        <v>733.41524460430151</v>
      </c>
      <c r="AV172">
        <f t="shared" si="37"/>
        <v>367.07092328278827</v>
      </c>
      <c r="BF172">
        <v>29</v>
      </c>
      <c r="BG172">
        <f t="shared" si="64"/>
        <v>2234.9208222358193</v>
      </c>
      <c r="BH172">
        <f t="shared" si="38"/>
        <v>824.12292971105433</v>
      </c>
      <c r="BI172">
        <f t="shared" si="39"/>
        <v>412.46969835044376</v>
      </c>
      <c r="BS172">
        <v>29</v>
      </c>
      <c r="BT172">
        <f t="shared" si="65"/>
        <v>2966.0892204327583</v>
      </c>
      <c r="BU172">
        <f t="shared" si="40"/>
        <v>1093.7399275210194</v>
      </c>
      <c r="BV172">
        <f t="shared" si="41"/>
        <v>547.41175340989889</v>
      </c>
      <c r="CF172">
        <v>29</v>
      </c>
      <c r="CG172">
        <f t="shared" si="66"/>
        <v>3695.2554973093866</v>
      </c>
      <c r="CH172">
        <f t="shared" si="42"/>
        <v>1362.6186467880871</v>
      </c>
      <c r="CI172">
        <f t="shared" si="43"/>
        <v>681.98430348786496</v>
      </c>
      <c r="CS172">
        <v>29</v>
      </c>
      <c r="CT172">
        <f t="shared" si="67"/>
        <v>2437.5509388012765</v>
      </c>
      <c r="CU172">
        <f t="shared" si="44"/>
        <v>898.84241133660828</v>
      </c>
      <c r="CV172">
        <f t="shared" si="45"/>
        <v>449.86645183939152</v>
      </c>
      <c r="DG172">
        <v>29</v>
      </c>
      <c r="DH172">
        <f t="shared" si="68"/>
        <v>2241.3032769230772</v>
      </c>
      <c r="DI172">
        <f t="shared" si="46"/>
        <v>826.47644810118197</v>
      </c>
      <c r="DJ172">
        <f t="shared" si="47"/>
        <v>413.64762337284122</v>
      </c>
      <c r="DU172">
        <v>29</v>
      </c>
      <c r="DV172">
        <f t="shared" si="69"/>
        <v>3361.9549153846156</v>
      </c>
      <c r="DW172">
        <f t="shared" si="48"/>
        <v>1239.7146721517729</v>
      </c>
      <c r="DX172">
        <f t="shared" si="49"/>
        <v>620.47143505926181</v>
      </c>
      <c r="EI172">
        <v>29</v>
      </c>
      <c r="EJ172">
        <f t="shared" si="70"/>
        <v>5858.816108032046</v>
      </c>
      <c r="EK172">
        <f t="shared" si="50"/>
        <v>2160.4276301651535</v>
      </c>
      <c r="EL172">
        <f t="shared" si="51"/>
        <v>1081.2839939238399</v>
      </c>
      <c r="EW172">
        <v>29</v>
      </c>
      <c r="EX172">
        <f t="shared" si="71"/>
        <v>6979.4677464935839</v>
      </c>
      <c r="EY172">
        <f t="shared" si="52"/>
        <v>2573.6658542157438</v>
      </c>
      <c r="EZ172">
        <f t="shared" si="53"/>
        <v>1288.1078056102604</v>
      </c>
      <c r="FK172">
        <v>29</v>
      </c>
      <c r="FL172">
        <f t="shared" si="72"/>
        <v>8100.1193849551228</v>
      </c>
      <c r="FM172">
        <f t="shared" si="54"/>
        <v>2986.9040782663351</v>
      </c>
      <c r="FN172">
        <f t="shared" si="55"/>
        <v>1494.931617296681</v>
      </c>
      <c r="FY172">
        <v>29</v>
      </c>
      <c r="FZ172">
        <f t="shared" si="73"/>
        <v>10341.422661878201</v>
      </c>
      <c r="GA172">
        <f t="shared" si="56"/>
        <v>3813.3805263675176</v>
      </c>
      <c r="GB172">
        <f t="shared" si="57"/>
        <v>1908.5792406695225</v>
      </c>
      <c r="GM172">
        <v>29</v>
      </c>
      <c r="GN172">
        <f t="shared" si="74"/>
        <v>18927.40686173239</v>
      </c>
      <c r="GO172">
        <f t="shared" si="58"/>
        <v>6979.4463586943675</v>
      </c>
      <c r="GP172">
        <f t="shared" si="59"/>
        <v>3493.1804836847678</v>
      </c>
    </row>
    <row r="173" spans="2:198" x14ac:dyDescent="0.25">
      <c r="B173">
        <v>30</v>
      </c>
      <c r="C173">
        <f t="shared" si="60"/>
        <v>1322.4583602289522</v>
      </c>
      <c r="D173">
        <f t="shared" si="30"/>
        <v>471.16336267009808</v>
      </c>
      <c r="E173">
        <f t="shared" si="31"/>
        <v>230.2533982233256</v>
      </c>
      <c r="Q173">
        <v>30</v>
      </c>
      <c r="R173">
        <f t="shared" si="61"/>
        <v>1362.7269009981831</v>
      </c>
      <c r="S173">
        <f t="shared" si="32"/>
        <v>485.51017437263368</v>
      </c>
      <c r="T173">
        <f t="shared" si="33"/>
        <v>237.26455912823661</v>
      </c>
      <c r="AE173">
        <v>30</v>
      </c>
      <c r="AF173">
        <f t="shared" si="62"/>
        <v>1458.8843202289524</v>
      </c>
      <c r="AG173">
        <f t="shared" si="34"/>
        <v>519.7689868637915</v>
      </c>
      <c r="AH173">
        <f t="shared" si="35"/>
        <v>254.00653997853462</v>
      </c>
      <c r="AS173">
        <v>30</v>
      </c>
      <c r="AT173">
        <f t="shared" si="63"/>
        <v>2383.1442818375608</v>
      </c>
      <c r="AU173">
        <f t="shared" si="36"/>
        <v>849.0628569690515</v>
      </c>
      <c r="AV173">
        <f t="shared" si="37"/>
        <v>414.92956288966724</v>
      </c>
      <c r="BF173">
        <v>30</v>
      </c>
      <c r="BG173">
        <f t="shared" si="64"/>
        <v>2750.2569364395931</v>
      </c>
      <c r="BH173">
        <f t="shared" si="38"/>
        <v>979.85717006265554</v>
      </c>
      <c r="BI173">
        <f t="shared" si="39"/>
        <v>478.84759524137752</v>
      </c>
      <c r="BS173">
        <v>30</v>
      </c>
      <c r="BT173">
        <f t="shared" si="65"/>
        <v>2966.0892204327583</v>
      </c>
      <c r="BU173">
        <f t="shared" si="40"/>
        <v>1056.7535531604051</v>
      </c>
      <c r="BV173">
        <f t="shared" si="41"/>
        <v>516.42618246216875</v>
      </c>
      <c r="CF173">
        <v>30</v>
      </c>
      <c r="CG173">
        <f t="shared" si="66"/>
        <v>3695.2554973093866</v>
      </c>
      <c r="CH173">
        <f t="shared" si="42"/>
        <v>1316.5397553508085</v>
      </c>
      <c r="CI173">
        <f t="shared" si="43"/>
        <v>643.38141838477827</v>
      </c>
      <c r="CS173">
        <v>30</v>
      </c>
      <c r="CT173">
        <f t="shared" si="67"/>
        <v>2437.5509388012765</v>
      </c>
      <c r="CU173">
        <f t="shared" si="44"/>
        <v>868.44677423826874</v>
      </c>
      <c r="CV173">
        <f t="shared" si="45"/>
        <v>424.40231305602975</v>
      </c>
      <c r="DG173">
        <v>30</v>
      </c>
      <c r="DH173">
        <f t="shared" si="68"/>
        <v>2241.3032769230772</v>
      </c>
      <c r="DI173">
        <f t="shared" si="46"/>
        <v>798.52796917988587</v>
      </c>
      <c r="DJ173">
        <f t="shared" si="47"/>
        <v>390.23360695551054</v>
      </c>
      <c r="DU173">
        <v>30</v>
      </c>
      <c r="DV173">
        <f t="shared" si="69"/>
        <v>3361.9549153846156</v>
      </c>
      <c r="DW173">
        <f t="shared" si="48"/>
        <v>1197.7919537698288</v>
      </c>
      <c r="DX173">
        <f t="shared" si="49"/>
        <v>585.35041043326578</v>
      </c>
      <c r="EI173">
        <v>30</v>
      </c>
      <c r="EJ173">
        <f t="shared" si="70"/>
        <v>5858.816108032046</v>
      </c>
      <c r="EK173">
        <f t="shared" si="50"/>
        <v>2087.3696909808241</v>
      </c>
      <c r="EL173">
        <f t="shared" si="51"/>
        <v>1020.0792395507923</v>
      </c>
      <c r="EW173">
        <v>30</v>
      </c>
      <c r="EX173">
        <f t="shared" si="71"/>
        <v>6979.4677464935839</v>
      </c>
      <c r="EY173">
        <f t="shared" si="52"/>
        <v>2486.6336755707671</v>
      </c>
      <c r="EZ173">
        <f t="shared" si="53"/>
        <v>1215.1960430285476</v>
      </c>
      <c r="FK173">
        <v>30</v>
      </c>
      <c r="FL173">
        <f t="shared" si="72"/>
        <v>8100.1193849551228</v>
      </c>
      <c r="FM173">
        <f t="shared" si="54"/>
        <v>2885.8976601607101</v>
      </c>
      <c r="FN173">
        <f t="shared" si="55"/>
        <v>1410.3128465063028</v>
      </c>
      <c r="FY173">
        <v>30</v>
      </c>
      <c r="FZ173">
        <f t="shared" si="73"/>
        <v>10341.422661878201</v>
      </c>
      <c r="GA173">
        <f t="shared" si="56"/>
        <v>3684.4256293405965</v>
      </c>
      <c r="GB173">
        <f t="shared" si="57"/>
        <v>1800.5464534618136</v>
      </c>
      <c r="GM173">
        <v>30</v>
      </c>
      <c r="GN173">
        <f t="shared" si="74"/>
        <v>18927.40686173239</v>
      </c>
      <c r="GO173">
        <f t="shared" si="58"/>
        <v>6743.4264335211274</v>
      </c>
      <c r="GP173">
        <f t="shared" si="59"/>
        <v>3295.4532864950638</v>
      </c>
    </row>
    <row r="174" spans="2:198" x14ac:dyDescent="0.25">
      <c r="B174" t="s">
        <v>1615</v>
      </c>
      <c r="Q174" t="s">
        <v>1615</v>
      </c>
      <c r="AE174" t="s">
        <v>1615</v>
      </c>
      <c r="AS174" t="s">
        <v>1615</v>
      </c>
      <c r="BF174" t="s">
        <v>1615</v>
      </c>
      <c r="BS174" t="s">
        <v>1615</v>
      </c>
      <c r="CF174" t="s">
        <v>1615</v>
      </c>
      <c r="CS174" t="s">
        <v>1615</v>
      </c>
      <c r="DG174" t="s">
        <v>1615</v>
      </c>
      <c r="DU174" t="s">
        <v>1615</v>
      </c>
      <c r="EI174" t="s">
        <v>1615</v>
      </c>
      <c r="EW174" t="s">
        <v>1615</v>
      </c>
      <c r="FK174" t="s">
        <v>1615</v>
      </c>
      <c r="FY174" t="s">
        <v>1615</v>
      </c>
      <c r="GM174" t="s">
        <v>1615</v>
      </c>
    </row>
    <row r="175" spans="2:198" x14ac:dyDescent="0.25">
      <c r="C175">
        <f>SUM(C144:C173)</f>
        <v>39673.750806868564</v>
      </c>
      <c r="D175">
        <f t="shared" ref="D175:E175" si="75">SUM(D144:D173)</f>
        <v>24322.714215967309</v>
      </c>
      <c r="E175">
        <f t="shared" si="75"/>
        <v>18203.416033427093</v>
      </c>
      <c r="R175">
        <f>SUM(R144:R173)</f>
        <v>40881.807029945492</v>
      </c>
      <c r="S175">
        <f t="shared" ref="S175:T175" si="76">SUM(S144:S173)</f>
        <v>25063.335046444325</v>
      </c>
      <c r="T175">
        <f t="shared" si="76"/>
        <v>18757.705697832422</v>
      </c>
      <c r="AF175">
        <f>SUM(AF144:AF173)</f>
        <v>43766.529606868564</v>
      </c>
      <c r="AG175">
        <f t="shared" ref="AG175:AH175" si="77">SUM(AG144:AG173)</f>
        <v>26831.866667576091</v>
      </c>
      <c r="AH175">
        <f t="shared" si="77"/>
        <v>20081.296337506938</v>
      </c>
      <c r="AT175">
        <f>SUM(AT144:AT173)</f>
        <v>65581.15395927777</v>
      </c>
      <c r="AU175">
        <f t="shared" ref="AU175:AV175" si="78">SUM(AU144:AU173)</f>
        <v>40143.369206774376</v>
      </c>
      <c r="AV175">
        <f t="shared" si="78"/>
        <v>30011.427211754984</v>
      </c>
      <c r="BG175">
        <f>SUM(BG144:BG173)</f>
        <v>74777.666380131195</v>
      </c>
      <c r="BH175">
        <f t="shared" ref="BH175:BI175" si="79">SUM(BH144:BH173)</f>
        <v>45762.300985327674</v>
      </c>
      <c r="BI175">
        <f t="shared" si="79"/>
        <v>34206.761443509204</v>
      </c>
      <c r="BT175">
        <f>SUM(BT144:BT173)</f>
        <v>88982.676612982745</v>
      </c>
      <c r="BU175">
        <f t="shared" ref="BU175:BV175" si="80">SUM(BU144:BU173)</f>
        <v>54552.44763635307</v>
      </c>
      <c r="BV175">
        <f t="shared" si="80"/>
        <v>40827.717299509801</v>
      </c>
      <c r="CG175">
        <f>SUM(CG144:CG173)</f>
        <v>110857.66491928152</v>
      </c>
      <c r="CH175">
        <f t="shared" ref="CH175:CI175" si="81">SUM(CH144:CH173)</f>
        <v>67963.30691310238</v>
      </c>
      <c r="CI175">
        <f t="shared" si="81"/>
        <v>50864.567982076755</v>
      </c>
      <c r="CT175">
        <f>SUM(CT144:CT173)</f>
        <v>73126.528164038318</v>
      </c>
      <c r="CU175">
        <f t="shared" ref="CU175:CV175" si="82">SUM(CU144:CU173)</f>
        <v>44831.547558943173</v>
      </c>
      <c r="CV175">
        <f t="shared" si="82"/>
        <v>33552.477095754075</v>
      </c>
      <c r="DH175">
        <f>SUM(DH144:DH173)</f>
        <v>67239.098307692315</v>
      </c>
      <c r="DI175">
        <f t="shared" ref="DI175:DJ175" si="83">SUM(DI144:DI173)</f>
        <v>41222.151649805557</v>
      </c>
      <c r="DJ175">
        <f t="shared" si="83"/>
        <v>30851.161166126069</v>
      </c>
      <c r="DV175">
        <f>SUM(DV144:DV173)</f>
        <v>100858.64746153848</v>
      </c>
      <c r="DW175">
        <f t="shared" ref="DW175:DX175" si="84">SUM(DW144:DW173)</f>
        <v>61833.227474708336</v>
      </c>
      <c r="DX175">
        <f t="shared" si="84"/>
        <v>46276.741749189117</v>
      </c>
      <c r="EJ175">
        <f>SUM(EJ144:EJ173)</f>
        <v>175764.4832409613</v>
      </c>
      <c r="EK175">
        <f t="shared" ref="EK175:EL175" si="85">SUM(EK144:EK173)</f>
        <v>107755.61191574942</v>
      </c>
      <c r="EL175">
        <f t="shared" si="85"/>
        <v>80645.614474687434</v>
      </c>
      <c r="EX175">
        <f>SUM(EX144:EX173)</f>
        <v>209384.03239480747</v>
      </c>
      <c r="EY175">
        <f t="shared" ref="EY175:EZ175" si="86">SUM(EY144:EY173)</f>
        <v>128366.68774065221</v>
      </c>
      <c r="EZ175">
        <f t="shared" si="86"/>
        <v>96071.195057750519</v>
      </c>
      <c r="FL175">
        <f>SUM(FL144:FL173)</f>
        <v>243003.58154865363</v>
      </c>
      <c r="FM175">
        <f t="shared" ref="FM175:FN175" si="87">SUM(FM144:FM173)</f>
        <v>148977.76356555492</v>
      </c>
      <c r="FN175">
        <f t="shared" si="87"/>
        <v>111496.77564081358</v>
      </c>
      <c r="FZ175">
        <f>SUM(FZ144:FZ173)</f>
        <v>310242.67985634611</v>
      </c>
      <c r="GA175">
        <f t="shared" ref="GA175:GB175" si="88">SUM(GA144:GA173)</f>
        <v>190199.91521536058</v>
      </c>
      <c r="GB175">
        <f t="shared" si="88"/>
        <v>142347.9368069396</v>
      </c>
      <c r="GN175">
        <f>SUM(GN144:GN173)</f>
        <v>567822.20585197129</v>
      </c>
      <c r="GO175">
        <f t="shared" ref="GO175:GP175" si="89">SUM(GO144:GO173)</f>
        <v>348113.72652032267</v>
      </c>
      <c r="GP175">
        <f t="shared" si="89"/>
        <v>260532.5595872885</v>
      </c>
    </row>
    <row r="176" spans="2:198" ht="15.75" thickBot="1" x14ac:dyDescent="0.3"/>
    <row r="177" spans="1:200" s="88" customFormat="1" ht="15.75" thickBot="1" x14ac:dyDescent="0.3">
      <c r="A177" s="86" t="s">
        <v>1627</v>
      </c>
      <c r="O177" s="90"/>
      <c r="AC177" s="90"/>
      <c r="AQ177" s="90"/>
      <c r="BD177" s="90"/>
      <c r="BQ177" s="90"/>
      <c r="CD177" s="90"/>
      <c r="CQ177" s="90"/>
      <c r="DE177" s="90"/>
      <c r="DS177" s="90"/>
      <c r="EG177" s="90"/>
      <c r="EU177" s="90"/>
      <c r="FI177" s="90"/>
      <c r="FW177" s="90"/>
      <c r="GK177" s="90"/>
    </row>
    <row r="179" spans="1:200" x14ac:dyDescent="0.25">
      <c r="B179" t="s">
        <v>1626</v>
      </c>
      <c r="C179" t="s">
        <v>128</v>
      </c>
      <c r="Q179" t="s">
        <v>1626</v>
      </c>
      <c r="R179" t="s">
        <v>128</v>
      </c>
      <c r="AE179" t="s">
        <v>1626</v>
      </c>
      <c r="AF179" t="s">
        <v>128</v>
      </c>
      <c r="AS179" t="s">
        <v>1626</v>
      </c>
      <c r="AT179" t="s">
        <v>128</v>
      </c>
      <c r="BF179" t="s">
        <v>1626</v>
      </c>
      <c r="BG179" t="s">
        <v>128</v>
      </c>
      <c r="BS179" t="s">
        <v>1626</v>
      </c>
      <c r="BT179" t="s">
        <v>128</v>
      </c>
      <c r="CF179" t="s">
        <v>1626</v>
      </c>
      <c r="CG179" t="s">
        <v>128</v>
      </c>
      <c r="CS179" t="s">
        <v>1626</v>
      </c>
      <c r="CT179" t="s">
        <v>128</v>
      </c>
      <c r="DG179" t="s">
        <v>1626</v>
      </c>
      <c r="DH179" t="s">
        <v>128</v>
      </c>
      <c r="DU179" t="s">
        <v>1626</v>
      </c>
      <c r="DV179" t="s">
        <v>128</v>
      </c>
      <c r="EI179" t="s">
        <v>1626</v>
      </c>
      <c r="EJ179" t="s">
        <v>128</v>
      </c>
      <c r="EW179" t="s">
        <v>1626</v>
      </c>
      <c r="EX179" t="s">
        <v>128</v>
      </c>
      <c r="FK179" t="s">
        <v>1626</v>
      </c>
      <c r="FL179" t="s">
        <v>128</v>
      </c>
      <c r="FY179" t="s">
        <v>1626</v>
      </c>
      <c r="FZ179" t="s">
        <v>128</v>
      </c>
      <c r="GM179" t="s">
        <v>1626</v>
      </c>
      <c r="GN179" t="s">
        <v>128</v>
      </c>
    </row>
    <row r="180" spans="1:200" x14ac:dyDescent="0.25">
      <c r="B180" t="s">
        <v>1614</v>
      </c>
      <c r="Q180" t="s">
        <v>1614</v>
      </c>
      <c r="AE180" t="s">
        <v>1614</v>
      </c>
      <c r="AS180" t="s">
        <v>1614</v>
      </c>
      <c r="BF180" t="s">
        <v>1614</v>
      </c>
      <c r="BS180" t="s">
        <v>1614</v>
      </c>
      <c r="CF180" t="s">
        <v>1614</v>
      </c>
      <c r="CS180" t="s">
        <v>1614</v>
      </c>
      <c r="DG180" t="s">
        <v>1614</v>
      </c>
      <c r="DU180" t="s">
        <v>1614</v>
      </c>
      <c r="EI180" t="s">
        <v>1614</v>
      </c>
      <c r="EW180" t="s">
        <v>1614</v>
      </c>
      <c r="FK180" t="s">
        <v>1614</v>
      </c>
      <c r="FY180" t="s">
        <v>1614</v>
      </c>
      <c r="GM180" t="s">
        <v>1614</v>
      </c>
    </row>
    <row r="181" spans="1:200" x14ac:dyDescent="0.25">
      <c r="B181">
        <v>0</v>
      </c>
      <c r="C181" s="5">
        <f>C175+H12</f>
        <v>43216.093446054423</v>
      </c>
      <c r="Q181">
        <v>0</v>
      </c>
      <c r="R181" s="5">
        <f>R175+U12</f>
        <v>47444.57381414406</v>
      </c>
      <c r="AE181">
        <v>0</v>
      </c>
      <c r="AF181" s="5">
        <f>AF175+AI12</f>
        <v>54682.81094552725</v>
      </c>
      <c r="AS181">
        <v>0</v>
      </c>
      <c r="AT181" s="5">
        <f>AT175+AW11</f>
        <v>83184.622684698465</v>
      </c>
      <c r="BF181">
        <v>0</v>
      </c>
      <c r="BG181" s="5">
        <f>BG175+BJ11</f>
        <v>102067.43468774867</v>
      </c>
      <c r="BS181">
        <v>0</v>
      </c>
      <c r="BT181" s="5">
        <f>BT175+BW11</f>
        <v>124761.79322960129</v>
      </c>
      <c r="CF181">
        <v>0</v>
      </c>
      <c r="CG181" s="5">
        <f>CG175+CJ11</f>
        <v>150856.65894531913</v>
      </c>
      <c r="CS181">
        <v>0</v>
      </c>
      <c r="CT181" s="5">
        <f>CT175+CW43</f>
        <v>73126.528164038318</v>
      </c>
      <c r="DG181">
        <v>0</v>
      </c>
      <c r="DH181" s="5">
        <f>DH175+DK43</f>
        <v>67239.098307692315</v>
      </c>
      <c r="DU181">
        <v>0</v>
      </c>
      <c r="DV181" s="5">
        <f>DV175+DY43</f>
        <v>100858.64746153848</v>
      </c>
      <c r="EI181">
        <v>0</v>
      </c>
      <c r="EJ181" s="5">
        <f>EJ175+EM43</f>
        <v>175764.4832409613</v>
      </c>
      <c r="EW181">
        <v>0</v>
      </c>
      <c r="EX181" s="5">
        <f>EX175+FA43</f>
        <v>209384.03239480747</v>
      </c>
      <c r="FK181">
        <v>0</v>
      </c>
      <c r="FL181" s="5">
        <f>FL175+FO43</f>
        <v>243003.58154865363</v>
      </c>
      <c r="FY181">
        <v>0</v>
      </c>
      <c r="FZ181" s="5">
        <f>FZ175+GC43</f>
        <v>310242.67985634611</v>
      </c>
      <c r="GM181">
        <v>0</v>
      </c>
      <c r="GN181" s="5">
        <f>GN175+GQ13</f>
        <v>967812.14611234725</v>
      </c>
    </row>
    <row r="182" spans="1:200" x14ac:dyDescent="0.25">
      <c r="B182">
        <v>3.5000000000000003E-2</v>
      </c>
      <c r="C182" s="5">
        <f>D175+H12</f>
        <v>27865.056855153169</v>
      </c>
      <c r="E182" s="5">
        <f>C182-D175</f>
        <v>3542.3426391858593</v>
      </c>
      <c r="G182">
        <f>E182/C182</f>
        <v>0.12712490261905793</v>
      </c>
      <c r="Q182">
        <v>3.5000000000000003E-2</v>
      </c>
      <c r="R182" s="5">
        <f>S175+U12</f>
        <v>31626.101830642889</v>
      </c>
      <c r="T182" s="5">
        <f>R182-S175</f>
        <v>6562.766784198564</v>
      </c>
      <c r="V182">
        <f>T182/R182</f>
        <v>0.20751108749798006</v>
      </c>
      <c r="AE182">
        <v>3.5000000000000003E-2</v>
      </c>
      <c r="AF182" s="5">
        <f>AG175+AI12</f>
        <v>37748.148006234776</v>
      </c>
      <c r="AH182" s="5">
        <f>AF182-AG175</f>
        <v>10916.281338658686</v>
      </c>
      <c r="AJ182">
        <f>AH182/AF182</f>
        <v>0.28918720295511369</v>
      </c>
      <c r="AS182">
        <v>3.5000000000000003E-2</v>
      </c>
      <c r="AT182" s="5">
        <f>AU175+AW11</f>
        <v>57746.837932195071</v>
      </c>
      <c r="AV182" s="5">
        <f>AT182-AU175</f>
        <v>17603.468725420695</v>
      </c>
      <c r="AX182">
        <f>AV182/AT182</f>
        <v>0.30483866053566877</v>
      </c>
      <c r="BF182">
        <v>3.5000000000000003E-2</v>
      </c>
      <c r="BG182" s="5">
        <f>BH175+BJ11</f>
        <v>73052.069292945147</v>
      </c>
      <c r="BI182" s="5">
        <f>BG182-BH175</f>
        <v>27289.768307617473</v>
      </c>
      <c r="BK182">
        <f>BI182/BG182</f>
        <v>0.37356598617601278</v>
      </c>
      <c r="BS182">
        <v>3.5000000000000003E-2</v>
      </c>
      <c r="BT182" s="5">
        <f>BU175+BW11</f>
        <v>90331.564252971613</v>
      </c>
      <c r="BV182" s="5">
        <f>BT182-BU175</f>
        <v>35779.116616618543</v>
      </c>
      <c r="BX182">
        <f>BV182/BT182</f>
        <v>0.39608653865906596</v>
      </c>
      <c r="CF182">
        <v>3.5000000000000003E-2</v>
      </c>
      <c r="CG182" s="5">
        <f>CH175+CJ11</f>
        <v>107962.30093913998</v>
      </c>
      <c r="CI182" s="5">
        <f>CG182-CH175</f>
        <v>39998.994026037602</v>
      </c>
      <c r="CK182">
        <f>CI182/CG182</f>
        <v>0.37049038116171362</v>
      </c>
      <c r="CS182">
        <v>3.5000000000000003E-2</v>
      </c>
      <c r="CT182" s="5">
        <f>CU175+CW13</f>
        <v>116389.78079218025</v>
      </c>
      <c r="CV182" s="5">
        <f>CT182-CU175</f>
        <v>71558.233233237072</v>
      </c>
      <c r="CX182">
        <f>CV182/CT182</f>
        <v>0.61481543092694591</v>
      </c>
      <c r="DG182">
        <v>3.5000000000000003E-2</v>
      </c>
      <c r="DH182" s="5">
        <f>DI175+DK13</f>
        <v>121220.13970188076</v>
      </c>
      <c r="DJ182" s="5">
        <f>DH182-DI175</f>
        <v>79997.988052075205</v>
      </c>
      <c r="DL182">
        <f>DJ182/DH182</f>
        <v>0.65993974473891825</v>
      </c>
      <c r="DU182">
        <v>3.5000000000000003E-2</v>
      </c>
      <c r="DV182" s="5">
        <f>DW175+DY13</f>
        <v>181830.20955282115</v>
      </c>
      <c r="DX182" s="5">
        <f>DV182-DW175</f>
        <v>119996.98207811281</v>
      </c>
      <c r="DZ182">
        <f>DX182/DV182</f>
        <v>0.65993974473891825</v>
      </c>
      <c r="EI182">
        <v>3.5000000000000003E-2</v>
      </c>
      <c r="EJ182" s="5">
        <f>EK175+EM13</f>
        <v>267751.58801989985</v>
      </c>
      <c r="EL182" s="5">
        <f>EJ182-EK175</f>
        <v>159995.97610415041</v>
      </c>
      <c r="EN182">
        <f>EL182/EJ182</f>
        <v>0.59755378964273098</v>
      </c>
      <c r="EW182">
        <v>3.5000000000000003E-2</v>
      </c>
      <c r="EX182" s="5">
        <f>EY175+FA13</f>
        <v>328361.65787084022</v>
      </c>
      <c r="EZ182" s="5">
        <f>EX182-EY175</f>
        <v>199994.97013018801</v>
      </c>
      <c r="FB182">
        <f>EZ182/EX182</f>
        <v>0.60906919348316624</v>
      </c>
      <c r="FK182">
        <v>3.5000000000000003E-2</v>
      </c>
      <c r="FL182" s="5">
        <f>FM175+FO13</f>
        <v>388971.72772178054</v>
      </c>
      <c r="FN182" s="5">
        <f>FL182-FM175</f>
        <v>239993.96415622561</v>
      </c>
      <c r="FP182">
        <f>FN182/FL182</f>
        <v>0.61699590754803102</v>
      </c>
      <c r="FY182">
        <v>3.5000000000000003E-2</v>
      </c>
      <c r="FZ182" s="5">
        <f>GA175+GC13</f>
        <v>510191.8674236614</v>
      </c>
      <c r="GB182" s="5">
        <f>FZ182-GA175</f>
        <v>319991.95220830082</v>
      </c>
      <c r="GD182">
        <f>GB182/FZ182</f>
        <v>0.62719924138379235</v>
      </c>
      <c r="GM182">
        <v>3.5000000000000003E-2</v>
      </c>
      <c r="GN182" s="5">
        <f>GO175+GQ13</f>
        <v>748103.6667806987</v>
      </c>
      <c r="GP182" s="5">
        <f>GN182-GO175</f>
        <v>399989.94026037602</v>
      </c>
      <c r="GR182">
        <f>GP182/GN182</f>
        <v>0.53467180822899274</v>
      </c>
    </row>
    <row r="183" spans="1:200" x14ac:dyDescent="0.25">
      <c r="B183">
        <v>0.06</v>
      </c>
      <c r="C183" s="5">
        <f>E175+H12</f>
        <v>21745.758672612952</v>
      </c>
      <c r="Q183">
        <v>0.06</v>
      </c>
      <c r="R183" s="5">
        <f>T175+U12</f>
        <v>25320.472482030986</v>
      </c>
      <c r="AE183">
        <v>0.06</v>
      </c>
      <c r="AF183" s="5">
        <f>AH175+AI12</f>
        <v>30997.577676165623</v>
      </c>
      <c r="AS183">
        <v>0.06</v>
      </c>
      <c r="AT183" s="5">
        <f>AV175+AW11</f>
        <v>47614.895937175679</v>
      </c>
      <c r="BF183">
        <v>0.06</v>
      </c>
      <c r="BG183" s="5">
        <f>BI175+BJ11</f>
        <v>61496.529751126684</v>
      </c>
      <c r="BS183">
        <v>0.06</v>
      </c>
      <c r="BT183" s="5">
        <f>BV175+BW11</f>
        <v>76606.833916128337</v>
      </c>
      <c r="CF183">
        <v>0.06</v>
      </c>
      <c r="CG183" s="5">
        <f>CI175+CJ11</f>
        <v>90863.562008114357</v>
      </c>
      <c r="CS183">
        <v>0.06</v>
      </c>
      <c r="CT183" s="5">
        <f>CV175+CW43</f>
        <v>33552.477095754075</v>
      </c>
      <c r="DG183">
        <v>0.06</v>
      </c>
      <c r="DH183" s="5">
        <f>DJ175+DK43</f>
        <v>30851.161166126069</v>
      </c>
      <c r="DU183">
        <v>0.06</v>
      </c>
      <c r="DV183" s="5">
        <f>DX175+DY43</f>
        <v>46276.741749189117</v>
      </c>
      <c r="EI183">
        <v>0.06</v>
      </c>
      <c r="EJ183" s="5">
        <f>EL175+EM43</f>
        <v>80645.614474687434</v>
      </c>
      <c r="EW183">
        <v>0.06</v>
      </c>
      <c r="EX183" s="5">
        <f>EZ175+FA43</f>
        <v>96071.195057750519</v>
      </c>
      <c r="FK183">
        <v>0.06</v>
      </c>
      <c r="FL183" s="5">
        <f>FN175+FO43</f>
        <v>111496.77564081358</v>
      </c>
      <c r="FY183">
        <v>0.06</v>
      </c>
      <c r="FZ183" s="5">
        <f>GB175+GC43</f>
        <v>142347.9368069396</v>
      </c>
      <c r="GM183">
        <v>0.06</v>
      </c>
      <c r="GN183" s="5">
        <f>GP175+GQ13</f>
        <v>660522.4998476645</v>
      </c>
    </row>
  </sheetData>
  <mergeCells count="15">
    <mergeCell ref="FJ1:FW1"/>
    <mergeCell ref="FX1:GK1"/>
    <mergeCell ref="GL1:GY1"/>
    <mergeCell ref="CE1:CQ1"/>
    <mergeCell ref="CR1:DE1"/>
    <mergeCell ref="DF1:DS1"/>
    <mergeCell ref="DT1:EG1"/>
    <mergeCell ref="EH1:EU1"/>
    <mergeCell ref="EV1:FI1"/>
    <mergeCell ref="BR1:CD1"/>
    <mergeCell ref="D1:O1"/>
    <mergeCell ref="P1:AC1"/>
    <mergeCell ref="AD1:AQ1"/>
    <mergeCell ref="AR1:BD1"/>
    <mergeCell ref="BE1:BQ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63351-04A9-4415-8071-D9EAEA1EE59D}">
  <sheetPr>
    <tabColor rgb="FFFFC000"/>
  </sheetPr>
  <dimension ref="B2:AM20"/>
  <sheetViews>
    <sheetView workbookViewId="0">
      <selection activeCell="K19" sqref="K19"/>
    </sheetView>
  </sheetViews>
  <sheetFormatPr defaultRowHeight="15" x14ac:dyDescent="0.25"/>
  <sheetData>
    <row r="2" spans="2:39" x14ac:dyDescent="0.25">
      <c r="L2" t="s">
        <v>23</v>
      </c>
    </row>
    <row r="3" spans="2:39" x14ac:dyDescent="0.25">
      <c r="B3" t="s">
        <v>534</v>
      </c>
    </row>
    <row r="4" spans="2:39" x14ac:dyDescent="0.25">
      <c r="B4" t="s">
        <v>1580</v>
      </c>
      <c r="L4" t="s">
        <v>22</v>
      </c>
    </row>
    <row r="5" spans="2:39" x14ac:dyDescent="0.25">
      <c r="K5" s="58">
        <v>0.2</v>
      </c>
      <c r="AC5" t="s">
        <v>1585</v>
      </c>
      <c r="AG5" t="s">
        <v>2</v>
      </c>
      <c r="AJ5" t="s">
        <v>326</v>
      </c>
    </row>
    <row r="6" spans="2:39" x14ac:dyDescent="0.25">
      <c r="B6" t="s">
        <v>156</v>
      </c>
      <c r="C6" t="s">
        <v>278</v>
      </c>
      <c r="E6" t="s">
        <v>1581</v>
      </c>
      <c r="F6" t="s">
        <v>144</v>
      </c>
      <c r="H6" t="s">
        <v>565</v>
      </c>
      <c r="I6" t="s">
        <v>1582</v>
      </c>
      <c r="K6" t="s">
        <v>1088</v>
      </c>
      <c r="Q6" t="s">
        <v>148</v>
      </c>
      <c r="S6" t="s">
        <v>116</v>
      </c>
      <c r="T6" t="s">
        <v>150</v>
      </c>
      <c r="V6" t="s">
        <v>454</v>
      </c>
      <c r="W6" t="s">
        <v>1584</v>
      </c>
      <c r="Y6" t="s">
        <v>14</v>
      </c>
      <c r="AA6" t="s">
        <v>100</v>
      </c>
      <c r="AC6" t="s">
        <v>14</v>
      </c>
      <c r="AE6" t="s">
        <v>100</v>
      </c>
      <c r="AG6" t="s">
        <v>14</v>
      </c>
      <c r="AH6" t="s">
        <v>100</v>
      </c>
      <c r="AJ6" t="s">
        <v>14</v>
      </c>
      <c r="AK6" t="s">
        <v>100</v>
      </c>
      <c r="AM6" t="s">
        <v>1576</v>
      </c>
    </row>
    <row r="7" spans="2:39" x14ac:dyDescent="0.25">
      <c r="B7">
        <v>5</v>
      </c>
      <c r="C7">
        <v>6</v>
      </c>
      <c r="E7">
        <v>1</v>
      </c>
      <c r="F7">
        <f t="shared" ref="F7:F10" si="0">C7</f>
        <v>6</v>
      </c>
      <c r="H7">
        <f>940.07*F7^0.6353</f>
        <v>2934.4024922309454</v>
      </c>
      <c r="I7">
        <f>H7*E7</f>
        <v>2934.4024922309454</v>
      </c>
      <c r="K7">
        <f>I7*1.2</f>
        <v>3521.2829906771344</v>
      </c>
      <c r="Q7">
        <f>F7/$N$12</f>
        <v>2.4</v>
      </c>
      <c r="S7">
        <f>(Q7/3)^0.5</f>
        <v>0.89442719099991586</v>
      </c>
      <c r="T7">
        <f>S7*3</f>
        <v>2.6832815729997477</v>
      </c>
      <c r="V7" s="1">
        <f>ROUNDUP(S7,2)</f>
        <v>0.9</v>
      </c>
      <c r="W7" s="1">
        <f>ROUNDUP(T7,2)</f>
        <v>2.69</v>
      </c>
      <c r="Y7">
        <f>(V7+$N$10*2)*(W7+$N$10*2)*$N$12</f>
        <v>12.337500000000002</v>
      </c>
      <c r="AA7">
        <f>Y7-F7</f>
        <v>6.3375000000000021</v>
      </c>
      <c r="AC7">
        <f>Y7*E7</f>
        <v>12.337500000000002</v>
      </c>
      <c r="AE7">
        <f>AA7*E7</f>
        <v>6.3375000000000021</v>
      </c>
      <c r="AG7">
        <v>11.9580460758</v>
      </c>
      <c r="AH7">
        <v>99.508928571428555</v>
      </c>
      <c r="AJ7">
        <f>AC7*AG$7</f>
        <v>147.53239346018253</v>
      </c>
      <c r="AK7">
        <f>AE7*AH$7</f>
        <v>630.63783482142867</v>
      </c>
      <c r="AM7">
        <f>AJ7+AK7+K7</f>
        <v>4299.4532189587453</v>
      </c>
    </row>
    <row r="8" spans="2:39" x14ac:dyDescent="0.25">
      <c r="B8">
        <v>10</v>
      </c>
      <c r="C8">
        <v>12</v>
      </c>
      <c r="E8">
        <v>1</v>
      </c>
      <c r="F8">
        <f t="shared" si="0"/>
        <v>12</v>
      </c>
      <c r="H8">
        <f>940.07*F8^0.6353</f>
        <v>4557.8920923650012</v>
      </c>
      <c r="I8">
        <f t="shared" ref="I8:I20" si="1">H8*E8</f>
        <v>4557.8920923650012</v>
      </c>
      <c r="K8">
        <f t="shared" ref="K8:K20" si="2">I8*1.2</f>
        <v>5469.4705108380012</v>
      </c>
      <c r="Q8">
        <f t="shared" ref="Q8:Q20" si="3">F8/$N$12</f>
        <v>4.8</v>
      </c>
      <c r="S8">
        <f t="shared" ref="S8:S20" si="4">(Q8/3)^0.5</f>
        <v>1.2649110640673518</v>
      </c>
      <c r="T8">
        <f t="shared" ref="T8:T20" si="5">S8*3</f>
        <v>3.7947331922020551</v>
      </c>
      <c r="V8" s="1">
        <f t="shared" ref="V8:V20" si="6">ROUNDUP(S8,2)</f>
        <v>1.27</v>
      </c>
      <c r="W8" s="1">
        <f t="shared" ref="W8:W20" si="7">ROUNDUP(T8,2)</f>
        <v>3.8</v>
      </c>
      <c r="Y8">
        <f t="shared" ref="Y8:Y19" si="8">(V8+$N$10*2)*(W8+$N$10*2)*$N$12</f>
        <v>20.57</v>
      </c>
      <c r="AA8">
        <f t="shared" ref="AA8:AA20" si="9">Y8-F8</f>
        <v>8.57</v>
      </c>
      <c r="AC8">
        <f t="shared" ref="AC8:AC20" si="10">Y8*E8</f>
        <v>20.57</v>
      </c>
      <c r="AE8">
        <f t="shared" ref="AE8:AE20" si="11">AA8*E8</f>
        <v>8.57</v>
      </c>
      <c r="AJ8">
        <f t="shared" ref="AJ8:AJ20" si="12">AC8*AG$7</f>
        <v>245.97700777920602</v>
      </c>
      <c r="AK8">
        <f t="shared" ref="AK8:AK19" si="13">AE8*AH$7</f>
        <v>852.79151785714271</v>
      </c>
      <c r="AM8">
        <f t="shared" ref="AM8:AM20" si="14">AJ8+AK8+K8</f>
        <v>6568.2390364743496</v>
      </c>
    </row>
    <row r="9" spans="2:39" x14ac:dyDescent="0.25">
      <c r="B9">
        <v>20</v>
      </c>
      <c r="C9">
        <v>24</v>
      </c>
      <c r="E9">
        <v>1</v>
      </c>
      <c r="F9">
        <f t="shared" si="0"/>
        <v>24</v>
      </c>
      <c r="H9">
        <f t="shared" ref="H9:H20" si="15">940.07*F9^0.6353</f>
        <v>7079.5946979479322</v>
      </c>
      <c r="I9">
        <f t="shared" si="1"/>
        <v>7079.5946979479322</v>
      </c>
      <c r="K9">
        <f t="shared" si="2"/>
        <v>8495.5136375375187</v>
      </c>
      <c r="Q9">
        <f t="shared" si="3"/>
        <v>9.6</v>
      </c>
      <c r="S9">
        <f t="shared" si="4"/>
        <v>1.7888543819998317</v>
      </c>
      <c r="T9">
        <f t="shared" si="5"/>
        <v>5.3665631459994954</v>
      </c>
      <c r="V9" s="1">
        <f t="shared" si="6"/>
        <v>1.79</v>
      </c>
      <c r="W9" s="1">
        <f t="shared" si="7"/>
        <v>5.37</v>
      </c>
      <c r="Y9">
        <f t="shared" si="8"/>
        <v>35.670749999999998</v>
      </c>
      <c r="AA9">
        <f t="shared" si="9"/>
        <v>11.670749999999998</v>
      </c>
      <c r="AC9">
        <f t="shared" si="10"/>
        <v>35.670749999999998</v>
      </c>
      <c r="AE9">
        <f t="shared" si="11"/>
        <v>11.670749999999998</v>
      </c>
      <c r="AJ9">
        <f t="shared" si="12"/>
        <v>426.55247205834286</v>
      </c>
      <c r="AK9">
        <f t="shared" si="13"/>
        <v>1161.3438281249996</v>
      </c>
      <c r="AM9">
        <f t="shared" si="14"/>
        <v>10083.40993772086</v>
      </c>
    </row>
    <row r="10" spans="2:39" x14ac:dyDescent="0.25">
      <c r="B10">
        <v>30</v>
      </c>
      <c r="C10">
        <v>36</v>
      </c>
      <c r="E10">
        <v>1</v>
      </c>
      <c r="F10">
        <f t="shared" si="0"/>
        <v>36</v>
      </c>
      <c r="H10">
        <f t="shared" si="15"/>
        <v>9159.6561813600929</v>
      </c>
      <c r="I10">
        <f t="shared" si="1"/>
        <v>9159.6561813600929</v>
      </c>
      <c r="K10">
        <f t="shared" si="2"/>
        <v>10991.58741763211</v>
      </c>
      <c r="M10" t="s">
        <v>67</v>
      </c>
      <c r="N10">
        <f>300/1000</f>
        <v>0.3</v>
      </c>
      <c r="O10" t="s">
        <v>191</v>
      </c>
      <c r="Q10">
        <f t="shared" si="3"/>
        <v>14.4</v>
      </c>
      <c r="S10">
        <f t="shared" si="4"/>
        <v>2.1908902300206643</v>
      </c>
      <c r="T10">
        <f t="shared" si="5"/>
        <v>6.5726706900619929</v>
      </c>
      <c r="V10" s="1">
        <f t="shared" si="6"/>
        <v>2.1999999999999997</v>
      </c>
      <c r="W10" s="1">
        <f t="shared" si="7"/>
        <v>6.58</v>
      </c>
      <c r="Y10">
        <f t="shared" si="8"/>
        <v>50.26</v>
      </c>
      <c r="AA10">
        <f t="shared" si="9"/>
        <v>14.259999999999998</v>
      </c>
      <c r="AC10">
        <f t="shared" si="10"/>
        <v>50.26</v>
      </c>
      <c r="AE10">
        <f t="shared" si="11"/>
        <v>14.259999999999998</v>
      </c>
      <c r="AJ10">
        <f t="shared" si="12"/>
        <v>601.01139576970797</v>
      </c>
      <c r="AK10">
        <f t="shared" si="13"/>
        <v>1418.997321428571</v>
      </c>
      <c r="AM10">
        <f t="shared" si="14"/>
        <v>13011.59613483039</v>
      </c>
    </row>
    <row r="11" spans="2:39" x14ac:dyDescent="0.25">
      <c r="B11">
        <v>50</v>
      </c>
      <c r="C11">
        <v>60</v>
      </c>
      <c r="E11">
        <v>1</v>
      </c>
      <c r="F11">
        <f>C11</f>
        <v>60</v>
      </c>
      <c r="H11">
        <f t="shared" si="15"/>
        <v>12671.256516314095</v>
      </c>
      <c r="I11">
        <f t="shared" si="1"/>
        <v>12671.256516314095</v>
      </c>
      <c r="K11">
        <f t="shared" si="2"/>
        <v>15205.507819576913</v>
      </c>
      <c r="M11" t="s">
        <v>1583</v>
      </c>
      <c r="N11" s="98">
        <v>0.12569444444444444</v>
      </c>
      <c r="Q11">
        <f t="shared" si="3"/>
        <v>24</v>
      </c>
      <c r="S11">
        <f t="shared" si="4"/>
        <v>2.8284271247461903</v>
      </c>
      <c r="T11">
        <f t="shared" si="5"/>
        <v>8.4852813742385713</v>
      </c>
      <c r="V11" s="1">
        <f t="shared" si="6"/>
        <v>2.8299999999999996</v>
      </c>
      <c r="W11" s="1">
        <f t="shared" si="7"/>
        <v>8.49</v>
      </c>
      <c r="Y11">
        <f t="shared" si="8"/>
        <v>77.946749999999994</v>
      </c>
      <c r="AA11">
        <f t="shared" si="9"/>
        <v>17.946749999999994</v>
      </c>
      <c r="AC11">
        <f t="shared" si="10"/>
        <v>77.946749999999994</v>
      </c>
      <c r="AE11">
        <f t="shared" si="11"/>
        <v>17.946749999999994</v>
      </c>
      <c r="AJ11">
        <f t="shared" si="12"/>
        <v>932.09082795886366</v>
      </c>
      <c r="AK11">
        <f t="shared" si="13"/>
        <v>1785.861863839285</v>
      </c>
      <c r="AM11">
        <f t="shared" si="14"/>
        <v>17923.460511375062</v>
      </c>
    </row>
    <row r="12" spans="2:39" x14ac:dyDescent="0.25">
      <c r="B12">
        <v>75</v>
      </c>
      <c r="C12">
        <v>90</v>
      </c>
      <c r="E12">
        <v>2</v>
      </c>
      <c r="F12">
        <f>45</f>
        <v>45</v>
      </c>
      <c r="H12">
        <f t="shared" si="15"/>
        <v>10554.705097896975</v>
      </c>
      <c r="I12">
        <f t="shared" si="1"/>
        <v>21109.410195793949</v>
      </c>
      <c r="K12">
        <f t="shared" si="2"/>
        <v>25331.29223495274</v>
      </c>
      <c r="M12" t="s">
        <v>63</v>
      </c>
      <c r="N12">
        <v>2.5</v>
      </c>
      <c r="O12" t="s">
        <v>191</v>
      </c>
      <c r="Q12">
        <f t="shared" si="3"/>
        <v>18</v>
      </c>
      <c r="S12">
        <f t="shared" si="4"/>
        <v>2.4494897427831779</v>
      </c>
      <c r="T12">
        <f t="shared" si="5"/>
        <v>7.3484692283495336</v>
      </c>
      <c r="V12" s="1">
        <f t="shared" si="6"/>
        <v>2.4499999999999997</v>
      </c>
      <c r="W12" s="1">
        <f t="shared" si="7"/>
        <v>7.35</v>
      </c>
      <c r="Y12">
        <f t="shared" si="8"/>
        <v>60.618749999999991</v>
      </c>
      <c r="AA12">
        <f t="shared" si="9"/>
        <v>15.618749999999991</v>
      </c>
      <c r="AC12">
        <f t="shared" si="10"/>
        <v>121.23749999999998</v>
      </c>
      <c r="AE12">
        <f t="shared" si="11"/>
        <v>31.237499999999983</v>
      </c>
      <c r="AJ12">
        <f t="shared" si="12"/>
        <v>1449.7636111148024</v>
      </c>
      <c r="AK12">
        <f t="shared" si="13"/>
        <v>3108.4101562499977</v>
      </c>
      <c r="AM12">
        <f t="shared" si="14"/>
        <v>29889.466002317538</v>
      </c>
    </row>
    <row r="13" spans="2:39" x14ac:dyDescent="0.25">
      <c r="B13">
        <v>100</v>
      </c>
      <c r="C13">
        <v>120</v>
      </c>
      <c r="E13">
        <v>2</v>
      </c>
      <c r="F13">
        <v>60</v>
      </c>
      <c r="H13">
        <f t="shared" si="15"/>
        <v>12671.256516314095</v>
      </c>
      <c r="I13">
        <f t="shared" si="1"/>
        <v>25342.513032628191</v>
      </c>
      <c r="K13">
        <f t="shared" si="2"/>
        <v>30411.015639153826</v>
      </c>
      <c r="Q13">
        <f t="shared" si="3"/>
        <v>24</v>
      </c>
      <c r="S13">
        <f t="shared" si="4"/>
        <v>2.8284271247461903</v>
      </c>
      <c r="T13">
        <f t="shared" si="5"/>
        <v>8.4852813742385713</v>
      </c>
      <c r="V13" s="1">
        <f t="shared" si="6"/>
        <v>2.8299999999999996</v>
      </c>
      <c r="W13" s="1">
        <f t="shared" si="7"/>
        <v>8.49</v>
      </c>
      <c r="Y13">
        <f t="shared" si="8"/>
        <v>77.946749999999994</v>
      </c>
      <c r="AA13">
        <f t="shared" si="9"/>
        <v>17.946749999999994</v>
      </c>
      <c r="AC13">
        <f t="shared" si="10"/>
        <v>155.89349999999999</v>
      </c>
      <c r="AE13">
        <f t="shared" si="11"/>
        <v>35.893499999999989</v>
      </c>
      <c r="AJ13">
        <f t="shared" si="12"/>
        <v>1864.1816559177273</v>
      </c>
      <c r="AK13">
        <f t="shared" si="13"/>
        <v>3571.72372767857</v>
      </c>
      <c r="AM13">
        <f t="shared" si="14"/>
        <v>35846.921022750124</v>
      </c>
    </row>
    <row r="14" spans="2:39" x14ac:dyDescent="0.25">
      <c r="B14">
        <v>200</v>
      </c>
      <c r="C14">
        <v>240</v>
      </c>
      <c r="E14">
        <v>3</v>
      </c>
      <c r="F14">
        <v>80</v>
      </c>
      <c r="H14">
        <f t="shared" si="15"/>
        <v>15212.243280413797</v>
      </c>
      <c r="I14">
        <f t="shared" si="1"/>
        <v>45636.729841241395</v>
      </c>
      <c r="K14">
        <f t="shared" si="2"/>
        <v>54764.075809489674</v>
      </c>
      <c r="Q14">
        <f>F14/$N$12</f>
        <v>32</v>
      </c>
      <c r="S14">
        <f t="shared" si="4"/>
        <v>3.2659863237109041</v>
      </c>
      <c r="T14">
        <f t="shared" si="5"/>
        <v>9.7979589711327115</v>
      </c>
      <c r="V14" s="1">
        <f t="shared" si="6"/>
        <v>3.2699999999999996</v>
      </c>
      <c r="W14" s="1">
        <f t="shared" si="7"/>
        <v>9.7999999999999989</v>
      </c>
      <c r="Y14">
        <f t="shared" si="8"/>
        <v>100.61999999999998</v>
      </c>
      <c r="AA14">
        <f t="shared" si="9"/>
        <v>20.619999999999976</v>
      </c>
      <c r="AC14">
        <f t="shared" si="10"/>
        <v>301.8599999999999</v>
      </c>
      <c r="AE14">
        <f t="shared" si="11"/>
        <v>61.859999999999928</v>
      </c>
      <c r="AJ14">
        <f t="shared" si="12"/>
        <v>3609.6557884409867</v>
      </c>
      <c r="AK14">
        <f t="shared" si="13"/>
        <v>6155.6223214285637</v>
      </c>
      <c r="AM14">
        <f t="shared" si="14"/>
        <v>64529.353919359222</v>
      </c>
    </row>
    <row r="15" spans="2:39" x14ac:dyDescent="0.25">
      <c r="B15">
        <v>300</v>
      </c>
      <c r="C15">
        <v>360</v>
      </c>
      <c r="E15">
        <v>6</v>
      </c>
      <c r="F15">
        <v>60</v>
      </c>
      <c r="H15">
        <f t="shared" si="15"/>
        <v>12671.256516314095</v>
      </c>
      <c r="I15">
        <f t="shared" si="1"/>
        <v>76027.539097884568</v>
      </c>
      <c r="K15">
        <f t="shared" si="2"/>
        <v>91233.046917461485</v>
      </c>
      <c r="Q15">
        <f t="shared" si="3"/>
        <v>24</v>
      </c>
      <c r="S15">
        <f t="shared" si="4"/>
        <v>2.8284271247461903</v>
      </c>
      <c r="T15">
        <f t="shared" si="5"/>
        <v>8.4852813742385713</v>
      </c>
      <c r="V15" s="1">
        <f t="shared" si="6"/>
        <v>2.8299999999999996</v>
      </c>
      <c r="W15" s="1">
        <f t="shared" si="7"/>
        <v>8.49</v>
      </c>
      <c r="Y15">
        <f t="shared" si="8"/>
        <v>77.946749999999994</v>
      </c>
      <c r="AA15">
        <f t="shared" si="9"/>
        <v>17.946749999999994</v>
      </c>
      <c r="AC15">
        <f t="shared" si="10"/>
        <v>467.68049999999994</v>
      </c>
      <c r="AE15">
        <f t="shared" si="11"/>
        <v>107.68049999999997</v>
      </c>
      <c r="AJ15">
        <f t="shared" si="12"/>
        <v>5592.5449677531815</v>
      </c>
      <c r="AK15">
        <f t="shared" si="13"/>
        <v>10715.171183035709</v>
      </c>
      <c r="AM15">
        <f t="shared" si="14"/>
        <v>107540.76306825038</v>
      </c>
    </row>
    <row r="16" spans="2:39" x14ac:dyDescent="0.25">
      <c r="B16">
        <v>400</v>
      </c>
      <c r="C16">
        <v>480</v>
      </c>
      <c r="E16">
        <v>6</v>
      </c>
      <c r="F16">
        <v>80</v>
      </c>
      <c r="H16">
        <f t="shared" si="15"/>
        <v>15212.243280413797</v>
      </c>
      <c r="I16">
        <f t="shared" si="1"/>
        <v>91273.45968248279</v>
      </c>
      <c r="K16">
        <f t="shared" si="2"/>
        <v>109528.15161897935</v>
      </c>
      <c r="Q16">
        <f t="shared" si="3"/>
        <v>32</v>
      </c>
      <c r="S16">
        <f t="shared" si="4"/>
        <v>3.2659863237109041</v>
      </c>
      <c r="T16">
        <f t="shared" si="5"/>
        <v>9.7979589711327115</v>
      </c>
      <c r="V16" s="1">
        <f t="shared" si="6"/>
        <v>3.2699999999999996</v>
      </c>
      <c r="W16" s="1">
        <f t="shared" si="7"/>
        <v>9.7999999999999989</v>
      </c>
      <c r="Y16">
        <f t="shared" si="8"/>
        <v>100.61999999999998</v>
      </c>
      <c r="AA16">
        <f t="shared" si="9"/>
        <v>20.619999999999976</v>
      </c>
      <c r="AC16">
        <f t="shared" si="10"/>
        <v>603.7199999999998</v>
      </c>
      <c r="AE16">
        <f t="shared" si="11"/>
        <v>123.71999999999986</v>
      </c>
      <c r="AJ16">
        <f t="shared" si="12"/>
        <v>7219.3115768819735</v>
      </c>
      <c r="AK16">
        <f t="shared" si="13"/>
        <v>12311.244642857127</v>
      </c>
      <c r="AM16">
        <f t="shared" si="14"/>
        <v>129058.70783871844</v>
      </c>
    </row>
    <row r="17" spans="2:39" x14ac:dyDescent="0.25">
      <c r="B17">
        <v>500</v>
      </c>
      <c r="C17">
        <v>600</v>
      </c>
      <c r="E17">
        <v>8</v>
      </c>
      <c r="F17">
        <v>75</v>
      </c>
      <c r="H17">
        <f t="shared" si="15"/>
        <v>14601.134922691141</v>
      </c>
      <c r="I17">
        <f t="shared" si="1"/>
        <v>116809.07938152913</v>
      </c>
      <c r="K17">
        <f t="shared" si="2"/>
        <v>140170.89525783496</v>
      </c>
      <c r="Q17">
        <f t="shared" si="3"/>
        <v>30</v>
      </c>
      <c r="S17">
        <f t="shared" si="4"/>
        <v>3.1622776601683795</v>
      </c>
      <c r="T17">
        <f t="shared" si="5"/>
        <v>9.4868329805051381</v>
      </c>
      <c r="V17" s="1">
        <f t="shared" si="6"/>
        <v>3.17</v>
      </c>
      <c r="W17" s="1">
        <f t="shared" si="7"/>
        <v>9.49</v>
      </c>
      <c r="Y17">
        <f t="shared" si="8"/>
        <v>95.098249999999993</v>
      </c>
      <c r="AA17">
        <f t="shared" si="9"/>
        <v>20.098249999999993</v>
      </c>
      <c r="AC17">
        <f t="shared" si="10"/>
        <v>760.78599999999994</v>
      </c>
      <c r="AE17">
        <f t="shared" si="11"/>
        <v>160.78599999999994</v>
      </c>
      <c r="AJ17">
        <f t="shared" si="12"/>
        <v>9097.5140418235787</v>
      </c>
      <c r="AK17">
        <f t="shared" si="13"/>
        <v>15999.642589285706</v>
      </c>
      <c r="AM17">
        <f t="shared" si="14"/>
        <v>165268.05188894423</v>
      </c>
    </row>
    <row r="18" spans="2:39" x14ac:dyDescent="0.25">
      <c r="B18">
        <v>600</v>
      </c>
      <c r="C18">
        <v>720</v>
      </c>
      <c r="E18">
        <v>9</v>
      </c>
      <c r="F18">
        <v>80</v>
      </c>
      <c r="H18">
        <f t="shared" si="15"/>
        <v>15212.243280413797</v>
      </c>
      <c r="I18">
        <f t="shared" si="1"/>
        <v>136910.18952372417</v>
      </c>
      <c r="K18">
        <f t="shared" si="2"/>
        <v>164292.22742846899</v>
      </c>
      <c r="Q18">
        <f t="shared" si="3"/>
        <v>32</v>
      </c>
      <c r="S18">
        <f t="shared" si="4"/>
        <v>3.2659863237109041</v>
      </c>
      <c r="T18">
        <f t="shared" si="5"/>
        <v>9.7979589711327115</v>
      </c>
      <c r="V18" s="1">
        <f t="shared" si="6"/>
        <v>3.2699999999999996</v>
      </c>
      <c r="W18" s="1">
        <f t="shared" si="7"/>
        <v>9.7999999999999989</v>
      </c>
      <c r="Y18">
        <f t="shared" si="8"/>
        <v>100.61999999999998</v>
      </c>
      <c r="AA18">
        <f t="shared" si="9"/>
        <v>20.619999999999976</v>
      </c>
      <c r="AC18">
        <f t="shared" si="10"/>
        <v>905.57999999999981</v>
      </c>
      <c r="AE18">
        <f t="shared" si="11"/>
        <v>185.57999999999979</v>
      </c>
      <c r="AJ18">
        <f t="shared" si="12"/>
        <v>10828.967365322962</v>
      </c>
      <c r="AK18">
        <f t="shared" si="13"/>
        <v>18466.866964285691</v>
      </c>
      <c r="AM18">
        <f t="shared" si="14"/>
        <v>193588.06175807765</v>
      </c>
    </row>
    <row r="19" spans="2:39" x14ac:dyDescent="0.25">
      <c r="B19">
        <v>800</v>
      </c>
      <c r="C19">
        <v>960</v>
      </c>
      <c r="E19">
        <v>12</v>
      </c>
      <c r="F19">
        <v>80</v>
      </c>
      <c r="H19">
        <f t="shared" si="15"/>
        <v>15212.243280413797</v>
      </c>
      <c r="I19">
        <f t="shared" si="1"/>
        <v>182546.91936496558</v>
      </c>
      <c r="K19">
        <f t="shared" si="2"/>
        <v>219056.30323795869</v>
      </c>
      <c r="Q19">
        <f t="shared" si="3"/>
        <v>32</v>
      </c>
      <c r="S19">
        <f t="shared" si="4"/>
        <v>3.2659863237109041</v>
      </c>
      <c r="T19">
        <f t="shared" si="5"/>
        <v>9.7979589711327115</v>
      </c>
      <c r="V19" s="1">
        <f t="shared" si="6"/>
        <v>3.2699999999999996</v>
      </c>
      <c r="W19" s="1">
        <f t="shared" si="7"/>
        <v>9.7999999999999989</v>
      </c>
      <c r="Y19">
        <f t="shared" si="8"/>
        <v>100.61999999999998</v>
      </c>
      <c r="AA19">
        <f t="shared" si="9"/>
        <v>20.619999999999976</v>
      </c>
      <c r="AC19">
        <f t="shared" si="10"/>
        <v>1207.4399999999996</v>
      </c>
      <c r="AE19">
        <f t="shared" si="11"/>
        <v>247.43999999999971</v>
      </c>
      <c r="AJ19">
        <f t="shared" si="12"/>
        <v>14438.623153763947</v>
      </c>
      <c r="AK19">
        <f t="shared" si="13"/>
        <v>24622.489285714255</v>
      </c>
      <c r="AM19">
        <f t="shared" si="14"/>
        <v>258117.41567743689</v>
      </c>
    </row>
    <row r="20" spans="2:39" x14ac:dyDescent="0.25">
      <c r="B20">
        <v>1000</v>
      </c>
      <c r="C20">
        <v>1200</v>
      </c>
      <c r="E20">
        <v>15</v>
      </c>
      <c r="F20">
        <v>80</v>
      </c>
      <c r="H20">
        <f t="shared" si="15"/>
        <v>15212.243280413797</v>
      </c>
      <c r="I20">
        <f t="shared" si="1"/>
        <v>228183.64920620696</v>
      </c>
      <c r="K20">
        <f t="shared" si="2"/>
        <v>273820.37904744834</v>
      </c>
      <c r="Q20">
        <f t="shared" si="3"/>
        <v>32</v>
      </c>
      <c r="S20">
        <f t="shared" si="4"/>
        <v>3.2659863237109041</v>
      </c>
      <c r="T20">
        <f t="shared" si="5"/>
        <v>9.7979589711327115</v>
      </c>
      <c r="V20" s="1">
        <f t="shared" si="6"/>
        <v>3.2699999999999996</v>
      </c>
      <c r="W20" s="1">
        <f t="shared" si="7"/>
        <v>9.7999999999999989</v>
      </c>
      <c r="Y20">
        <f>(V20+$N$10*2)*(W20+$N$10*2)*$N$12</f>
        <v>100.61999999999998</v>
      </c>
      <c r="AA20">
        <f t="shared" si="9"/>
        <v>20.619999999999976</v>
      </c>
      <c r="AC20">
        <f t="shared" si="10"/>
        <v>1509.2999999999997</v>
      </c>
      <c r="AE20">
        <f t="shared" si="11"/>
        <v>309.29999999999961</v>
      </c>
      <c r="AJ20">
        <f t="shared" si="12"/>
        <v>18048.278942204939</v>
      </c>
      <c r="AK20">
        <f>AE20*AH$7</f>
        <v>30778.111607142815</v>
      </c>
      <c r="AM20">
        <f t="shared" si="14"/>
        <v>322646.76959679608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8C1B-3A61-4EC3-9789-DFE176D146ED}">
  <sheetPr>
    <tabColor rgb="FFFF0000"/>
  </sheetPr>
  <dimension ref="C1:V32"/>
  <sheetViews>
    <sheetView topLeftCell="E9" workbookViewId="0">
      <selection activeCell="S22" sqref="S22"/>
    </sheetView>
  </sheetViews>
  <sheetFormatPr defaultRowHeight="15" x14ac:dyDescent="0.25"/>
  <cols>
    <col min="3" max="3" width="15.140625" bestFit="1" customWidth="1"/>
    <col min="4" max="4" width="11.28515625" bestFit="1" customWidth="1"/>
  </cols>
  <sheetData>
    <row r="1" spans="3:22" ht="15.75" thickBot="1" x14ac:dyDescent="0.3"/>
    <row r="2" spans="3:22" x14ac:dyDescent="0.25">
      <c r="C2" s="26" t="s">
        <v>403</v>
      </c>
      <c r="D2" s="27"/>
      <c r="H2" t="s">
        <v>363</v>
      </c>
    </row>
    <row r="3" spans="3:22" x14ac:dyDescent="0.25">
      <c r="C3" s="28"/>
      <c r="D3" s="29" t="s">
        <v>402</v>
      </c>
      <c r="G3" t="s">
        <v>156</v>
      </c>
      <c r="H3">
        <v>5</v>
      </c>
      <c r="I3">
        <v>10</v>
      </c>
      <c r="J3">
        <v>20</v>
      </c>
      <c r="K3">
        <v>30</v>
      </c>
      <c r="L3">
        <v>50</v>
      </c>
      <c r="M3">
        <v>75</v>
      </c>
      <c r="N3">
        <v>100</v>
      </c>
      <c r="O3">
        <v>150</v>
      </c>
      <c r="P3">
        <v>200</v>
      </c>
      <c r="Q3">
        <v>300</v>
      </c>
      <c r="R3">
        <v>400</v>
      </c>
      <c r="S3">
        <v>500</v>
      </c>
      <c r="T3">
        <v>600</v>
      </c>
      <c r="U3">
        <v>800</v>
      </c>
      <c r="V3">
        <v>1000</v>
      </c>
    </row>
    <row r="4" spans="3:22" x14ac:dyDescent="0.25">
      <c r="C4" s="30" t="s">
        <v>399</v>
      </c>
      <c r="D4" s="31">
        <v>100</v>
      </c>
      <c r="G4" t="s">
        <v>364</v>
      </c>
      <c r="H4">
        <f>0.15*H3</f>
        <v>0.75</v>
      </c>
      <c r="I4">
        <f t="shared" ref="I4:R4" si="0">0.15*I3</f>
        <v>1.5</v>
      </c>
      <c r="J4">
        <f t="shared" si="0"/>
        <v>3</v>
      </c>
      <c r="K4">
        <f t="shared" si="0"/>
        <v>4.5</v>
      </c>
      <c r="L4">
        <f t="shared" si="0"/>
        <v>7.5</v>
      </c>
      <c r="M4">
        <f t="shared" si="0"/>
        <v>11.25</v>
      </c>
      <c r="N4">
        <f t="shared" si="0"/>
        <v>15</v>
      </c>
      <c r="O4">
        <f t="shared" si="0"/>
        <v>22.5</v>
      </c>
      <c r="P4">
        <f t="shared" si="0"/>
        <v>30</v>
      </c>
      <c r="Q4">
        <f t="shared" si="0"/>
        <v>45</v>
      </c>
      <c r="R4">
        <f t="shared" si="0"/>
        <v>60</v>
      </c>
      <c r="S4">
        <f t="shared" ref="S4:V4" si="1">S3*0.15</f>
        <v>75</v>
      </c>
      <c r="T4">
        <f t="shared" si="1"/>
        <v>90</v>
      </c>
      <c r="U4">
        <f t="shared" si="1"/>
        <v>120</v>
      </c>
      <c r="V4">
        <f t="shared" si="1"/>
        <v>150</v>
      </c>
    </row>
    <row r="5" spans="3:22" x14ac:dyDescent="0.25">
      <c r="C5" s="30" t="s">
        <v>400</v>
      </c>
      <c r="D5" s="32">
        <v>25</v>
      </c>
      <c r="G5" t="s">
        <v>334</v>
      </c>
      <c r="H5">
        <f>H4*2</f>
        <v>1.5</v>
      </c>
      <c r="I5">
        <f t="shared" ref="I5:V5" si="2">I4*2</f>
        <v>3</v>
      </c>
      <c r="J5">
        <f t="shared" si="2"/>
        <v>6</v>
      </c>
      <c r="K5">
        <f t="shared" si="2"/>
        <v>9</v>
      </c>
      <c r="L5">
        <f t="shared" si="2"/>
        <v>15</v>
      </c>
      <c r="M5">
        <f t="shared" si="2"/>
        <v>22.5</v>
      </c>
      <c r="N5">
        <f t="shared" si="2"/>
        <v>30</v>
      </c>
      <c r="O5">
        <f t="shared" si="2"/>
        <v>45</v>
      </c>
      <c r="P5">
        <f t="shared" si="2"/>
        <v>60</v>
      </c>
      <c r="Q5">
        <f t="shared" si="2"/>
        <v>90</v>
      </c>
      <c r="R5">
        <f t="shared" si="2"/>
        <v>120</v>
      </c>
      <c r="S5">
        <f t="shared" si="2"/>
        <v>150</v>
      </c>
      <c r="T5">
        <f t="shared" si="2"/>
        <v>180</v>
      </c>
      <c r="U5">
        <f t="shared" si="2"/>
        <v>240</v>
      </c>
      <c r="V5">
        <f t="shared" si="2"/>
        <v>300</v>
      </c>
    </row>
    <row r="6" spans="3:22" ht="15.75" thickBot="1" x14ac:dyDescent="0.3">
      <c r="C6" s="33" t="s">
        <v>401</v>
      </c>
      <c r="D6" s="34">
        <v>15</v>
      </c>
      <c r="G6" t="s">
        <v>1324</v>
      </c>
      <c r="H6">
        <v>1.875</v>
      </c>
      <c r="I6">
        <v>3.75</v>
      </c>
      <c r="J6">
        <v>7.5</v>
      </c>
      <c r="K6">
        <v>11.25</v>
      </c>
      <c r="L6">
        <v>18.75</v>
      </c>
      <c r="M6">
        <v>28.125</v>
      </c>
      <c r="N6">
        <v>37.5</v>
      </c>
      <c r="O6">
        <f>O5*1.25</f>
        <v>56.25</v>
      </c>
      <c r="P6">
        <f>P5*1.25</f>
        <v>75</v>
      </c>
      <c r="Q6">
        <f t="shared" ref="Q6:U6" si="3">Q5*1.25</f>
        <v>112.5</v>
      </c>
      <c r="R6">
        <f t="shared" si="3"/>
        <v>150</v>
      </c>
      <c r="S6">
        <f t="shared" si="3"/>
        <v>187.5</v>
      </c>
      <c r="T6">
        <f t="shared" si="3"/>
        <v>225</v>
      </c>
      <c r="U6">
        <f t="shared" si="3"/>
        <v>300</v>
      </c>
      <c r="V6">
        <f>V5*1.25</f>
        <v>375</v>
      </c>
    </row>
    <row r="7" spans="3:22" x14ac:dyDescent="0.25">
      <c r="G7" t="s">
        <v>270</v>
      </c>
      <c r="H7">
        <f>H4*4</f>
        <v>3</v>
      </c>
      <c r="I7">
        <f>I4*4</f>
        <v>6</v>
      </c>
      <c r="J7">
        <f t="shared" ref="J7:N7" si="4">J4*4</f>
        <v>12</v>
      </c>
      <c r="K7">
        <f t="shared" si="4"/>
        <v>18</v>
      </c>
      <c r="L7">
        <f t="shared" si="4"/>
        <v>30</v>
      </c>
      <c r="M7">
        <f t="shared" si="4"/>
        <v>45</v>
      </c>
      <c r="N7">
        <f t="shared" si="4"/>
        <v>60</v>
      </c>
      <c r="O7">
        <f>O4*4</f>
        <v>90</v>
      </c>
      <c r="P7">
        <f t="shared" ref="P7:V7" si="5">P4*4</f>
        <v>120</v>
      </c>
      <c r="Q7">
        <f t="shared" si="5"/>
        <v>180</v>
      </c>
      <c r="R7">
        <f t="shared" si="5"/>
        <v>240</v>
      </c>
      <c r="S7">
        <f t="shared" si="5"/>
        <v>300</v>
      </c>
      <c r="T7">
        <f t="shared" si="5"/>
        <v>360</v>
      </c>
      <c r="U7">
        <f t="shared" si="5"/>
        <v>480</v>
      </c>
      <c r="V7">
        <f t="shared" si="5"/>
        <v>600</v>
      </c>
    </row>
    <row r="8" spans="3:22" x14ac:dyDescent="0.25">
      <c r="H8">
        <f>H6/H3</f>
        <v>0.375</v>
      </c>
    </row>
    <row r="9" spans="3:22" x14ac:dyDescent="0.25">
      <c r="C9" s="10" t="s">
        <v>598</v>
      </c>
      <c r="G9" t="s">
        <v>365</v>
      </c>
    </row>
    <row r="10" spans="3:22" x14ac:dyDescent="0.25">
      <c r="C10" s="10" t="s">
        <v>358</v>
      </c>
      <c r="D10">
        <v>400</v>
      </c>
      <c r="E10" t="s">
        <v>335</v>
      </c>
      <c r="G10" t="s">
        <v>367</v>
      </c>
      <c r="H10" s="7">
        <f>(H$4*$D10)/1000</f>
        <v>0.3</v>
      </c>
      <c r="I10" s="7">
        <f t="shared" ref="I10:V10" si="6">(I4*$D$10)/1000</f>
        <v>0.6</v>
      </c>
      <c r="J10" s="7">
        <f t="shared" si="6"/>
        <v>1.2</v>
      </c>
      <c r="K10" s="7">
        <f>(K4*$D$10)/1000</f>
        <v>1.8</v>
      </c>
      <c r="L10" s="7">
        <f t="shared" si="6"/>
        <v>3</v>
      </c>
      <c r="M10" s="7">
        <f t="shared" si="6"/>
        <v>4.5</v>
      </c>
      <c r="N10" s="7">
        <f t="shared" si="6"/>
        <v>6</v>
      </c>
      <c r="O10" s="7">
        <f t="shared" si="6"/>
        <v>9</v>
      </c>
      <c r="P10" s="7">
        <f t="shared" si="6"/>
        <v>12</v>
      </c>
      <c r="Q10" s="7">
        <f t="shared" si="6"/>
        <v>18</v>
      </c>
      <c r="R10" s="7">
        <f t="shared" si="6"/>
        <v>24</v>
      </c>
      <c r="S10" s="7">
        <f t="shared" si="6"/>
        <v>30</v>
      </c>
      <c r="T10" s="7">
        <f t="shared" si="6"/>
        <v>36</v>
      </c>
      <c r="U10" s="7">
        <f t="shared" si="6"/>
        <v>48</v>
      </c>
      <c r="V10" s="7">
        <f t="shared" si="6"/>
        <v>60</v>
      </c>
    </row>
    <row r="11" spans="3:22" x14ac:dyDescent="0.25">
      <c r="C11" s="10" t="s">
        <v>600</v>
      </c>
      <c r="D11">
        <v>53</v>
      </c>
      <c r="E11" t="s">
        <v>335</v>
      </c>
      <c r="G11" t="s">
        <v>1227</v>
      </c>
      <c r="H11" s="7">
        <f t="shared" ref="H11:V13" si="7">(H$4*$D11)/1000</f>
        <v>3.9750000000000001E-2</v>
      </c>
      <c r="I11" s="7">
        <f t="shared" si="7"/>
        <v>7.9500000000000001E-2</v>
      </c>
      <c r="J11" s="7">
        <f t="shared" si="7"/>
        <v>0.159</v>
      </c>
      <c r="K11" s="7">
        <f t="shared" si="7"/>
        <v>0.23849999999999999</v>
      </c>
      <c r="L11" s="7">
        <f t="shared" si="7"/>
        <v>0.39750000000000002</v>
      </c>
      <c r="M11" s="7">
        <f t="shared" si="7"/>
        <v>0.59624999999999995</v>
      </c>
      <c r="N11" s="7">
        <f t="shared" si="7"/>
        <v>0.79500000000000004</v>
      </c>
      <c r="O11" s="7">
        <f t="shared" si="7"/>
        <v>1.1924999999999999</v>
      </c>
      <c r="P11" s="7">
        <f t="shared" si="7"/>
        <v>1.59</v>
      </c>
      <c r="Q11" s="7">
        <f t="shared" si="7"/>
        <v>2.3849999999999998</v>
      </c>
      <c r="R11" s="7">
        <f t="shared" si="7"/>
        <v>3.18</v>
      </c>
      <c r="S11" s="7">
        <f t="shared" si="7"/>
        <v>3.9750000000000001</v>
      </c>
      <c r="T11" s="7">
        <f t="shared" si="7"/>
        <v>4.7699999999999996</v>
      </c>
      <c r="U11" s="7">
        <f t="shared" si="7"/>
        <v>6.36</v>
      </c>
      <c r="V11" s="7">
        <f t="shared" si="7"/>
        <v>7.95</v>
      </c>
    </row>
    <row r="12" spans="3:22" x14ac:dyDescent="0.25">
      <c r="C12" s="10" t="s">
        <v>399</v>
      </c>
      <c r="D12">
        <v>533</v>
      </c>
      <c r="E12" t="s">
        <v>335</v>
      </c>
      <c r="G12" t="s">
        <v>1228</v>
      </c>
      <c r="H12" s="7">
        <f>(H$4*$D12)/1000</f>
        <v>0.39974999999999999</v>
      </c>
      <c r="I12" s="7">
        <f t="shared" si="7"/>
        <v>0.79949999999999999</v>
      </c>
      <c r="J12" s="7">
        <f t="shared" si="7"/>
        <v>1.599</v>
      </c>
      <c r="K12" s="7">
        <f t="shared" si="7"/>
        <v>2.3984999999999999</v>
      </c>
      <c r="L12" s="7">
        <f t="shared" si="7"/>
        <v>3.9975000000000001</v>
      </c>
      <c r="M12" s="7">
        <f t="shared" si="7"/>
        <v>5.9962499999999999</v>
      </c>
      <c r="N12" s="7">
        <f t="shared" si="7"/>
        <v>7.9950000000000001</v>
      </c>
      <c r="O12" s="7">
        <f t="shared" si="7"/>
        <v>11.9925</v>
      </c>
      <c r="P12" s="7">
        <f t="shared" si="7"/>
        <v>15.99</v>
      </c>
      <c r="Q12" s="7">
        <f t="shared" si="7"/>
        <v>23.984999999999999</v>
      </c>
      <c r="R12" s="7">
        <f t="shared" si="7"/>
        <v>31.98</v>
      </c>
      <c r="S12" s="7">
        <f t="shared" si="7"/>
        <v>39.975000000000001</v>
      </c>
      <c r="T12" s="7">
        <f t="shared" si="7"/>
        <v>47.97</v>
      </c>
      <c r="U12" s="7">
        <f t="shared" si="7"/>
        <v>63.96</v>
      </c>
      <c r="V12" s="7">
        <f t="shared" si="7"/>
        <v>79.95</v>
      </c>
    </row>
    <row r="13" spans="3:22" x14ac:dyDescent="0.25">
      <c r="C13" s="10" t="str">
        <f>'SAF - Design'!AI17</f>
        <v>COD</v>
      </c>
      <c r="D13">
        <f>'SAF - Design'!AJ17</f>
        <v>1000</v>
      </c>
      <c r="E13" t="s">
        <v>335</v>
      </c>
      <c r="G13" t="s">
        <v>1243</v>
      </c>
      <c r="H13" s="7">
        <f>(H$4*$D13)/1000</f>
        <v>0.75</v>
      </c>
      <c r="I13" s="7">
        <f t="shared" si="7"/>
        <v>1.5</v>
      </c>
      <c r="J13" s="7">
        <f t="shared" si="7"/>
        <v>3</v>
      </c>
      <c r="K13" s="7">
        <f t="shared" si="7"/>
        <v>4.5</v>
      </c>
      <c r="L13" s="7">
        <f t="shared" si="7"/>
        <v>7.5</v>
      </c>
      <c r="M13" s="7">
        <f t="shared" si="7"/>
        <v>11.25</v>
      </c>
      <c r="N13" s="7">
        <f t="shared" si="7"/>
        <v>15</v>
      </c>
      <c r="O13" s="7">
        <f t="shared" si="7"/>
        <v>22.5</v>
      </c>
      <c r="P13" s="7">
        <f t="shared" si="7"/>
        <v>30</v>
      </c>
      <c r="Q13" s="7">
        <f t="shared" si="7"/>
        <v>45</v>
      </c>
      <c r="R13" s="7">
        <f t="shared" si="7"/>
        <v>60</v>
      </c>
      <c r="S13" s="7">
        <f t="shared" si="7"/>
        <v>75</v>
      </c>
      <c r="T13" s="7">
        <f t="shared" si="7"/>
        <v>90</v>
      </c>
      <c r="U13" s="7">
        <f t="shared" si="7"/>
        <v>120</v>
      </c>
      <c r="V13" s="7">
        <f t="shared" si="7"/>
        <v>150</v>
      </c>
    </row>
    <row r="15" spans="3:22" x14ac:dyDescent="0.25">
      <c r="C15" s="10" t="s">
        <v>1242</v>
      </c>
      <c r="H15" s="7">
        <f>H7/H3</f>
        <v>0.6</v>
      </c>
    </row>
    <row r="16" spans="3:22" x14ac:dyDescent="0.25">
      <c r="L16">
        <v>2.8</v>
      </c>
    </row>
    <row r="17" spans="3:20" x14ac:dyDescent="0.25">
      <c r="C17" s="10" t="s">
        <v>358</v>
      </c>
      <c r="D17">
        <v>25</v>
      </c>
      <c r="E17" t="s">
        <v>335</v>
      </c>
      <c r="L17">
        <f>L16*0.15</f>
        <v>0.42</v>
      </c>
      <c r="S17">
        <v>2.4</v>
      </c>
      <c r="T17" t="s">
        <v>1611</v>
      </c>
    </row>
    <row r="18" spans="3:20" x14ac:dyDescent="0.25">
      <c r="C18" s="10" t="s">
        <v>600</v>
      </c>
      <c r="D18">
        <v>15</v>
      </c>
      <c r="E18" t="s">
        <v>335</v>
      </c>
      <c r="I18">
        <f t="shared" ref="I18" si="8">H6</f>
        <v>1.875</v>
      </c>
      <c r="L18">
        <f>L17*2</f>
        <v>0.84</v>
      </c>
      <c r="S18">
        <v>4.5</v>
      </c>
      <c r="T18" t="s">
        <v>71</v>
      </c>
    </row>
    <row r="19" spans="3:20" x14ac:dyDescent="0.25">
      <c r="C19" s="10" t="s">
        <v>399</v>
      </c>
      <c r="D19">
        <v>100</v>
      </c>
      <c r="E19" t="s">
        <v>335</v>
      </c>
      <c r="I19">
        <f>I6</f>
        <v>3.75</v>
      </c>
      <c r="L19">
        <f>L18*1.25</f>
        <v>1.05</v>
      </c>
      <c r="Q19">
        <f>PI()*((2.5/2)^2)*13</f>
        <v>63.813600776042676</v>
      </c>
    </row>
    <row r="20" spans="3:20" x14ac:dyDescent="0.25">
      <c r="C20" s="10" t="s">
        <v>371</v>
      </c>
      <c r="E20" t="s">
        <v>335</v>
      </c>
      <c r="I20">
        <f>J6</f>
        <v>7.5</v>
      </c>
      <c r="S20">
        <f>S18/S17</f>
        <v>1.875</v>
      </c>
    </row>
    <row r="21" spans="3:20" x14ac:dyDescent="0.25">
      <c r="I21">
        <f>K6</f>
        <v>11.25</v>
      </c>
      <c r="S21">
        <f>S20*24</f>
        <v>45</v>
      </c>
    </row>
    <row r="22" spans="3:20" x14ac:dyDescent="0.25">
      <c r="I22">
        <f>L6</f>
        <v>18.75</v>
      </c>
    </row>
    <row r="23" spans="3:20" x14ac:dyDescent="0.25">
      <c r="I23">
        <f>M6</f>
        <v>28.125</v>
      </c>
    </row>
    <row r="24" spans="3:20" x14ac:dyDescent="0.25">
      <c r="I24">
        <f>N6</f>
        <v>37.5</v>
      </c>
    </row>
    <row r="25" spans="3:20" x14ac:dyDescent="0.25">
      <c r="I25">
        <f>O6</f>
        <v>56.25</v>
      </c>
    </row>
    <row r="26" spans="3:20" x14ac:dyDescent="0.25">
      <c r="I26">
        <f>P6</f>
        <v>75</v>
      </c>
    </row>
    <row r="27" spans="3:20" x14ac:dyDescent="0.25">
      <c r="I27">
        <f>Q6</f>
        <v>112.5</v>
      </c>
    </row>
    <row r="28" spans="3:20" x14ac:dyDescent="0.25">
      <c r="C28">
        <f>150*20/7.5</f>
        <v>400</v>
      </c>
      <c r="I28">
        <f>R6</f>
        <v>150</v>
      </c>
    </row>
    <row r="29" spans="3:20" x14ac:dyDescent="0.25">
      <c r="I29">
        <f>S6</f>
        <v>187.5</v>
      </c>
    </row>
    <row r="30" spans="3:20" x14ac:dyDescent="0.25">
      <c r="I30">
        <f>T6</f>
        <v>225</v>
      </c>
    </row>
    <row r="31" spans="3:20" x14ac:dyDescent="0.25">
      <c r="I31">
        <f>U6</f>
        <v>300</v>
      </c>
    </row>
    <row r="32" spans="3:20" x14ac:dyDescent="0.25">
      <c r="I32">
        <f>V6</f>
        <v>375</v>
      </c>
    </row>
  </sheetData>
  <phoneticPr fontId="10" type="noConversion"/>
  <pageMargins left="0.7" right="0.7" top="0.75" bottom="0.75" header="0.3" footer="0.3"/>
  <pageSetup paperSize="9" orientation="portrait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64EE7-EC68-4D8A-95C8-E2A1AC15A039}">
  <sheetPr>
    <tabColor rgb="FFFFC000"/>
  </sheetPr>
  <dimension ref="A1:FU112"/>
  <sheetViews>
    <sheetView topLeftCell="BX1" zoomScale="85" zoomScaleNormal="85" workbookViewId="0">
      <pane ySplit="1" topLeftCell="A91" activePane="bottomLeft" state="frozen"/>
      <selection pane="bottomLeft" activeCell="CF31" sqref="CF31"/>
    </sheetView>
  </sheetViews>
  <sheetFormatPr defaultRowHeight="15" x14ac:dyDescent="0.25"/>
  <cols>
    <col min="12" max="12" width="9.140625" style="18"/>
    <col min="14" max="14" width="16.5703125" customWidth="1"/>
    <col min="23" max="23" width="9.140625" style="18"/>
    <col min="34" max="34" width="9.140625" style="18"/>
    <col min="45" max="45" width="9.140625" style="18"/>
    <col min="56" max="56" width="9.140625" style="18"/>
    <col min="67" max="67" width="9.140625" style="18"/>
    <col min="78" max="78" width="9.140625" style="18"/>
    <col min="89" max="89" width="9.140625" style="18"/>
    <col min="100" max="100" width="9.140625" style="18"/>
    <col min="111" max="111" width="9.140625" style="18"/>
    <col min="122" max="122" width="9.140625" style="18"/>
    <col min="133" max="133" width="9.140625" style="18"/>
    <col min="144" max="144" width="9.140625" style="18"/>
    <col min="155" max="155" width="9.140625" style="18"/>
    <col min="166" max="166" width="9.140625" style="18"/>
    <col min="177" max="177" width="9.140625" style="18"/>
  </cols>
  <sheetData>
    <row r="1" spans="1:177" s="88" customFormat="1" ht="21.75" thickBot="1" x14ac:dyDescent="0.4">
      <c r="A1" s="140" t="s">
        <v>1086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38" t="s">
        <v>55</v>
      </c>
      <c r="N1" s="138"/>
      <c r="O1" s="138"/>
      <c r="P1" s="138"/>
      <c r="Q1" s="138"/>
      <c r="R1" s="138"/>
      <c r="S1" s="138"/>
      <c r="T1" s="138"/>
      <c r="U1" s="138"/>
      <c r="V1" s="138"/>
      <c r="W1" s="139"/>
      <c r="X1" s="137" t="s">
        <v>135</v>
      </c>
      <c r="Y1" s="138"/>
      <c r="Z1" s="138"/>
      <c r="AA1" s="138"/>
      <c r="AB1" s="138"/>
      <c r="AC1" s="138"/>
      <c r="AD1" s="138"/>
      <c r="AE1" s="138"/>
      <c r="AF1" s="138"/>
      <c r="AG1" s="138"/>
      <c r="AH1" s="139"/>
      <c r="AI1" s="137" t="s">
        <v>165</v>
      </c>
      <c r="AJ1" s="138"/>
      <c r="AK1" s="138"/>
      <c r="AL1" s="138"/>
      <c r="AM1" s="138"/>
      <c r="AN1" s="138"/>
      <c r="AO1" s="138"/>
      <c r="AP1" s="138"/>
      <c r="AQ1" s="138"/>
      <c r="AR1" s="138"/>
      <c r="AS1" s="139"/>
      <c r="AT1" s="137" t="s">
        <v>275</v>
      </c>
      <c r="AU1" s="138"/>
      <c r="AV1" s="138"/>
      <c r="AW1" s="138"/>
      <c r="AX1" s="138"/>
      <c r="AY1" s="138"/>
      <c r="AZ1" s="138"/>
      <c r="BA1" s="138"/>
      <c r="BB1" s="138"/>
      <c r="BC1" s="138"/>
      <c r="BD1" s="139"/>
      <c r="BE1" s="137" t="s">
        <v>294</v>
      </c>
      <c r="BF1" s="138"/>
      <c r="BG1" s="138"/>
      <c r="BH1" s="138"/>
      <c r="BI1" s="138"/>
      <c r="BJ1" s="138"/>
      <c r="BK1" s="138"/>
      <c r="BL1" s="138"/>
      <c r="BM1" s="138"/>
      <c r="BN1" s="138"/>
      <c r="BO1" s="139"/>
      <c r="BP1" s="137" t="s">
        <v>303</v>
      </c>
      <c r="BQ1" s="138"/>
      <c r="BR1" s="138"/>
      <c r="BS1" s="138"/>
      <c r="BT1" s="138"/>
      <c r="BU1" s="138"/>
      <c r="BV1" s="138"/>
      <c r="BW1" s="138"/>
      <c r="BX1" s="138"/>
      <c r="BY1" s="138"/>
      <c r="BZ1" s="139"/>
      <c r="CA1" s="137" t="s">
        <v>311</v>
      </c>
      <c r="CB1" s="138"/>
      <c r="CC1" s="138"/>
      <c r="CD1" s="138"/>
      <c r="CE1" s="138"/>
      <c r="CF1" s="138"/>
      <c r="CG1" s="138"/>
      <c r="CH1" s="138"/>
      <c r="CI1" s="138"/>
      <c r="CJ1" s="138"/>
      <c r="CK1" s="139"/>
      <c r="CL1" s="137" t="s">
        <v>740</v>
      </c>
      <c r="CM1" s="138"/>
      <c r="CN1" s="138"/>
      <c r="CO1" s="138"/>
      <c r="CP1" s="138"/>
      <c r="CQ1" s="138"/>
      <c r="CR1" s="138"/>
      <c r="CS1" s="138"/>
      <c r="CT1" s="138"/>
      <c r="CU1" s="138"/>
      <c r="CV1" s="139"/>
      <c r="CW1" s="137" t="s">
        <v>741</v>
      </c>
      <c r="CX1" s="138"/>
      <c r="CY1" s="138"/>
      <c r="CZ1" s="138"/>
      <c r="DA1" s="138"/>
      <c r="DB1" s="138"/>
      <c r="DC1" s="138"/>
      <c r="DD1" s="138"/>
      <c r="DE1" s="138"/>
      <c r="DF1" s="138"/>
      <c r="DG1" s="139"/>
      <c r="DH1" s="137" t="s">
        <v>742</v>
      </c>
      <c r="DI1" s="138"/>
      <c r="DJ1" s="138"/>
      <c r="DK1" s="138"/>
      <c r="DL1" s="138"/>
      <c r="DM1" s="138"/>
      <c r="DN1" s="138"/>
      <c r="DO1" s="138"/>
      <c r="DP1" s="138"/>
      <c r="DQ1" s="138"/>
      <c r="DR1" s="139"/>
      <c r="DS1" s="137" t="s">
        <v>743</v>
      </c>
      <c r="DT1" s="138"/>
      <c r="DU1" s="138"/>
      <c r="DV1" s="138"/>
      <c r="DW1" s="138"/>
      <c r="DX1" s="138"/>
      <c r="DY1" s="138"/>
      <c r="DZ1" s="138"/>
      <c r="EA1" s="138"/>
      <c r="EB1" s="138"/>
      <c r="EC1" s="139"/>
      <c r="ED1" s="137" t="s">
        <v>744</v>
      </c>
      <c r="EE1" s="138"/>
      <c r="EF1" s="138"/>
      <c r="EG1" s="138"/>
      <c r="EH1" s="138"/>
      <c r="EI1" s="138"/>
      <c r="EJ1" s="138"/>
      <c r="EK1" s="138"/>
      <c r="EL1" s="138"/>
      <c r="EM1" s="138"/>
      <c r="EN1" s="139"/>
      <c r="EO1" s="137" t="s">
        <v>745</v>
      </c>
      <c r="EP1" s="138"/>
      <c r="EQ1" s="138"/>
      <c r="ER1" s="138"/>
      <c r="ES1" s="138"/>
      <c r="ET1" s="138"/>
      <c r="EU1" s="138"/>
      <c r="EV1" s="138"/>
      <c r="EW1" s="138"/>
      <c r="EX1" s="138"/>
      <c r="EY1" s="139"/>
      <c r="EZ1" s="137" t="s">
        <v>746</v>
      </c>
      <c r="FA1" s="138"/>
      <c r="FB1" s="138"/>
      <c r="FC1" s="138"/>
      <c r="FD1" s="138"/>
      <c r="FE1" s="138"/>
      <c r="FF1" s="138"/>
      <c r="FG1" s="138"/>
      <c r="FH1" s="138"/>
      <c r="FI1" s="138"/>
      <c r="FJ1" s="139"/>
      <c r="FK1" s="137" t="s">
        <v>747</v>
      </c>
      <c r="FL1" s="138"/>
      <c r="FM1" s="138"/>
      <c r="FN1" s="138"/>
      <c r="FO1" s="138"/>
      <c r="FP1" s="138"/>
      <c r="FQ1" s="138"/>
      <c r="FR1" s="138"/>
      <c r="FS1" s="138"/>
      <c r="FT1" s="138"/>
      <c r="FU1" s="139"/>
    </row>
    <row r="3" spans="1:177" x14ac:dyDescent="0.25">
      <c r="A3" t="s">
        <v>1003</v>
      </c>
    </row>
    <row r="4" spans="1:177" x14ac:dyDescent="0.25">
      <c r="N4" s="10" t="s">
        <v>1087</v>
      </c>
      <c r="Y4" s="10" t="s">
        <v>1087</v>
      </c>
      <c r="AJ4" s="10" t="s">
        <v>1087</v>
      </c>
      <c r="AU4" s="10" t="s">
        <v>1087</v>
      </c>
      <c r="BF4" s="10" t="s">
        <v>1087</v>
      </c>
      <c r="BQ4" s="10" t="s">
        <v>1087</v>
      </c>
      <c r="CB4" s="10" t="s">
        <v>1087</v>
      </c>
      <c r="CX4" s="10" t="s">
        <v>1087</v>
      </c>
      <c r="DI4" s="10" t="s">
        <v>1087</v>
      </c>
      <c r="DT4" s="10" t="s">
        <v>1087</v>
      </c>
      <c r="EE4" s="10" t="s">
        <v>1087</v>
      </c>
      <c r="EP4" s="10" t="s">
        <v>1087</v>
      </c>
      <c r="FA4" s="10" t="s">
        <v>1087</v>
      </c>
      <c r="FL4" s="10" t="s">
        <v>1087</v>
      </c>
    </row>
    <row r="5" spans="1:177" x14ac:dyDescent="0.25">
      <c r="A5" t="s">
        <v>1004</v>
      </c>
      <c r="N5" t="s">
        <v>80</v>
      </c>
      <c r="O5" t="s">
        <v>2</v>
      </c>
      <c r="P5" t="s">
        <v>81</v>
      </c>
      <c r="Q5" t="s">
        <v>82</v>
      </c>
      <c r="R5" t="s">
        <v>59</v>
      </c>
      <c r="Y5" t="s">
        <v>80</v>
      </c>
      <c r="Z5" t="s">
        <v>2</v>
      </c>
      <c r="AA5" t="s">
        <v>81</v>
      </c>
      <c r="AB5" t="s">
        <v>82</v>
      </c>
      <c r="AC5" t="s">
        <v>59</v>
      </c>
      <c r="AJ5" t="s">
        <v>80</v>
      </c>
      <c r="AK5" t="s">
        <v>2</v>
      </c>
      <c r="AL5" t="s">
        <v>81</v>
      </c>
      <c r="AM5" t="s">
        <v>82</v>
      </c>
      <c r="AN5" t="s">
        <v>59</v>
      </c>
      <c r="AU5" t="s">
        <v>80</v>
      </c>
      <c r="AV5" t="s">
        <v>2</v>
      </c>
      <c r="AW5" t="s">
        <v>81</v>
      </c>
      <c r="AX5" t="s">
        <v>82</v>
      </c>
      <c r="AY5" t="s">
        <v>59</v>
      </c>
      <c r="BF5" t="s">
        <v>80</v>
      </c>
      <c r="BG5" t="s">
        <v>2</v>
      </c>
      <c r="BH5" t="s">
        <v>81</v>
      </c>
      <c r="BI5" t="s">
        <v>82</v>
      </c>
      <c r="BJ5" t="s">
        <v>59</v>
      </c>
      <c r="BQ5" t="s">
        <v>80</v>
      </c>
      <c r="BR5" t="s">
        <v>2</v>
      </c>
      <c r="BS5" t="s">
        <v>81</v>
      </c>
      <c r="BT5" t="s">
        <v>82</v>
      </c>
      <c r="BU5" t="s">
        <v>59</v>
      </c>
      <c r="CB5" t="s">
        <v>80</v>
      </c>
      <c r="CC5" t="s">
        <v>2</v>
      </c>
      <c r="CD5" t="s">
        <v>81</v>
      </c>
      <c r="CE5" t="s">
        <v>82</v>
      </c>
      <c r="CF5" t="s">
        <v>59</v>
      </c>
      <c r="CX5" t="s">
        <v>80</v>
      </c>
      <c r="CY5" t="s">
        <v>2</v>
      </c>
      <c r="CZ5" t="s">
        <v>81</v>
      </c>
      <c r="DA5" t="s">
        <v>82</v>
      </c>
      <c r="DB5" t="s">
        <v>59</v>
      </c>
      <c r="DI5" t="s">
        <v>80</v>
      </c>
      <c r="DJ5" t="s">
        <v>2</v>
      </c>
      <c r="DK5" t="s">
        <v>81</v>
      </c>
      <c r="DL5" t="s">
        <v>82</v>
      </c>
      <c r="DM5" t="s">
        <v>59</v>
      </c>
      <c r="DT5" t="s">
        <v>80</v>
      </c>
      <c r="DU5" t="s">
        <v>2</v>
      </c>
      <c r="DV5" t="s">
        <v>81</v>
      </c>
      <c r="DW5" t="s">
        <v>82</v>
      </c>
      <c r="DX5" t="s">
        <v>59</v>
      </c>
      <c r="EE5" t="s">
        <v>80</v>
      </c>
      <c r="EF5" t="s">
        <v>2</v>
      </c>
      <c r="EG5" t="s">
        <v>81</v>
      </c>
      <c r="EH5" t="s">
        <v>82</v>
      </c>
      <c r="EI5" t="s">
        <v>59</v>
      </c>
      <c r="EP5" t="s">
        <v>80</v>
      </c>
      <c r="EQ5" t="s">
        <v>2</v>
      </c>
      <c r="ER5" t="s">
        <v>81</v>
      </c>
      <c r="ES5" t="s">
        <v>82</v>
      </c>
      <c r="ET5" t="s">
        <v>59</v>
      </c>
      <c r="FA5" t="s">
        <v>80</v>
      </c>
      <c r="FB5" t="s">
        <v>2</v>
      </c>
      <c r="FC5" t="s">
        <v>81</v>
      </c>
      <c r="FD5" t="s">
        <v>82</v>
      </c>
      <c r="FE5" t="s">
        <v>59</v>
      </c>
      <c r="FL5" t="s">
        <v>80</v>
      </c>
      <c r="FM5" t="s">
        <v>2</v>
      </c>
      <c r="FN5" t="s">
        <v>81</v>
      </c>
      <c r="FO5" t="s">
        <v>82</v>
      </c>
      <c r="FP5" t="s">
        <v>59</v>
      </c>
    </row>
    <row r="6" spans="1:177" x14ac:dyDescent="0.25">
      <c r="A6" t="s">
        <v>1005</v>
      </c>
      <c r="N6" t="s">
        <v>14</v>
      </c>
      <c r="O6">
        <f>$B$12</f>
        <v>7.3599999999999994</v>
      </c>
      <c r="P6">
        <f>Index!$C$69</f>
        <v>11.9580460758</v>
      </c>
      <c r="Q6">
        <f>P6</f>
        <v>11.9580460758</v>
      </c>
      <c r="R6">
        <f>O6*Q6</f>
        <v>88.01121911788799</v>
      </c>
      <c r="Y6" t="s">
        <v>14</v>
      </c>
      <c r="Z6">
        <f>$B$13</f>
        <v>14.310563498826877</v>
      </c>
      <c r="AA6">
        <f>Index!$C$69</f>
        <v>11.9580460758</v>
      </c>
      <c r="AB6">
        <f>AA6</f>
        <v>11.9580460758</v>
      </c>
      <c r="AC6">
        <f>Z6*AB6</f>
        <v>171.12637768963347</v>
      </c>
      <c r="AJ6" t="s">
        <v>14</v>
      </c>
      <c r="AK6">
        <f>$B$14</f>
        <v>28.226189861972866</v>
      </c>
      <c r="AL6">
        <f>Index!$C$69</f>
        <v>11.9580460758</v>
      </c>
      <c r="AM6">
        <f>AL6</f>
        <v>11.9580460758</v>
      </c>
      <c r="AN6">
        <f>AK6*AM6</f>
        <v>337.5300789137504</v>
      </c>
      <c r="AU6" t="s">
        <v>14</v>
      </c>
      <c r="AV6">
        <f>$B$15</f>
        <v>42.076839325333189</v>
      </c>
      <c r="AW6">
        <f>Index!$C$69</f>
        <v>11.9580460758</v>
      </c>
      <c r="AX6">
        <f>AW6</f>
        <v>11.9580460758</v>
      </c>
      <c r="AY6">
        <f>AV6*AX6</f>
        <v>503.15678337636768</v>
      </c>
      <c r="BF6" t="s">
        <v>14</v>
      </c>
      <c r="BG6">
        <f>$B$16</f>
        <v>69.68937490470698</v>
      </c>
      <c r="BH6">
        <f>Index!$C$69</f>
        <v>11.9580460758</v>
      </c>
      <c r="BI6">
        <f>BH6</f>
        <v>11.9580460758</v>
      </c>
      <c r="BJ6">
        <f>BG6*BI6</f>
        <v>833.34875610418635</v>
      </c>
      <c r="BQ6" t="s">
        <v>14</v>
      </c>
      <c r="BR6">
        <f>$B$17</f>
        <v>104.11909963741726</v>
      </c>
      <c r="BS6">
        <f>Index!$C$69</f>
        <v>11.9580460758</v>
      </c>
      <c r="BT6">
        <f>BS6</f>
        <v>11.9580460758</v>
      </c>
      <c r="BU6">
        <f>BR6*BT6</f>
        <v>1245.0609908350468</v>
      </c>
      <c r="CB6" t="s">
        <v>14</v>
      </c>
      <c r="CC6">
        <f>$B$18</f>
        <v>138.49564352719247</v>
      </c>
      <c r="CD6">
        <f>Index!$C$69</f>
        <v>11.9580460758</v>
      </c>
      <c r="CE6">
        <f>CD6</f>
        <v>11.9580460758</v>
      </c>
      <c r="CF6">
        <f>CC6*CE6</f>
        <v>1656.1372865957396</v>
      </c>
      <c r="CX6" t="s">
        <v>14</v>
      </c>
      <c r="CY6">
        <f>$B$19</f>
        <v>275.74238617305031</v>
      </c>
      <c r="CZ6">
        <f>Index!$C$69</f>
        <v>11.9580460758</v>
      </c>
      <c r="DA6">
        <f>CZ6</f>
        <v>11.9580460758</v>
      </c>
      <c r="DB6">
        <f>CY6*DA6</f>
        <v>3297.3401589083724</v>
      </c>
      <c r="DI6" t="s">
        <v>14</v>
      </c>
      <c r="DJ6">
        <f>$B$20</f>
        <v>412.78365382028909</v>
      </c>
      <c r="DK6">
        <f>Index!$C$69</f>
        <v>11.9580460758</v>
      </c>
      <c r="DL6">
        <f>DK6</f>
        <v>11.9580460758</v>
      </c>
      <c r="DM6">
        <f>DJ6*DL6</f>
        <v>4936.0859517200934</v>
      </c>
      <c r="DT6" t="s">
        <v>14</v>
      </c>
      <c r="DU6">
        <f>$B$21</f>
        <v>549.71855978165775</v>
      </c>
      <c r="DV6">
        <f>Index!$C$69</f>
        <v>11.9580460758</v>
      </c>
      <c r="DW6">
        <f>DV6</f>
        <v>11.9580460758</v>
      </c>
      <c r="DX6">
        <f>DU6*DW6</f>
        <v>6573.5598665914804</v>
      </c>
      <c r="EE6" t="s">
        <v>14</v>
      </c>
      <c r="EF6">
        <f>$B$22</f>
        <v>686.58549476440976</v>
      </c>
      <c r="EG6">
        <f>Index!$C$69</f>
        <v>11.9580460758</v>
      </c>
      <c r="EH6">
        <f>EG6</f>
        <v>11.9580460758</v>
      </c>
      <c r="EI6">
        <f>EF6*EH6</f>
        <v>8210.2209813687514</v>
      </c>
      <c r="EP6" t="s">
        <v>14</v>
      </c>
      <c r="EQ6">
        <f>$B$23</f>
        <v>823.40414786048905</v>
      </c>
      <c r="ER6">
        <f>Index!$C$69</f>
        <v>11.9580460758</v>
      </c>
      <c r="ES6">
        <f>ER6</f>
        <v>11.9580460758</v>
      </c>
      <c r="ET6">
        <f>EQ6*ES6</f>
        <v>9846.3047391205637</v>
      </c>
      <c r="FA6" t="s">
        <v>14</v>
      </c>
      <c r="FB6">
        <f>$B$24</f>
        <v>1096.939317800646</v>
      </c>
      <c r="FC6">
        <f>Index!$C$69</f>
        <v>11.9580460758</v>
      </c>
      <c r="FD6">
        <f>FC6</f>
        <v>11.9580460758</v>
      </c>
      <c r="FE6">
        <f>FB6*FD6</f>
        <v>13117.250904616745</v>
      </c>
      <c r="FL6" t="s">
        <v>14</v>
      </c>
      <c r="FM6">
        <f>$B$25</f>
        <v>1370.378362260996</v>
      </c>
      <c r="FN6">
        <f>Index!$C$69</f>
        <v>11.9580460758</v>
      </c>
      <c r="FO6">
        <f>FN6</f>
        <v>11.9580460758</v>
      </c>
      <c r="FP6">
        <f>FM6*FO6</f>
        <v>16387.047597196335</v>
      </c>
    </row>
    <row r="7" spans="1:177" x14ac:dyDescent="0.25">
      <c r="A7" t="s">
        <v>1006</v>
      </c>
      <c r="N7" t="s">
        <v>112</v>
      </c>
      <c r="O7">
        <f>$I$12</f>
        <v>22.6</v>
      </c>
      <c r="P7">
        <f>Index!$C$57</f>
        <v>2.0490500744999993</v>
      </c>
      <c r="Q7">
        <f>P7</f>
        <v>2.0490500744999993</v>
      </c>
      <c r="R7">
        <f t="shared" ref="R7:R8" si="0">O7*Q7</f>
        <v>46.308531683699989</v>
      </c>
      <c r="Y7" t="s">
        <v>112</v>
      </c>
      <c r="Z7">
        <f>$I$13</f>
        <v>34.95188623284114</v>
      </c>
      <c r="AA7">
        <f>Index!$C$57</f>
        <v>2.0490500744999993</v>
      </c>
      <c r="AB7">
        <f>AA7</f>
        <v>2.0490500744999993</v>
      </c>
      <c r="AC7">
        <f t="shared" ref="AC7:AC8" si="1">Z7*AB7</f>
        <v>71.618165089318637</v>
      </c>
      <c r="AJ7" t="s">
        <v>112</v>
      </c>
      <c r="AK7">
        <f>$I$14</f>
        <v>55.355909852531951</v>
      </c>
      <c r="AL7">
        <f>Index!$C$57</f>
        <v>2.0490500744999993</v>
      </c>
      <c r="AM7">
        <f>AL7</f>
        <v>2.0490500744999993</v>
      </c>
      <c r="AN7">
        <f t="shared" ref="AN7:AN8" si="2">AK7*AM7</f>
        <v>113.42703120734583</v>
      </c>
      <c r="AU7" t="s">
        <v>112</v>
      </c>
      <c r="AV7">
        <f>$I$15</f>
        <v>73.550718879510399</v>
      </c>
      <c r="AW7">
        <f>Index!$C$57</f>
        <v>2.0490500744999993</v>
      </c>
      <c r="AX7">
        <f>AW7</f>
        <v>2.0490500744999993</v>
      </c>
      <c r="AY7">
        <f t="shared" ref="AY7:AY8" si="3">AV7*AX7</f>
        <v>150.7091059995893</v>
      </c>
      <c r="BF7" t="s">
        <v>112</v>
      </c>
      <c r="BG7">
        <f>$I$16</f>
        <v>106.92238312367434</v>
      </c>
      <c r="BH7">
        <f>Index!$C$57</f>
        <v>2.0490500744999993</v>
      </c>
      <c r="BI7">
        <f>BH7</f>
        <v>2.0490500744999993</v>
      </c>
      <c r="BJ7">
        <f t="shared" ref="BJ7:BJ8" si="4">BG7*BI7</f>
        <v>219.08931710528236</v>
      </c>
      <c r="BQ7" t="s">
        <v>112</v>
      </c>
      <c r="BR7">
        <f>$I$17</f>
        <v>145.71484221764152</v>
      </c>
      <c r="BS7">
        <f>Index!$C$57</f>
        <v>2.0490500744999993</v>
      </c>
      <c r="BT7">
        <f>BS7</f>
        <v>2.0490500744999993</v>
      </c>
      <c r="BU7">
        <f t="shared" ref="BU7:BU8" si="5">BR7*BT7</f>
        <v>298.57700830181398</v>
      </c>
      <c r="CB7" t="s">
        <v>112</v>
      </c>
      <c r="CC7">
        <f>$I$18</f>
        <v>182.69915265181663</v>
      </c>
      <c r="CD7">
        <f>Index!$C$57</f>
        <v>2.0490500744999993</v>
      </c>
      <c r="CE7">
        <f>CD7</f>
        <v>2.0490500744999993</v>
      </c>
      <c r="CF7">
        <f t="shared" ref="CF7:CF8" si="6">CC7*CE7</f>
        <v>374.35971235229164</v>
      </c>
      <c r="CX7" t="s">
        <v>112</v>
      </c>
      <c r="CY7">
        <f>$I$19</f>
        <v>321.81567533825779</v>
      </c>
      <c r="CZ7">
        <f>Index!$C$57</f>
        <v>2.0490500744999993</v>
      </c>
      <c r="DA7">
        <f>CZ7</f>
        <v>2.0490500744999993</v>
      </c>
      <c r="DB7">
        <f t="shared" ref="DB7:DB8" si="7">CY7*DA7</f>
        <v>659.4164335271247</v>
      </c>
      <c r="DI7" t="s">
        <v>112</v>
      </c>
      <c r="DJ7">
        <f>$I$20</f>
        <v>453.94604807164671</v>
      </c>
      <c r="DK7">
        <f>Index!$C$57</f>
        <v>2.0490500744999993</v>
      </c>
      <c r="DL7">
        <f>DK7</f>
        <v>2.0490500744999993</v>
      </c>
      <c r="DM7">
        <f t="shared" ref="DM7:DM8" si="8">DJ7*DL7</f>
        <v>930.15818362018797</v>
      </c>
      <c r="DT7" t="s">
        <v>112</v>
      </c>
      <c r="DU7">
        <f>$I$21</f>
        <v>582.46012348545139</v>
      </c>
      <c r="DV7">
        <f>Index!$C$57</f>
        <v>2.0490500744999993</v>
      </c>
      <c r="DW7">
        <f>DV7</f>
        <v>2.0490500744999993</v>
      </c>
      <c r="DX7">
        <f t="shared" ref="DX7:DX8" si="9">DU7*DW7</f>
        <v>1193.4899594211429</v>
      </c>
      <c r="EE7" t="s">
        <v>112</v>
      </c>
      <c r="EF7">
        <f>$I$22</f>
        <v>708.66318562629613</v>
      </c>
      <c r="EG7">
        <f>Index!$C$57</f>
        <v>2.0490500744999993</v>
      </c>
      <c r="EH7">
        <f>EG7</f>
        <v>2.0490500744999993</v>
      </c>
      <c r="EI7">
        <f t="shared" ref="EI7:EI8" si="10">EF7*EH7</f>
        <v>1452.086353302969</v>
      </c>
      <c r="EP7" t="s">
        <v>112</v>
      </c>
      <c r="EQ7">
        <f>$I$23</f>
        <v>833.22466362026626</v>
      </c>
      <c r="ER7">
        <f>Index!$C$57</f>
        <v>2.0490500744999993</v>
      </c>
      <c r="ES7">
        <f>ER7</f>
        <v>2.0490500744999993</v>
      </c>
      <c r="ET7">
        <f t="shared" ref="ET7:ET8" si="11">EQ7*ES7</f>
        <v>1707.3190590663435</v>
      </c>
      <c r="FA7" t="s">
        <v>112</v>
      </c>
      <c r="FB7">
        <f>$I$24</f>
        <v>1078.8749870401518</v>
      </c>
      <c r="FC7">
        <f>Index!$C$57</f>
        <v>2.0490500744999993</v>
      </c>
      <c r="FD7">
        <f>FC7</f>
        <v>2.0490500744999993</v>
      </c>
      <c r="FE7">
        <f t="shared" ref="FE7:FE8" si="12">FB7*FD7</f>
        <v>2210.6688725708091</v>
      </c>
      <c r="FL7" t="s">
        <v>112</v>
      </c>
      <c r="FM7">
        <f>$I$25</f>
        <v>1321.2570441465932</v>
      </c>
      <c r="FN7">
        <f>Index!$C$57</f>
        <v>2.0490500744999993</v>
      </c>
      <c r="FO7">
        <f>FN7</f>
        <v>2.0490500744999993</v>
      </c>
      <c r="FP7">
        <f t="shared" ref="FP7:FP8" si="13">FM7*FO7</f>
        <v>2707.3218447422255</v>
      </c>
    </row>
    <row r="8" spans="1:177" ht="15.75" thickBot="1" x14ac:dyDescent="0.3">
      <c r="N8" t="s">
        <v>775</v>
      </c>
      <c r="O8">
        <f>$J$12</f>
        <v>22.6</v>
      </c>
      <c r="P8">
        <f>Index!$C$59</f>
        <v>5.201434804499999</v>
      </c>
      <c r="Q8">
        <f>P8</f>
        <v>5.201434804499999</v>
      </c>
      <c r="R8">
        <f t="shared" si="0"/>
        <v>117.55242658169999</v>
      </c>
      <c r="Y8" t="s">
        <v>775</v>
      </c>
      <c r="Z8">
        <f>Z7</f>
        <v>34.95188623284114</v>
      </c>
      <c r="AA8">
        <f>Index!$C$59</f>
        <v>5.201434804499999</v>
      </c>
      <c r="AB8">
        <f>AA8</f>
        <v>5.201434804499999</v>
      </c>
      <c r="AC8">
        <f t="shared" si="1"/>
        <v>181.79995753442427</v>
      </c>
      <c r="AJ8" t="s">
        <v>775</v>
      </c>
      <c r="AK8">
        <f>AK7</f>
        <v>55.355909852531951</v>
      </c>
      <c r="AL8">
        <f>Index!$C$59</f>
        <v>5.201434804499999</v>
      </c>
      <c r="AM8">
        <f>AL8</f>
        <v>5.201434804499999</v>
      </c>
      <c r="AN8">
        <f t="shared" si="2"/>
        <v>287.93015614172407</v>
      </c>
      <c r="AU8" t="s">
        <v>775</v>
      </c>
      <c r="AV8">
        <f>AV7</f>
        <v>73.550718879510399</v>
      </c>
      <c r="AW8">
        <f>Index!$C$59</f>
        <v>5.201434804499999</v>
      </c>
      <c r="AX8">
        <f>AW8</f>
        <v>5.201434804499999</v>
      </c>
      <c r="AY8">
        <f t="shared" si="3"/>
        <v>382.56926907588053</v>
      </c>
      <c r="BF8" t="s">
        <v>775</v>
      </c>
      <c r="BG8">
        <f>BG7</f>
        <v>106.92238312367434</v>
      </c>
      <c r="BH8">
        <f>Index!$C$59</f>
        <v>5.201434804499999</v>
      </c>
      <c r="BI8">
        <f>BH8</f>
        <v>5.201434804499999</v>
      </c>
      <c r="BJ8">
        <f t="shared" si="4"/>
        <v>556.14980495956297</v>
      </c>
      <c r="BQ8" t="s">
        <v>775</v>
      </c>
      <c r="BR8">
        <f>BR7</f>
        <v>145.71484221764152</v>
      </c>
      <c r="BS8">
        <f>Index!$C$59</f>
        <v>5.201434804499999</v>
      </c>
      <c r="BT8">
        <f>BS8</f>
        <v>5.201434804499999</v>
      </c>
      <c r="BU8">
        <f t="shared" si="5"/>
        <v>757.92625184306644</v>
      </c>
      <c r="CB8" t="s">
        <v>775</v>
      </c>
      <c r="CC8">
        <f>CC7</f>
        <v>182.69915265181663</v>
      </c>
      <c r="CD8">
        <f>Index!$C$59</f>
        <v>5.201434804499999</v>
      </c>
      <c r="CE8">
        <f>CD8</f>
        <v>5.201434804499999</v>
      </c>
      <c r="CF8">
        <f t="shared" si="6"/>
        <v>950.29773135581729</v>
      </c>
      <c r="CX8" t="s">
        <v>775</v>
      </c>
      <c r="CY8">
        <f>CY7</f>
        <v>321.81567533825779</v>
      </c>
      <c r="CZ8">
        <f>Index!$C$59</f>
        <v>5.201434804499999</v>
      </c>
      <c r="DA8">
        <f>CZ8</f>
        <v>5.201434804499999</v>
      </c>
      <c r="DB8">
        <f t="shared" si="7"/>
        <v>1673.9032543380861</v>
      </c>
      <c r="DI8" t="s">
        <v>775</v>
      </c>
      <c r="DJ8">
        <f>DJ7</f>
        <v>453.94604807164671</v>
      </c>
      <c r="DK8">
        <f>Index!$C$59</f>
        <v>5.201434804499999</v>
      </c>
      <c r="DL8">
        <f>DK8</f>
        <v>5.201434804499999</v>
      </c>
      <c r="DM8">
        <f t="shared" si="8"/>
        <v>2361.1707738050927</v>
      </c>
      <c r="DT8" t="s">
        <v>775</v>
      </c>
      <c r="DU8">
        <f>DU7</f>
        <v>582.46012348545139</v>
      </c>
      <c r="DV8">
        <f>Index!$C$59</f>
        <v>5.201434804499999</v>
      </c>
      <c r="DW8">
        <f>DV8</f>
        <v>5.201434804499999</v>
      </c>
      <c r="DX8">
        <f t="shared" si="9"/>
        <v>3029.6283585305941</v>
      </c>
      <c r="EE8" t="s">
        <v>775</v>
      </c>
      <c r="EF8">
        <f>EF7</f>
        <v>708.66318562629613</v>
      </c>
      <c r="EG8">
        <f>Index!$C$59</f>
        <v>5.201434804499999</v>
      </c>
      <c r="EH8">
        <f>EG8</f>
        <v>5.201434804499999</v>
      </c>
      <c r="EI8">
        <f t="shared" si="10"/>
        <v>3686.0653583844601</v>
      </c>
      <c r="EP8" t="s">
        <v>775</v>
      </c>
      <c r="EQ8">
        <f>EQ7</f>
        <v>833.22466362026626</v>
      </c>
      <c r="ER8">
        <f>Index!$C$59</f>
        <v>5.201434804499999</v>
      </c>
      <c r="ES8">
        <f>ER8</f>
        <v>5.201434804499999</v>
      </c>
      <c r="ET8">
        <f t="shared" si="11"/>
        <v>4333.9637653222571</v>
      </c>
      <c r="FA8" t="s">
        <v>775</v>
      </c>
      <c r="FB8">
        <f>FB7</f>
        <v>1078.8749870401518</v>
      </c>
      <c r="FC8">
        <f>Index!$C$59</f>
        <v>5.201434804499999</v>
      </c>
      <c r="FD8">
        <f>FC8</f>
        <v>5.201434804499999</v>
      </c>
      <c r="FE8">
        <f t="shared" si="12"/>
        <v>5611.6979072951308</v>
      </c>
      <c r="FL8" t="s">
        <v>775</v>
      </c>
      <c r="FM8">
        <f>FM7</f>
        <v>1321.2570441465932</v>
      </c>
      <c r="FN8">
        <f>Index!$C$59</f>
        <v>5.201434804499999</v>
      </c>
      <c r="FO8">
        <f>FN8</f>
        <v>5.201434804499999</v>
      </c>
      <c r="FP8">
        <f t="shared" si="13"/>
        <v>6872.4323751148813</v>
      </c>
    </row>
    <row r="9" spans="1:177" ht="15.75" thickBot="1" x14ac:dyDescent="0.3">
      <c r="A9" s="99" t="s">
        <v>1085</v>
      </c>
      <c r="C9" t="s">
        <v>1013</v>
      </c>
      <c r="Q9" s="10" t="s">
        <v>58</v>
      </c>
      <c r="R9" s="10">
        <f>SUM(R6:R8)</f>
        <v>251.87217738328798</v>
      </c>
      <c r="AB9" s="10" t="s">
        <v>58</v>
      </c>
      <c r="AC9" s="10">
        <f>SUM(AC6:AC8)</f>
        <v>424.54450031337637</v>
      </c>
      <c r="AM9" s="10" t="s">
        <v>58</v>
      </c>
      <c r="AN9" s="10">
        <f>SUM(AN6:AN8)</f>
        <v>738.88726626282028</v>
      </c>
      <c r="AX9" s="10" t="s">
        <v>58</v>
      </c>
      <c r="AY9" s="10">
        <f>SUM(AY6:AY8)</f>
        <v>1036.4351584518374</v>
      </c>
      <c r="BI9" s="10" t="s">
        <v>58</v>
      </c>
      <c r="BJ9" s="10">
        <f>SUM(BJ6:BJ8)</f>
        <v>1608.5878781690317</v>
      </c>
      <c r="BT9" s="10" t="s">
        <v>58</v>
      </c>
      <c r="BU9" s="10">
        <f>SUM(BU6:BU8)</f>
        <v>2301.5642509799272</v>
      </c>
      <c r="CE9" s="10" t="s">
        <v>58</v>
      </c>
      <c r="CF9" s="10">
        <f>SUM(CF6:CF8)</f>
        <v>2980.7947303038486</v>
      </c>
      <c r="DA9" s="10" t="s">
        <v>58</v>
      </c>
      <c r="DB9" s="10">
        <f>SUM(DB6:DB8)</f>
        <v>5630.659846773583</v>
      </c>
      <c r="DL9" s="10" t="s">
        <v>58</v>
      </c>
      <c r="DM9" s="10">
        <f>SUM(DM6:DM8)</f>
        <v>8227.4149091453728</v>
      </c>
      <c r="DW9" s="10" t="s">
        <v>58</v>
      </c>
      <c r="DX9" s="10">
        <f>SUM(DX6:DX8)</f>
        <v>10796.678184543218</v>
      </c>
      <c r="EH9" s="10" t="s">
        <v>58</v>
      </c>
      <c r="EI9" s="10">
        <f>SUM(EI6:EI8)</f>
        <v>13348.372693056181</v>
      </c>
      <c r="ES9" s="10" t="s">
        <v>58</v>
      </c>
      <c r="ET9" s="10">
        <f>SUM(ET6:ET8)</f>
        <v>15887.587563509165</v>
      </c>
      <c r="FD9" s="10" t="s">
        <v>58</v>
      </c>
      <c r="FE9" s="10">
        <f>SUM(FE6:FE8)</f>
        <v>20939.617684482684</v>
      </c>
      <c r="FO9" s="10" t="s">
        <v>58</v>
      </c>
      <c r="FP9" s="10">
        <f>SUM(FP6:FP8)</f>
        <v>25966.801817053441</v>
      </c>
    </row>
    <row r="11" spans="1:177" x14ac:dyDescent="0.25">
      <c r="A11" t="str">
        <f>'ABR Design'!AA74</f>
        <v>PE</v>
      </c>
      <c r="B11" t="str">
        <f>'ABR Design'!AB74</f>
        <v>Excavation</v>
      </c>
      <c r="C11" t="str">
        <f>'ABR Design'!AC74</f>
        <v>Tank Connector</v>
      </c>
      <c r="D11" t="str">
        <f>'ABR Design'!AD74</f>
        <v>Bell Siphon</v>
      </c>
      <c r="E11" t="str">
        <f>'ABR Design'!AE74</f>
        <v>Fence Post 2.4m</v>
      </c>
      <c r="F11" t="str">
        <f>'ABR Design'!AF74</f>
        <v>Fence Post 3.1m</v>
      </c>
      <c r="G11" t="str">
        <f>'ABR Design'!AG74</f>
        <v>Fence Panel 300mm</v>
      </c>
      <c r="H11" t="str">
        <f>'ABR Design'!AH74</f>
        <v>Fence Panel 150mm</v>
      </c>
      <c r="I11" t="str">
        <f>'ABR Design'!AI74</f>
        <v>Geotextile</v>
      </c>
      <c r="J11" t="str">
        <f>'ABR Design'!AJ74</f>
        <v>Imperemable Liner</v>
      </c>
      <c r="K11" t="str">
        <f>'ABR Design'!AK74</f>
        <v>Gas Cover</v>
      </c>
    </row>
    <row r="12" spans="1:177" x14ac:dyDescent="0.25">
      <c r="A12">
        <f>'ABR Design'!AA75</f>
        <v>5</v>
      </c>
      <c r="B12">
        <f>'ABR Design'!AB75</f>
        <v>7.3599999999999994</v>
      </c>
      <c r="C12">
        <f>'ABR Design'!AC75</f>
        <v>2</v>
      </c>
      <c r="D12">
        <f>'ABR Design'!AD75</f>
        <v>1</v>
      </c>
      <c r="E12">
        <f>'ABR Design'!AE75</f>
        <v>0</v>
      </c>
      <c r="F12">
        <f>'ABR Design'!AF75</f>
        <v>8</v>
      </c>
      <c r="G12">
        <f>'ABR Design'!AG75</f>
        <v>24</v>
      </c>
      <c r="H12">
        <f>'ABR Design'!AH75</f>
        <v>4</v>
      </c>
      <c r="I12">
        <f>'ABR Design'!AI75</f>
        <v>22.6</v>
      </c>
      <c r="J12">
        <f>'ABR Design'!AJ75</f>
        <v>22.6</v>
      </c>
      <c r="K12">
        <f>'ABR Design'!AK75</f>
        <v>5.497787143782138</v>
      </c>
      <c r="N12" s="10" t="s">
        <v>1088</v>
      </c>
      <c r="Y12" s="10" t="s">
        <v>1088</v>
      </c>
      <c r="AJ12" s="10" t="s">
        <v>1088</v>
      </c>
      <c r="AU12" s="10" t="s">
        <v>1088</v>
      </c>
      <c r="BF12" s="10" t="s">
        <v>1088</v>
      </c>
      <c r="BQ12" s="10" t="s">
        <v>1088</v>
      </c>
      <c r="CB12" s="10" t="s">
        <v>1088</v>
      </c>
      <c r="CX12" s="10" t="s">
        <v>1088</v>
      </c>
      <c r="DI12" s="10" t="s">
        <v>1088</v>
      </c>
      <c r="DT12" s="10" t="s">
        <v>1088</v>
      </c>
      <c r="EE12" s="10" t="s">
        <v>1088</v>
      </c>
      <c r="EP12" s="10" t="s">
        <v>1088</v>
      </c>
      <c r="FA12" s="10" t="s">
        <v>1088</v>
      </c>
      <c r="FL12" s="10" t="s">
        <v>1088</v>
      </c>
    </row>
    <row r="13" spans="1:177" x14ac:dyDescent="0.25">
      <c r="A13">
        <f>'ABR Design'!AA76</f>
        <v>10</v>
      </c>
      <c r="B13">
        <f>'ABR Design'!AB76</f>
        <v>14.310563498826877</v>
      </c>
      <c r="C13">
        <f>'ABR Design'!AC76</f>
        <v>2</v>
      </c>
      <c r="D13">
        <f>'ABR Design'!AD76</f>
        <v>1</v>
      </c>
      <c r="E13">
        <f>'ABR Design'!AE76</f>
        <v>0</v>
      </c>
      <c r="F13">
        <f>'ABR Design'!AF76</f>
        <v>8</v>
      </c>
      <c r="G13">
        <f>'ABR Design'!AG76</f>
        <v>28</v>
      </c>
      <c r="H13">
        <f>'ABR Design'!AH76</f>
        <v>4</v>
      </c>
      <c r="I13">
        <f>'ABR Design'!AI76</f>
        <v>34.95188623284114</v>
      </c>
      <c r="J13">
        <f>'ABR Design'!AJ76</f>
        <v>34.95188623284114</v>
      </c>
      <c r="K13">
        <f>'ABR Design'!AK76</f>
        <v>9.9959766250584323</v>
      </c>
      <c r="N13" t="s">
        <v>80</v>
      </c>
      <c r="O13" t="s">
        <v>2</v>
      </c>
      <c r="P13" t="s">
        <v>81</v>
      </c>
      <c r="Q13" t="s">
        <v>82</v>
      </c>
      <c r="R13" t="s">
        <v>59</v>
      </c>
      <c r="Y13" t="s">
        <v>80</v>
      </c>
      <c r="Z13" t="s">
        <v>2</v>
      </c>
      <c r="AA13" t="s">
        <v>81</v>
      </c>
      <c r="AB13" t="s">
        <v>82</v>
      </c>
      <c r="AC13" t="s">
        <v>59</v>
      </c>
      <c r="AJ13" t="s">
        <v>80</v>
      </c>
      <c r="AK13" t="s">
        <v>2</v>
      </c>
      <c r="AL13" t="s">
        <v>81</v>
      </c>
      <c r="AM13" t="s">
        <v>82</v>
      </c>
      <c r="AN13" t="s">
        <v>59</v>
      </c>
      <c r="AU13" t="s">
        <v>80</v>
      </c>
      <c r="AV13" t="s">
        <v>2</v>
      </c>
      <c r="AW13" t="s">
        <v>81</v>
      </c>
      <c r="AX13" t="s">
        <v>82</v>
      </c>
      <c r="AY13" t="s">
        <v>59</v>
      </c>
      <c r="BF13" t="s">
        <v>80</v>
      </c>
      <c r="BG13" t="s">
        <v>2</v>
      </c>
      <c r="BH13" t="s">
        <v>81</v>
      </c>
      <c r="BI13" t="s">
        <v>82</v>
      </c>
      <c r="BJ13" t="s">
        <v>59</v>
      </c>
      <c r="BQ13" t="s">
        <v>80</v>
      </c>
      <c r="BR13" t="s">
        <v>2</v>
      </c>
      <c r="BS13" t="s">
        <v>81</v>
      </c>
      <c r="BT13" t="s">
        <v>82</v>
      </c>
      <c r="BU13" t="s">
        <v>59</v>
      </c>
      <c r="CB13" t="s">
        <v>80</v>
      </c>
      <c r="CC13" t="s">
        <v>2</v>
      </c>
      <c r="CD13" t="s">
        <v>81</v>
      </c>
      <c r="CE13" t="s">
        <v>82</v>
      </c>
      <c r="CF13" t="s">
        <v>59</v>
      </c>
      <c r="CX13" t="s">
        <v>80</v>
      </c>
      <c r="CY13" t="s">
        <v>2</v>
      </c>
      <c r="CZ13" t="s">
        <v>81</v>
      </c>
      <c r="DA13" t="s">
        <v>82</v>
      </c>
      <c r="DB13" t="s">
        <v>59</v>
      </c>
      <c r="DI13" t="s">
        <v>80</v>
      </c>
      <c r="DJ13" t="s">
        <v>2</v>
      </c>
      <c r="DK13" t="s">
        <v>81</v>
      </c>
      <c r="DL13" t="s">
        <v>82</v>
      </c>
      <c r="DM13" t="s">
        <v>59</v>
      </c>
      <c r="DT13" t="s">
        <v>80</v>
      </c>
      <c r="DU13" t="s">
        <v>2</v>
      </c>
      <c r="DV13" t="s">
        <v>81</v>
      </c>
      <c r="DW13" t="s">
        <v>82</v>
      </c>
      <c r="DX13" t="s">
        <v>59</v>
      </c>
      <c r="EE13" t="s">
        <v>80</v>
      </c>
      <c r="EF13" t="s">
        <v>2</v>
      </c>
      <c r="EG13" t="s">
        <v>81</v>
      </c>
      <c r="EH13" t="s">
        <v>82</v>
      </c>
      <c r="EI13" t="s">
        <v>59</v>
      </c>
      <c r="EP13" t="s">
        <v>80</v>
      </c>
      <c r="EQ13" t="s">
        <v>2</v>
      </c>
      <c r="ER13" t="s">
        <v>81</v>
      </c>
      <c r="ES13" t="s">
        <v>82</v>
      </c>
      <c r="ET13" t="s">
        <v>59</v>
      </c>
      <c r="FA13" t="s">
        <v>80</v>
      </c>
      <c r="FB13" t="s">
        <v>2</v>
      </c>
      <c r="FC13" t="s">
        <v>81</v>
      </c>
      <c r="FD13" t="s">
        <v>82</v>
      </c>
      <c r="FE13" t="s">
        <v>59</v>
      </c>
      <c r="FL13" t="s">
        <v>80</v>
      </c>
      <c r="FM13" t="s">
        <v>2</v>
      </c>
      <c r="FN13" t="s">
        <v>81</v>
      </c>
      <c r="FO13" t="s">
        <v>82</v>
      </c>
      <c r="FP13" t="s">
        <v>59</v>
      </c>
    </row>
    <row r="14" spans="1:177" x14ac:dyDescent="0.25">
      <c r="A14">
        <f>'ABR Design'!AA77</f>
        <v>20</v>
      </c>
      <c r="B14">
        <f>'ABR Design'!AB77</f>
        <v>28.226189861972866</v>
      </c>
      <c r="C14">
        <f>'ABR Design'!AC77</f>
        <v>2</v>
      </c>
      <c r="D14">
        <f>'ABR Design'!AD77</f>
        <v>1</v>
      </c>
      <c r="E14">
        <f>'ABR Design'!AE77</f>
        <v>0</v>
      </c>
      <c r="F14">
        <f>'ABR Design'!AF77</f>
        <v>12</v>
      </c>
      <c r="G14">
        <f>'ABR Design'!AG77</f>
        <v>56</v>
      </c>
      <c r="H14">
        <f>'ABR Design'!AH77</f>
        <v>8</v>
      </c>
      <c r="I14">
        <f>'ABR Design'!AI77</f>
        <v>55.355909852531951</v>
      </c>
      <c r="J14">
        <f>'ABR Design'!AJ77</f>
        <v>55.355909852531951</v>
      </c>
      <c r="K14">
        <f>'ABR Design'!AK77</f>
        <v>19.991953250116865</v>
      </c>
      <c r="N14" t="str">
        <f>$F$11</f>
        <v>Fence Post 3.1m</v>
      </c>
      <c r="O14">
        <f>$F$12</f>
        <v>8</v>
      </c>
      <c r="Q14">
        <f>Index!$C$137</f>
        <v>24.4</v>
      </c>
      <c r="R14">
        <f>O14*Q14</f>
        <v>195.2</v>
      </c>
      <c r="Y14" t="str">
        <f>$F$11</f>
        <v>Fence Post 3.1m</v>
      </c>
      <c r="Z14">
        <f>$F$13</f>
        <v>8</v>
      </c>
      <c r="AB14">
        <f>Index!$C$137</f>
        <v>24.4</v>
      </c>
      <c r="AC14">
        <f>Z14*AB14</f>
        <v>195.2</v>
      </c>
      <c r="AJ14" t="str">
        <f>$F$11</f>
        <v>Fence Post 3.1m</v>
      </c>
      <c r="AK14">
        <f>$F$14</f>
        <v>12</v>
      </c>
      <c r="AM14">
        <f>Index!$C$137</f>
        <v>24.4</v>
      </c>
      <c r="AN14">
        <f>AK14*AM14</f>
        <v>292.79999999999995</v>
      </c>
      <c r="AU14" t="str">
        <f>$F$11</f>
        <v>Fence Post 3.1m</v>
      </c>
      <c r="AV14">
        <f>$F$15</f>
        <v>12</v>
      </c>
      <c r="AX14">
        <f>Index!$C$137</f>
        <v>24.4</v>
      </c>
      <c r="AY14">
        <f>AV14*AX14</f>
        <v>292.79999999999995</v>
      </c>
      <c r="BF14" t="str">
        <f>$F$11</f>
        <v>Fence Post 3.1m</v>
      </c>
      <c r="BG14">
        <f>$F$16</f>
        <v>12</v>
      </c>
      <c r="BI14">
        <f>Index!$C$137</f>
        <v>24.4</v>
      </c>
      <c r="BJ14">
        <f>BG14*BI14</f>
        <v>292.79999999999995</v>
      </c>
      <c r="BQ14" t="str">
        <f>$F$11</f>
        <v>Fence Post 3.1m</v>
      </c>
      <c r="BR14">
        <f>$F$17</f>
        <v>16</v>
      </c>
      <c r="BT14">
        <f>Index!$C$137</f>
        <v>24.4</v>
      </c>
      <c r="BU14">
        <f>BR14*BT14</f>
        <v>390.4</v>
      </c>
      <c r="CB14" t="str">
        <f>$F$11</f>
        <v>Fence Post 3.1m</v>
      </c>
      <c r="CC14">
        <f>$F$18</f>
        <v>16</v>
      </c>
      <c r="CE14">
        <f>Index!$C$137</f>
        <v>24.4</v>
      </c>
      <c r="CF14">
        <f>CC14*CE14</f>
        <v>390.4</v>
      </c>
      <c r="CX14" t="str">
        <f>$F$11</f>
        <v>Fence Post 3.1m</v>
      </c>
      <c r="CY14">
        <f>$F$19</f>
        <v>20</v>
      </c>
      <c r="DA14">
        <f>Index!$C$137</f>
        <v>24.4</v>
      </c>
      <c r="DB14">
        <f>CY14*DA14</f>
        <v>488</v>
      </c>
      <c r="DI14" t="str">
        <f>$F$11</f>
        <v>Fence Post 3.1m</v>
      </c>
      <c r="DJ14">
        <f>$F$20</f>
        <v>24</v>
      </c>
      <c r="DL14">
        <f>Index!$C$137</f>
        <v>24.4</v>
      </c>
      <c r="DM14">
        <f>DJ14*DL14</f>
        <v>585.59999999999991</v>
      </c>
      <c r="DT14" t="str">
        <f>$F$11</f>
        <v>Fence Post 3.1m</v>
      </c>
      <c r="DU14">
        <f>$F$21</f>
        <v>24</v>
      </c>
      <c r="DW14">
        <f>Index!$C$137</f>
        <v>24.4</v>
      </c>
      <c r="DX14">
        <f>DU14*DW14</f>
        <v>585.59999999999991</v>
      </c>
      <c r="EE14" t="str">
        <f>$F$11</f>
        <v>Fence Post 3.1m</v>
      </c>
      <c r="EF14">
        <f>$F$22</f>
        <v>28</v>
      </c>
      <c r="EH14">
        <f>Index!$C$137</f>
        <v>24.4</v>
      </c>
      <c r="EI14">
        <f>EF14*EH14</f>
        <v>683.19999999999993</v>
      </c>
      <c r="EP14" t="str">
        <f>$F$11</f>
        <v>Fence Post 3.1m</v>
      </c>
      <c r="EQ14">
        <f>$F$23</f>
        <v>28</v>
      </c>
      <c r="ES14">
        <f>Index!$C$137</f>
        <v>24.4</v>
      </c>
      <c r="ET14">
        <f>EQ14*ES14</f>
        <v>683.19999999999993</v>
      </c>
      <c r="FA14" t="str">
        <f>$F$11</f>
        <v>Fence Post 3.1m</v>
      </c>
      <c r="FB14">
        <f>$F$24</f>
        <v>32</v>
      </c>
      <c r="FD14">
        <f>Index!$C$137</f>
        <v>24.4</v>
      </c>
      <c r="FE14">
        <f>FB14*FD14</f>
        <v>780.8</v>
      </c>
      <c r="FL14" t="str">
        <f>$F$11</f>
        <v>Fence Post 3.1m</v>
      </c>
      <c r="FM14">
        <f>$F$25</f>
        <v>36</v>
      </c>
      <c r="FO14">
        <f>Index!$C$137</f>
        <v>24.4</v>
      </c>
      <c r="FP14">
        <f>FM14*FO14</f>
        <v>878.4</v>
      </c>
    </row>
    <row r="15" spans="1:177" x14ac:dyDescent="0.25">
      <c r="A15">
        <f>'ABR Design'!AA78</f>
        <v>30</v>
      </c>
      <c r="B15">
        <f>'ABR Design'!AB78</f>
        <v>42.076839325333189</v>
      </c>
      <c r="C15">
        <f>'ABR Design'!AC78</f>
        <v>2</v>
      </c>
      <c r="D15">
        <f>'ABR Design'!AD78</f>
        <v>1</v>
      </c>
      <c r="E15">
        <f>'ABR Design'!AE78</f>
        <v>0</v>
      </c>
      <c r="F15">
        <f>'ABR Design'!AF78</f>
        <v>12</v>
      </c>
      <c r="G15">
        <f>'ABR Design'!AG78</f>
        <v>56</v>
      </c>
      <c r="H15">
        <f>'ABR Design'!AH78</f>
        <v>8</v>
      </c>
      <c r="I15">
        <f>'ABR Design'!AI78</f>
        <v>73.550718879510399</v>
      </c>
      <c r="J15">
        <f>'ABR Design'!AJ78</f>
        <v>73.550718879510399</v>
      </c>
      <c r="K15">
        <f>'ABR Design'!AK78</f>
        <v>29.987929875175293</v>
      </c>
      <c r="N15" t="str">
        <f>$G$11</f>
        <v>Fence Panel 300mm</v>
      </c>
      <c r="O15">
        <f>$G$12</f>
        <v>24</v>
      </c>
      <c r="Q15">
        <f>Index!$C$138</f>
        <v>9.24</v>
      </c>
      <c r="R15">
        <f t="shared" ref="R15:R18" si="14">O15*Q15</f>
        <v>221.76</v>
      </c>
      <c r="Y15" t="str">
        <f>$G$11</f>
        <v>Fence Panel 300mm</v>
      </c>
      <c r="Z15">
        <f>$G$13</f>
        <v>28</v>
      </c>
      <c r="AB15">
        <f>Index!$C$138</f>
        <v>9.24</v>
      </c>
      <c r="AC15">
        <f t="shared" ref="AC15:AC18" si="15">Z15*AB15</f>
        <v>258.72000000000003</v>
      </c>
      <c r="AJ15" t="str">
        <f>$G$11</f>
        <v>Fence Panel 300mm</v>
      </c>
      <c r="AK15">
        <f>$G$14</f>
        <v>56</v>
      </c>
      <c r="AM15">
        <f>Index!$C$138</f>
        <v>9.24</v>
      </c>
      <c r="AN15">
        <f t="shared" ref="AN15:AN18" si="16">AK15*AM15</f>
        <v>517.44000000000005</v>
      </c>
      <c r="AU15" t="str">
        <f>$G$11</f>
        <v>Fence Panel 300mm</v>
      </c>
      <c r="AV15">
        <f>$G$15</f>
        <v>56</v>
      </c>
      <c r="AX15">
        <f>Index!$C$138</f>
        <v>9.24</v>
      </c>
      <c r="AY15">
        <f t="shared" ref="AY15:AY18" si="17">AV15*AX15</f>
        <v>517.44000000000005</v>
      </c>
      <c r="BF15" t="str">
        <f>$G$11</f>
        <v>Fence Panel 300mm</v>
      </c>
      <c r="BG15">
        <f>$G$16</f>
        <v>56</v>
      </c>
      <c r="BI15">
        <f>Index!$C$138</f>
        <v>9.24</v>
      </c>
      <c r="BJ15">
        <f t="shared" ref="BJ15:BJ18" si="18">BG15*BI15</f>
        <v>517.44000000000005</v>
      </c>
      <c r="BQ15" t="str">
        <f>$G$11</f>
        <v>Fence Panel 300mm</v>
      </c>
      <c r="BR15">
        <f>$G$17</f>
        <v>84</v>
      </c>
      <c r="BT15">
        <f>Index!$C$138</f>
        <v>9.24</v>
      </c>
      <c r="BU15">
        <f t="shared" ref="BU15:BU18" si="19">BR15*BT15</f>
        <v>776.16</v>
      </c>
      <c r="CB15" t="str">
        <f>$G$11</f>
        <v>Fence Panel 300mm</v>
      </c>
      <c r="CC15">
        <f>$G$18</f>
        <v>84</v>
      </c>
      <c r="CE15">
        <f>Index!$C$138</f>
        <v>9.24</v>
      </c>
      <c r="CF15">
        <f t="shared" ref="CF15:CF18" si="20">CC15*CE15</f>
        <v>776.16</v>
      </c>
      <c r="CX15" t="str">
        <f>$G$11</f>
        <v>Fence Panel 300mm</v>
      </c>
      <c r="CY15">
        <f>$G$19</f>
        <v>112</v>
      </c>
      <c r="DA15">
        <f>Index!$C$138</f>
        <v>9.24</v>
      </c>
      <c r="DB15">
        <f t="shared" ref="DB15:DB18" si="21">CY15*DA15</f>
        <v>1034.8800000000001</v>
      </c>
      <c r="DI15" t="str">
        <f>$G$11</f>
        <v>Fence Panel 300mm</v>
      </c>
      <c r="DJ15">
        <f>$G$20</f>
        <v>140</v>
      </c>
      <c r="DL15">
        <f>Index!$C$138</f>
        <v>9.24</v>
      </c>
      <c r="DM15">
        <f t="shared" ref="DM15:DM18" si="22">DJ15*DL15</f>
        <v>1293.6000000000001</v>
      </c>
      <c r="DT15" t="str">
        <f>$G$11</f>
        <v>Fence Panel 300mm</v>
      </c>
      <c r="DU15">
        <f>$G$21</f>
        <v>140</v>
      </c>
      <c r="DW15">
        <f>Index!$C$138</f>
        <v>9.24</v>
      </c>
      <c r="DX15">
        <f t="shared" ref="DX15:DX18" si="23">DU15*DW15</f>
        <v>1293.6000000000001</v>
      </c>
      <c r="EE15" t="str">
        <f>$G$11</f>
        <v>Fence Panel 300mm</v>
      </c>
      <c r="EF15">
        <f>$G$22</f>
        <v>168</v>
      </c>
      <c r="EH15">
        <f>Index!$C$138</f>
        <v>9.24</v>
      </c>
      <c r="EI15">
        <f t="shared" ref="EI15:EI18" si="24">EF15*EH15</f>
        <v>1552.32</v>
      </c>
      <c r="EP15" t="str">
        <f>$G$11</f>
        <v>Fence Panel 300mm</v>
      </c>
      <c r="EQ15">
        <f>$G$23</f>
        <v>168</v>
      </c>
      <c r="ES15">
        <f>Index!$C$138</f>
        <v>9.24</v>
      </c>
      <c r="ET15">
        <f t="shared" ref="ET15:ET18" si="25">EQ15*ES15</f>
        <v>1552.32</v>
      </c>
      <c r="FA15" t="str">
        <f>$G$11</f>
        <v>Fence Panel 300mm</v>
      </c>
      <c r="FB15">
        <f>$G$24</f>
        <v>196</v>
      </c>
      <c r="FD15">
        <f>Index!$C$138</f>
        <v>9.24</v>
      </c>
      <c r="FE15">
        <f t="shared" ref="FE15:FE18" si="26">FB15*FD15</f>
        <v>1811.04</v>
      </c>
      <c r="FL15" t="str">
        <f>$G$11</f>
        <v>Fence Panel 300mm</v>
      </c>
      <c r="FM15">
        <f>$G$25</f>
        <v>224</v>
      </c>
      <c r="FO15">
        <f>Index!$C$138</f>
        <v>9.24</v>
      </c>
      <c r="FP15">
        <f t="shared" ref="FP15:FP18" si="27">FM15*FO15</f>
        <v>2069.7600000000002</v>
      </c>
    </row>
    <row r="16" spans="1:177" x14ac:dyDescent="0.25">
      <c r="A16">
        <f>'ABR Design'!AA79</f>
        <v>50</v>
      </c>
      <c r="B16">
        <f>'ABR Design'!AB79</f>
        <v>69.68937490470698</v>
      </c>
      <c r="C16">
        <f>'ABR Design'!AC79</f>
        <v>2</v>
      </c>
      <c r="D16">
        <f>'ABR Design'!AD79</f>
        <v>1</v>
      </c>
      <c r="E16">
        <f>'ABR Design'!AE79</f>
        <v>0</v>
      </c>
      <c r="F16">
        <f>'ABR Design'!AF79</f>
        <v>12</v>
      </c>
      <c r="G16">
        <f>'ABR Design'!AG79</f>
        <v>56</v>
      </c>
      <c r="H16">
        <f>'ABR Design'!AH79</f>
        <v>8</v>
      </c>
      <c r="I16">
        <f>'ABR Design'!AI79</f>
        <v>106.92238312367434</v>
      </c>
      <c r="J16">
        <f>'ABR Design'!AJ79</f>
        <v>106.92238312367434</v>
      </c>
      <c r="K16">
        <f>'ABR Design'!AK79</f>
        <v>49.979883125292154</v>
      </c>
      <c r="N16" t="str">
        <f>$H$11</f>
        <v>Fence Panel 150mm</v>
      </c>
      <c r="O16">
        <f>$H$12</f>
        <v>4</v>
      </c>
      <c r="Q16">
        <f>Index!$C$139</f>
        <v>6.83</v>
      </c>
      <c r="R16">
        <f t="shared" si="14"/>
        <v>27.32</v>
      </c>
      <c r="Y16" t="str">
        <f>$H$11</f>
        <v>Fence Panel 150mm</v>
      </c>
      <c r="Z16">
        <f>$H$13</f>
        <v>4</v>
      </c>
      <c r="AB16">
        <f>Index!$C$139</f>
        <v>6.83</v>
      </c>
      <c r="AC16">
        <f t="shared" si="15"/>
        <v>27.32</v>
      </c>
      <c r="AJ16" t="str">
        <f>$H$11</f>
        <v>Fence Panel 150mm</v>
      </c>
      <c r="AK16">
        <f>$H$14</f>
        <v>8</v>
      </c>
      <c r="AM16">
        <f>Index!$C$139</f>
        <v>6.83</v>
      </c>
      <c r="AN16">
        <f t="shared" si="16"/>
        <v>54.64</v>
      </c>
      <c r="AU16" t="str">
        <f>$H$11</f>
        <v>Fence Panel 150mm</v>
      </c>
      <c r="AV16">
        <f>$H$15</f>
        <v>8</v>
      </c>
      <c r="AX16">
        <f>Index!$C$139</f>
        <v>6.83</v>
      </c>
      <c r="AY16">
        <f t="shared" si="17"/>
        <v>54.64</v>
      </c>
      <c r="BF16" t="str">
        <f>$H$11</f>
        <v>Fence Panel 150mm</v>
      </c>
      <c r="BG16">
        <f>$H$16</f>
        <v>8</v>
      </c>
      <c r="BI16">
        <f>Index!$C$139</f>
        <v>6.83</v>
      </c>
      <c r="BJ16">
        <f t="shared" si="18"/>
        <v>54.64</v>
      </c>
      <c r="BQ16" t="str">
        <f>$H$11</f>
        <v>Fence Panel 150mm</v>
      </c>
      <c r="BR16">
        <f>$H$17</f>
        <v>12</v>
      </c>
      <c r="BT16">
        <f>Index!$C$139</f>
        <v>6.83</v>
      </c>
      <c r="BU16">
        <f t="shared" si="19"/>
        <v>81.960000000000008</v>
      </c>
      <c r="CB16" t="str">
        <f>$H$11</f>
        <v>Fence Panel 150mm</v>
      </c>
      <c r="CC16">
        <f>$H$18</f>
        <v>12</v>
      </c>
      <c r="CE16">
        <f>Index!$C$139</f>
        <v>6.83</v>
      </c>
      <c r="CF16">
        <f t="shared" si="20"/>
        <v>81.960000000000008</v>
      </c>
      <c r="CX16" t="str">
        <f>$H$11</f>
        <v>Fence Panel 150mm</v>
      </c>
      <c r="CY16">
        <f>$H$19</f>
        <v>16</v>
      </c>
      <c r="DA16">
        <f>Index!$C$139</f>
        <v>6.83</v>
      </c>
      <c r="DB16">
        <f t="shared" si="21"/>
        <v>109.28</v>
      </c>
      <c r="DI16" t="str">
        <f>$H$11</f>
        <v>Fence Panel 150mm</v>
      </c>
      <c r="DJ16">
        <f>$H$20</f>
        <v>20</v>
      </c>
      <c r="DL16">
        <f>Index!$C$139</f>
        <v>6.83</v>
      </c>
      <c r="DM16">
        <f t="shared" si="22"/>
        <v>136.6</v>
      </c>
      <c r="DT16" t="str">
        <f>$H$11</f>
        <v>Fence Panel 150mm</v>
      </c>
      <c r="DU16">
        <f>$H$21</f>
        <v>20</v>
      </c>
      <c r="DW16">
        <f>Index!$C$139</f>
        <v>6.83</v>
      </c>
      <c r="DX16">
        <f t="shared" si="23"/>
        <v>136.6</v>
      </c>
      <c r="EE16" t="str">
        <f>$H$11</f>
        <v>Fence Panel 150mm</v>
      </c>
      <c r="EF16">
        <f>$H$22</f>
        <v>24</v>
      </c>
      <c r="EH16">
        <f>Index!$C$139</f>
        <v>6.83</v>
      </c>
      <c r="EI16">
        <f t="shared" si="24"/>
        <v>163.92000000000002</v>
      </c>
      <c r="EP16" t="str">
        <f>$H$11</f>
        <v>Fence Panel 150mm</v>
      </c>
      <c r="EQ16">
        <f>$H$23</f>
        <v>24</v>
      </c>
      <c r="ES16">
        <f>Index!$C$139</f>
        <v>6.83</v>
      </c>
      <c r="ET16">
        <f t="shared" si="25"/>
        <v>163.92000000000002</v>
      </c>
      <c r="FA16" t="str">
        <f>$H$11</f>
        <v>Fence Panel 150mm</v>
      </c>
      <c r="FB16">
        <f>$H$24</f>
        <v>28</v>
      </c>
      <c r="FD16">
        <f>Index!$C$139</f>
        <v>6.83</v>
      </c>
      <c r="FE16">
        <f t="shared" si="26"/>
        <v>191.24</v>
      </c>
      <c r="FL16" t="str">
        <f>$H$11</f>
        <v>Fence Panel 150mm</v>
      </c>
      <c r="FM16">
        <f>$H$25</f>
        <v>32</v>
      </c>
      <c r="FO16">
        <f>Index!$C$139</f>
        <v>6.83</v>
      </c>
      <c r="FP16">
        <f t="shared" si="27"/>
        <v>218.56</v>
      </c>
    </row>
    <row r="17" spans="1:172" x14ac:dyDescent="0.25">
      <c r="A17">
        <f>'ABR Design'!AA80</f>
        <v>75</v>
      </c>
      <c r="B17">
        <f>'ABR Design'!AB80</f>
        <v>104.11909963741726</v>
      </c>
      <c r="C17">
        <f>'ABR Design'!AC80</f>
        <v>2</v>
      </c>
      <c r="D17">
        <f>'ABR Design'!AD80</f>
        <v>1</v>
      </c>
      <c r="E17">
        <f>'ABR Design'!AE80</f>
        <v>0</v>
      </c>
      <c r="F17">
        <f>'ABR Design'!AF80</f>
        <v>16</v>
      </c>
      <c r="G17">
        <f>'ABR Design'!AG80</f>
        <v>84</v>
      </c>
      <c r="H17">
        <f>'ABR Design'!AH80</f>
        <v>12</v>
      </c>
      <c r="I17">
        <f>'ABR Design'!AI80</f>
        <v>145.71484221764152</v>
      </c>
      <c r="J17">
        <f>'ABR Design'!AJ80</f>
        <v>145.71484221764152</v>
      </c>
      <c r="K17">
        <f>'ABR Design'!AK80</f>
        <v>74.969824687938242</v>
      </c>
      <c r="N17" t="s">
        <v>14</v>
      </c>
      <c r="O17">
        <f>Fencing!$C$15*O14</f>
        <v>1.4580000000000002</v>
      </c>
      <c r="P17">
        <f>Index!$C$69</f>
        <v>11.9580460758</v>
      </c>
      <c r="Q17">
        <f>P17</f>
        <v>11.9580460758</v>
      </c>
      <c r="R17">
        <f t="shared" si="14"/>
        <v>17.434831178516404</v>
      </c>
      <c r="Y17" t="s">
        <v>14</v>
      </c>
      <c r="Z17">
        <f>Fencing!$C$15*Z14</f>
        <v>1.4580000000000002</v>
      </c>
      <c r="AA17">
        <f>Index!$C$69</f>
        <v>11.9580460758</v>
      </c>
      <c r="AB17">
        <f>AA17</f>
        <v>11.9580460758</v>
      </c>
      <c r="AC17">
        <f t="shared" si="15"/>
        <v>17.434831178516404</v>
      </c>
      <c r="AJ17" t="s">
        <v>14</v>
      </c>
      <c r="AK17">
        <f>Fencing!$C$15*AK14</f>
        <v>2.1870000000000003</v>
      </c>
      <c r="AL17">
        <f>Index!$C$69</f>
        <v>11.9580460758</v>
      </c>
      <c r="AM17">
        <f>AL17</f>
        <v>11.9580460758</v>
      </c>
      <c r="AN17">
        <f t="shared" si="16"/>
        <v>26.152246767774603</v>
      </c>
      <c r="AU17" t="s">
        <v>14</v>
      </c>
      <c r="AV17">
        <f>Fencing!$C$15*AV14</f>
        <v>2.1870000000000003</v>
      </c>
      <c r="AW17">
        <f>Index!$C$69</f>
        <v>11.9580460758</v>
      </c>
      <c r="AX17">
        <f>AW17</f>
        <v>11.9580460758</v>
      </c>
      <c r="AY17">
        <f t="shared" si="17"/>
        <v>26.152246767774603</v>
      </c>
      <c r="BF17" t="s">
        <v>14</v>
      </c>
      <c r="BG17">
        <f>Fencing!$C$15*BG14</f>
        <v>2.1870000000000003</v>
      </c>
      <c r="BH17">
        <f>Index!$C$69</f>
        <v>11.9580460758</v>
      </c>
      <c r="BI17">
        <f>BH17</f>
        <v>11.9580460758</v>
      </c>
      <c r="BJ17">
        <f t="shared" si="18"/>
        <v>26.152246767774603</v>
      </c>
      <c r="BQ17" t="s">
        <v>14</v>
      </c>
      <c r="BR17">
        <f>Fencing!$C$15*BR14</f>
        <v>2.9160000000000004</v>
      </c>
      <c r="BS17">
        <f>Index!$C$69</f>
        <v>11.9580460758</v>
      </c>
      <c r="BT17">
        <f>BS17</f>
        <v>11.9580460758</v>
      </c>
      <c r="BU17">
        <f t="shared" si="19"/>
        <v>34.869662357032809</v>
      </c>
      <c r="CB17" t="s">
        <v>14</v>
      </c>
      <c r="CC17">
        <f>Fencing!$C$15*CC14</f>
        <v>2.9160000000000004</v>
      </c>
      <c r="CD17">
        <f>Index!$C$69</f>
        <v>11.9580460758</v>
      </c>
      <c r="CE17">
        <f>CD17</f>
        <v>11.9580460758</v>
      </c>
      <c r="CF17">
        <f t="shared" si="20"/>
        <v>34.869662357032809</v>
      </c>
      <c r="CX17" t="s">
        <v>14</v>
      </c>
      <c r="CY17">
        <f>Fencing!$C$15*CY14</f>
        <v>3.6450000000000005</v>
      </c>
      <c r="CZ17">
        <f>Index!$C$69</f>
        <v>11.9580460758</v>
      </c>
      <c r="DA17">
        <f>CZ17</f>
        <v>11.9580460758</v>
      </c>
      <c r="DB17">
        <f t="shared" si="21"/>
        <v>43.587077946291004</v>
      </c>
      <c r="DI17" t="s">
        <v>14</v>
      </c>
      <c r="DJ17">
        <f>Fencing!$C$15*DJ14</f>
        <v>4.3740000000000006</v>
      </c>
      <c r="DK17">
        <f>Index!$C$69</f>
        <v>11.9580460758</v>
      </c>
      <c r="DL17">
        <f>DK17</f>
        <v>11.9580460758</v>
      </c>
      <c r="DM17">
        <f t="shared" si="22"/>
        <v>52.304493535549206</v>
      </c>
      <c r="DT17" t="s">
        <v>14</v>
      </c>
      <c r="DU17">
        <f>Fencing!$C$15*DU14</f>
        <v>4.3740000000000006</v>
      </c>
      <c r="DV17">
        <f>Index!$C$69</f>
        <v>11.9580460758</v>
      </c>
      <c r="DW17">
        <f>DV17</f>
        <v>11.9580460758</v>
      </c>
      <c r="DX17">
        <f t="shared" si="23"/>
        <v>52.304493535549206</v>
      </c>
      <c r="EE17" t="s">
        <v>14</v>
      </c>
      <c r="EF17">
        <f>Fencing!$C$15*EF14</f>
        <v>5.1030000000000006</v>
      </c>
      <c r="EG17">
        <f>Index!$C$69</f>
        <v>11.9580460758</v>
      </c>
      <c r="EH17">
        <f>EG17</f>
        <v>11.9580460758</v>
      </c>
      <c r="EI17">
        <f t="shared" si="24"/>
        <v>61.021909124807408</v>
      </c>
      <c r="EP17" t="s">
        <v>14</v>
      </c>
      <c r="EQ17">
        <f>Fencing!$C$15*EQ14</f>
        <v>5.1030000000000006</v>
      </c>
      <c r="ER17">
        <f>Index!$C$69</f>
        <v>11.9580460758</v>
      </c>
      <c r="ES17">
        <f>ER17</f>
        <v>11.9580460758</v>
      </c>
      <c r="ET17">
        <f t="shared" si="25"/>
        <v>61.021909124807408</v>
      </c>
      <c r="FA17" t="s">
        <v>14</v>
      </c>
      <c r="FB17">
        <f>Fencing!$C$15*FB14</f>
        <v>5.8320000000000007</v>
      </c>
      <c r="FC17">
        <f>Index!$C$69</f>
        <v>11.9580460758</v>
      </c>
      <c r="FD17">
        <f>FC17</f>
        <v>11.9580460758</v>
      </c>
      <c r="FE17">
        <f t="shared" si="26"/>
        <v>69.739324714065617</v>
      </c>
      <c r="FL17" t="s">
        <v>14</v>
      </c>
      <c r="FM17">
        <f>Fencing!$C$15*FM14</f>
        <v>6.5610000000000008</v>
      </c>
      <c r="FN17">
        <f>Index!$C$69</f>
        <v>11.9580460758</v>
      </c>
      <c r="FO17">
        <f>FN17</f>
        <v>11.9580460758</v>
      </c>
      <c r="FP17">
        <f t="shared" si="27"/>
        <v>78.456740303323812</v>
      </c>
    </row>
    <row r="18" spans="1:172" x14ac:dyDescent="0.25">
      <c r="A18">
        <f>'ABR Design'!AA81</f>
        <v>100</v>
      </c>
      <c r="B18">
        <f>'ABR Design'!AB81</f>
        <v>138.49564352719247</v>
      </c>
      <c r="C18">
        <f>'ABR Design'!AC81</f>
        <v>2</v>
      </c>
      <c r="D18">
        <f>'ABR Design'!AD81</f>
        <v>1</v>
      </c>
      <c r="E18">
        <f>'ABR Design'!AE81</f>
        <v>0</v>
      </c>
      <c r="F18">
        <f>'ABR Design'!AF81</f>
        <v>16</v>
      </c>
      <c r="G18">
        <f>'ABR Design'!AG81</f>
        <v>84</v>
      </c>
      <c r="H18">
        <f>'ABR Design'!AH81</f>
        <v>12</v>
      </c>
      <c r="I18">
        <f>'ABR Design'!AI81</f>
        <v>182.69915265181663</v>
      </c>
      <c r="J18">
        <f>'ABR Design'!AJ81</f>
        <v>182.69915265181663</v>
      </c>
      <c r="K18">
        <f>'ABR Design'!AK81</f>
        <v>99.959766250584323</v>
      </c>
      <c r="N18" t="s">
        <v>100</v>
      </c>
      <c r="O18">
        <f>O17</f>
        <v>1.4580000000000002</v>
      </c>
      <c r="P18">
        <f>Index!$C$53</f>
        <v>99.508928571428555</v>
      </c>
      <c r="Q18">
        <f>P18</f>
        <v>99.508928571428555</v>
      </c>
      <c r="R18">
        <f t="shared" si="14"/>
        <v>145.08401785714284</v>
      </c>
      <c r="Y18" t="s">
        <v>100</v>
      </c>
      <c r="Z18">
        <f>Z17</f>
        <v>1.4580000000000002</v>
      </c>
      <c r="AA18">
        <f>Index!$C$53</f>
        <v>99.508928571428555</v>
      </c>
      <c r="AB18">
        <f>AA18</f>
        <v>99.508928571428555</v>
      </c>
      <c r="AC18">
        <f t="shared" si="15"/>
        <v>145.08401785714284</v>
      </c>
      <c r="AJ18" t="s">
        <v>100</v>
      </c>
      <c r="AK18">
        <f>AK17</f>
        <v>2.1870000000000003</v>
      </c>
      <c r="AL18">
        <f>Index!$C$53</f>
        <v>99.508928571428555</v>
      </c>
      <c r="AM18">
        <f>AL18</f>
        <v>99.508928571428555</v>
      </c>
      <c r="AN18">
        <f t="shared" si="16"/>
        <v>217.62602678571429</v>
      </c>
      <c r="AU18" t="s">
        <v>100</v>
      </c>
      <c r="AV18">
        <f>AV17</f>
        <v>2.1870000000000003</v>
      </c>
      <c r="AW18">
        <f>Index!$C$53</f>
        <v>99.508928571428555</v>
      </c>
      <c r="AX18">
        <f>AW18</f>
        <v>99.508928571428555</v>
      </c>
      <c r="AY18">
        <f t="shared" si="17"/>
        <v>217.62602678571429</v>
      </c>
      <c r="BF18" t="s">
        <v>100</v>
      </c>
      <c r="BG18">
        <f>BG17</f>
        <v>2.1870000000000003</v>
      </c>
      <c r="BH18">
        <f>Index!$C$53</f>
        <v>99.508928571428555</v>
      </c>
      <c r="BI18">
        <f>BH18</f>
        <v>99.508928571428555</v>
      </c>
      <c r="BJ18">
        <f t="shared" si="18"/>
        <v>217.62602678571429</v>
      </c>
      <c r="BQ18" t="s">
        <v>100</v>
      </c>
      <c r="BR18">
        <f>BR17</f>
        <v>2.9160000000000004</v>
      </c>
      <c r="BS18">
        <f>Index!$C$53</f>
        <v>99.508928571428555</v>
      </c>
      <c r="BT18">
        <f>BS18</f>
        <v>99.508928571428555</v>
      </c>
      <c r="BU18">
        <f t="shared" si="19"/>
        <v>290.16803571428568</v>
      </c>
      <c r="CB18" t="s">
        <v>100</v>
      </c>
      <c r="CC18">
        <f>CC17</f>
        <v>2.9160000000000004</v>
      </c>
      <c r="CD18">
        <f>Index!$C$53</f>
        <v>99.508928571428555</v>
      </c>
      <c r="CE18">
        <f>CD18</f>
        <v>99.508928571428555</v>
      </c>
      <c r="CF18">
        <f t="shared" si="20"/>
        <v>290.16803571428568</v>
      </c>
      <c r="CX18" t="s">
        <v>100</v>
      </c>
      <c r="CY18">
        <f>CY17</f>
        <v>3.6450000000000005</v>
      </c>
      <c r="CZ18">
        <f>Index!$C$53</f>
        <v>99.508928571428555</v>
      </c>
      <c r="DA18">
        <f>CZ18</f>
        <v>99.508928571428555</v>
      </c>
      <c r="DB18">
        <f t="shared" si="21"/>
        <v>362.71004464285716</v>
      </c>
      <c r="DI18" t="s">
        <v>100</v>
      </c>
      <c r="DJ18">
        <f>DJ17</f>
        <v>4.3740000000000006</v>
      </c>
      <c r="DK18">
        <f>Index!$C$53</f>
        <v>99.508928571428555</v>
      </c>
      <c r="DL18">
        <f>DK18</f>
        <v>99.508928571428555</v>
      </c>
      <c r="DM18">
        <f t="shared" si="22"/>
        <v>435.25205357142858</v>
      </c>
      <c r="DT18" t="s">
        <v>100</v>
      </c>
      <c r="DU18">
        <f>DU17</f>
        <v>4.3740000000000006</v>
      </c>
      <c r="DV18">
        <f>Index!$C$53</f>
        <v>99.508928571428555</v>
      </c>
      <c r="DW18">
        <f>DV18</f>
        <v>99.508928571428555</v>
      </c>
      <c r="DX18">
        <f t="shared" si="23"/>
        <v>435.25205357142858</v>
      </c>
      <c r="EE18" t="s">
        <v>100</v>
      </c>
      <c r="EF18">
        <f>EF17</f>
        <v>5.1030000000000006</v>
      </c>
      <c r="EG18">
        <f>Index!$C$53</f>
        <v>99.508928571428555</v>
      </c>
      <c r="EH18">
        <f>EG18</f>
        <v>99.508928571428555</v>
      </c>
      <c r="EI18">
        <f t="shared" si="24"/>
        <v>507.7940625</v>
      </c>
      <c r="EP18" t="s">
        <v>100</v>
      </c>
      <c r="EQ18">
        <f>EQ17</f>
        <v>5.1030000000000006</v>
      </c>
      <c r="ER18">
        <f>Index!$C$53</f>
        <v>99.508928571428555</v>
      </c>
      <c r="ES18">
        <f>ER18</f>
        <v>99.508928571428555</v>
      </c>
      <c r="ET18">
        <f t="shared" si="25"/>
        <v>507.7940625</v>
      </c>
      <c r="FA18" t="s">
        <v>100</v>
      </c>
      <c r="FB18">
        <f>FB17</f>
        <v>5.8320000000000007</v>
      </c>
      <c r="FC18">
        <f>Index!$C$53</f>
        <v>99.508928571428555</v>
      </c>
      <c r="FD18">
        <f>FC18</f>
        <v>99.508928571428555</v>
      </c>
      <c r="FE18">
        <f t="shared" si="26"/>
        <v>580.33607142857136</v>
      </c>
      <c r="FL18" t="s">
        <v>100</v>
      </c>
      <c r="FM18">
        <f>FM17</f>
        <v>6.5610000000000008</v>
      </c>
      <c r="FN18">
        <f>Index!$C$53</f>
        <v>99.508928571428555</v>
      </c>
      <c r="FO18">
        <f>FN18</f>
        <v>99.508928571428555</v>
      </c>
      <c r="FP18">
        <f t="shared" si="27"/>
        <v>652.87808035714284</v>
      </c>
    </row>
    <row r="19" spans="1:172" x14ac:dyDescent="0.25">
      <c r="A19">
        <f>'ABR Design'!AA82</f>
        <v>200</v>
      </c>
      <c r="B19">
        <f>'ABR Design'!AB82</f>
        <v>275.74238617305031</v>
      </c>
      <c r="C19">
        <f>'ABR Design'!AC82</f>
        <v>2</v>
      </c>
      <c r="D19">
        <f>'ABR Design'!AD82</f>
        <v>1</v>
      </c>
      <c r="E19">
        <f>'ABR Design'!AE82</f>
        <v>0</v>
      </c>
      <c r="F19">
        <f>'ABR Design'!AF82</f>
        <v>20</v>
      </c>
      <c r="G19">
        <f>'ABR Design'!AG82</f>
        <v>112</v>
      </c>
      <c r="H19">
        <f>'ABR Design'!AH82</f>
        <v>16</v>
      </c>
      <c r="I19">
        <f>'ABR Design'!AI82</f>
        <v>321.81567533825779</v>
      </c>
      <c r="J19">
        <f>'ABR Design'!AJ82</f>
        <v>321.81567533825779</v>
      </c>
      <c r="K19">
        <f>'ABR Design'!AK82</f>
        <v>199.91953250116862</v>
      </c>
      <c r="Q19" s="10" t="s">
        <v>58</v>
      </c>
      <c r="R19" s="10">
        <f>SUM(R14:R18)</f>
        <v>606.79884903565926</v>
      </c>
      <c r="AB19" s="10" t="s">
        <v>58</v>
      </c>
      <c r="AC19" s="10">
        <f>SUM(AC14:AC18)</f>
        <v>643.7588490356593</v>
      </c>
      <c r="AM19" s="10" t="s">
        <v>58</v>
      </c>
      <c r="AN19" s="10">
        <f>SUM(AN14:AN18)</f>
        <v>1108.6582735534889</v>
      </c>
      <c r="AX19" s="10" t="s">
        <v>58</v>
      </c>
      <c r="AY19" s="10">
        <f>SUM(AY14:AY18)</f>
        <v>1108.6582735534889</v>
      </c>
      <c r="BI19" s="10" t="s">
        <v>58</v>
      </c>
      <c r="BJ19" s="10">
        <f>SUM(BJ14:BJ18)</f>
        <v>1108.6582735534889</v>
      </c>
      <c r="BT19" s="10" t="s">
        <v>58</v>
      </c>
      <c r="BU19" s="10">
        <f>SUM(BU14:BU18)</f>
        <v>1573.5576980713186</v>
      </c>
      <c r="CE19" s="10" t="s">
        <v>58</v>
      </c>
      <c r="CF19" s="10">
        <f>SUM(CF14:CF18)</f>
        <v>1573.5576980713186</v>
      </c>
      <c r="DA19" s="10" t="s">
        <v>58</v>
      </c>
      <c r="DB19" s="10">
        <f>SUM(DB14:DB18)</f>
        <v>2038.4571225891482</v>
      </c>
      <c r="DL19" s="10" t="s">
        <v>58</v>
      </c>
      <c r="DM19" s="10">
        <f>SUM(DM14:DM18)</f>
        <v>2503.3565471069774</v>
      </c>
      <c r="DW19" s="10" t="s">
        <v>58</v>
      </c>
      <c r="DX19" s="10">
        <f>SUM(DX14:DX18)</f>
        <v>2503.3565471069774</v>
      </c>
      <c r="EH19" s="10" t="s">
        <v>58</v>
      </c>
      <c r="EI19" s="10">
        <f>SUM(EI14:EI18)</f>
        <v>2968.2559716248074</v>
      </c>
      <c r="ES19" s="10" t="s">
        <v>58</v>
      </c>
      <c r="ET19" s="10">
        <f>SUM(ET14:ET18)</f>
        <v>2968.2559716248074</v>
      </c>
      <c r="FD19" s="10" t="s">
        <v>58</v>
      </c>
      <c r="FE19" s="10">
        <f>SUM(FE14:FE18)</f>
        <v>3433.1553961426371</v>
      </c>
      <c r="FO19" s="10" t="s">
        <v>58</v>
      </c>
      <c r="FP19" s="10">
        <f>SUM(FP14:FP18)</f>
        <v>3898.0548206604672</v>
      </c>
    </row>
    <row r="20" spans="1:172" x14ac:dyDescent="0.25">
      <c r="A20">
        <f>'ABR Design'!AA83</f>
        <v>300</v>
      </c>
      <c r="B20">
        <f>'ABR Design'!AB83</f>
        <v>412.78365382028909</v>
      </c>
      <c r="C20">
        <f>'ABR Design'!AC83</f>
        <v>2</v>
      </c>
      <c r="D20">
        <f>'ABR Design'!AD83</f>
        <v>1</v>
      </c>
      <c r="E20">
        <f>'ABR Design'!AE83</f>
        <v>0</v>
      </c>
      <c r="F20">
        <f>'ABR Design'!AF83</f>
        <v>24</v>
      </c>
      <c r="G20">
        <f>'ABR Design'!AG83</f>
        <v>140</v>
      </c>
      <c r="H20">
        <f>'ABR Design'!AH83</f>
        <v>20</v>
      </c>
      <c r="I20">
        <f>'ABR Design'!AI83</f>
        <v>453.94604807164671</v>
      </c>
      <c r="J20">
        <f>'ABR Design'!AJ83</f>
        <v>453.94604807164671</v>
      </c>
      <c r="K20">
        <f>'ABR Design'!AK83</f>
        <v>299.87929875175297</v>
      </c>
    </row>
    <row r="21" spans="1:172" x14ac:dyDescent="0.25">
      <c r="A21">
        <f>'ABR Design'!AA84</f>
        <v>400</v>
      </c>
      <c r="B21">
        <f>'ABR Design'!AB84</f>
        <v>549.71855978165775</v>
      </c>
      <c r="C21">
        <f>'ABR Design'!AC84</f>
        <v>2</v>
      </c>
      <c r="D21">
        <f>'ABR Design'!AD84</f>
        <v>1</v>
      </c>
      <c r="E21">
        <f>'ABR Design'!AE84</f>
        <v>0</v>
      </c>
      <c r="F21">
        <f>'ABR Design'!AF84</f>
        <v>24</v>
      </c>
      <c r="G21">
        <f>'ABR Design'!AG84</f>
        <v>140</v>
      </c>
      <c r="H21">
        <f>'ABR Design'!AH84</f>
        <v>20</v>
      </c>
      <c r="I21">
        <f>'ABR Design'!AI84</f>
        <v>582.46012348545139</v>
      </c>
      <c r="J21">
        <f>'ABR Design'!AJ84</f>
        <v>582.46012348545139</v>
      </c>
      <c r="K21">
        <f>'ABR Design'!AK84</f>
        <v>399.83906500233729</v>
      </c>
      <c r="N21" s="10" t="s">
        <v>1089</v>
      </c>
      <c r="Y21" s="10" t="s">
        <v>1089</v>
      </c>
      <c r="AJ21" s="10" t="s">
        <v>1089</v>
      </c>
      <c r="AU21" s="10" t="s">
        <v>1089</v>
      </c>
      <c r="BF21" s="10" t="s">
        <v>1089</v>
      </c>
      <c r="BQ21" s="10" t="s">
        <v>1089</v>
      </c>
      <c r="CB21" s="10" t="s">
        <v>1089</v>
      </c>
      <c r="CX21" s="10" t="s">
        <v>1089</v>
      </c>
      <c r="DI21" s="10" t="s">
        <v>1089</v>
      </c>
      <c r="DT21" s="10" t="s">
        <v>1089</v>
      </c>
      <c r="EE21" s="10" t="s">
        <v>1089</v>
      </c>
      <c r="EP21" s="10" t="s">
        <v>1089</v>
      </c>
      <c r="FA21" s="10" t="s">
        <v>1089</v>
      </c>
      <c r="FL21" s="10" t="s">
        <v>1089</v>
      </c>
    </row>
    <row r="22" spans="1:172" x14ac:dyDescent="0.25">
      <c r="A22">
        <f>'ABR Design'!AA85</f>
        <v>500</v>
      </c>
      <c r="B22">
        <f>'ABR Design'!AB85</f>
        <v>686.58549476440976</v>
      </c>
      <c r="C22">
        <f>'ABR Design'!AC85</f>
        <v>2</v>
      </c>
      <c r="D22">
        <f>'ABR Design'!AD85</f>
        <v>1</v>
      </c>
      <c r="E22">
        <f>'ABR Design'!AE85</f>
        <v>0</v>
      </c>
      <c r="F22">
        <f>'ABR Design'!AF85</f>
        <v>28</v>
      </c>
      <c r="G22">
        <f>'ABR Design'!AG85</f>
        <v>168</v>
      </c>
      <c r="H22">
        <f>'ABR Design'!AH85</f>
        <v>24</v>
      </c>
      <c r="I22">
        <f>'ABR Design'!AI85</f>
        <v>708.66318562629613</v>
      </c>
      <c r="J22">
        <f>'ABR Design'!AJ85</f>
        <v>708.66318562629613</v>
      </c>
      <c r="K22">
        <f>'ABR Design'!AK85</f>
        <v>499.79883125292162</v>
      </c>
      <c r="N22" t="s">
        <v>80</v>
      </c>
      <c r="O22" t="s">
        <v>2</v>
      </c>
      <c r="P22" t="s">
        <v>81</v>
      </c>
      <c r="Q22" t="s">
        <v>82</v>
      </c>
      <c r="R22" t="s">
        <v>59</v>
      </c>
      <c r="Y22" t="s">
        <v>80</v>
      </c>
      <c r="Z22" t="s">
        <v>2</v>
      </c>
      <c r="AA22" t="s">
        <v>81</v>
      </c>
      <c r="AB22" t="s">
        <v>82</v>
      </c>
      <c r="AC22" t="s">
        <v>59</v>
      </c>
      <c r="AJ22" t="s">
        <v>80</v>
      </c>
      <c r="AK22" t="s">
        <v>2</v>
      </c>
      <c r="AL22" t="s">
        <v>81</v>
      </c>
      <c r="AM22" t="s">
        <v>82</v>
      </c>
      <c r="AN22" t="s">
        <v>59</v>
      </c>
      <c r="AU22" t="s">
        <v>80</v>
      </c>
      <c r="AV22" t="s">
        <v>2</v>
      </c>
      <c r="AW22" t="s">
        <v>81</v>
      </c>
      <c r="AX22" t="s">
        <v>82</v>
      </c>
      <c r="AY22" t="s">
        <v>59</v>
      </c>
      <c r="BF22" t="s">
        <v>80</v>
      </c>
      <c r="BG22" t="s">
        <v>2</v>
      </c>
      <c r="BH22" t="s">
        <v>81</v>
      </c>
      <c r="BI22" t="s">
        <v>82</v>
      </c>
      <c r="BJ22" t="s">
        <v>59</v>
      </c>
      <c r="BQ22" t="s">
        <v>80</v>
      </c>
      <c r="BR22" t="s">
        <v>2</v>
      </c>
      <c r="BS22" t="s">
        <v>81</v>
      </c>
      <c r="BT22" t="s">
        <v>82</v>
      </c>
      <c r="BU22" t="s">
        <v>59</v>
      </c>
      <c r="CB22" t="s">
        <v>80</v>
      </c>
      <c r="CC22" t="s">
        <v>2</v>
      </c>
      <c r="CD22" t="s">
        <v>81</v>
      </c>
      <c r="CE22" t="s">
        <v>82</v>
      </c>
      <c r="CF22" t="s">
        <v>59</v>
      </c>
      <c r="CX22" t="s">
        <v>80</v>
      </c>
      <c r="CY22" t="s">
        <v>2</v>
      </c>
      <c r="CZ22" t="s">
        <v>81</v>
      </c>
      <c r="DA22" t="s">
        <v>82</v>
      </c>
      <c r="DB22" t="s">
        <v>59</v>
      </c>
      <c r="DI22" t="s">
        <v>80</v>
      </c>
      <c r="DJ22" t="s">
        <v>2</v>
      </c>
      <c r="DK22" t="s">
        <v>81</v>
      </c>
      <c r="DL22" t="s">
        <v>82</v>
      </c>
      <c r="DM22" t="s">
        <v>59</v>
      </c>
      <c r="DT22" t="s">
        <v>80</v>
      </c>
      <c r="DU22" t="s">
        <v>2</v>
      </c>
      <c r="DV22" t="s">
        <v>81</v>
      </c>
      <c r="DW22" t="s">
        <v>82</v>
      </c>
      <c r="DX22" t="s">
        <v>59</v>
      </c>
      <c r="EE22" t="s">
        <v>80</v>
      </c>
      <c r="EF22" t="s">
        <v>2</v>
      </c>
      <c r="EG22" t="s">
        <v>81</v>
      </c>
      <c r="EH22" t="s">
        <v>82</v>
      </c>
      <c r="EI22" t="s">
        <v>59</v>
      </c>
      <c r="EP22" t="s">
        <v>80</v>
      </c>
      <c r="EQ22" t="s">
        <v>2</v>
      </c>
      <c r="ER22" t="s">
        <v>81</v>
      </c>
      <c r="ES22" t="s">
        <v>82</v>
      </c>
      <c r="ET22" t="s">
        <v>59</v>
      </c>
      <c r="FA22" t="s">
        <v>80</v>
      </c>
      <c r="FB22" t="s">
        <v>2</v>
      </c>
      <c r="FC22" t="s">
        <v>81</v>
      </c>
      <c r="FD22" t="s">
        <v>82</v>
      </c>
      <c r="FE22" t="s">
        <v>59</v>
      </c>
      <c r="FL22" t="s">
        <v>80</v>
      </c>
      <c r="FM22" t="s">
        <v>2</v>
      </c>
      <c r="FN22" t="s">
        <v>81</v>
      </c>
      <c r="FO22" t="s">
        <v>82</v>
      </c>
      <c r="FP22" t="s">
        <v>59</v>
      </c>
    </row>
    <row r="23" spans="1:172" x14ac:dyDescent="0.25">
      <c r="A23">
        <f>'ABR Design'!AA86</f>
        <v>600</v>
      </c>
      <c r="B23">
        <f>'ABR Design'!AB86</f>
        <v>823.40414786048905</v>
      </c>
      <c r="C23">
        <f>'ABR Design'!AC86</f>
        <v>2</v>
      </c>
      <c r="D23">
        <f>'ABR Design'!AD86</f>
        <v>1</v>
      </c>
      <c r="E23">
        <f>'ABR Design'!AE86</f>
        <v>0</v>
      </c>
      <c r="F23">
        <f>'ABR Design'!AF86</f>
        <v>28</v>
      </c>
      <c r="G23">
        <f>'ABR Design'!AG86</f>
        <v>168</v>
      </c>
      <c r="H23">
        <f>'ABR Design'!AH86</f>
        <v>24</v>
      </c>
      <c r="I23">
        <f>'ABR Design'!AI86</f>
        <v>833.22466362026626</v>
      </c>
      <c r="J23">
        <f>'ABR Design'!AJ86</f>
        <v>833.22466362026626</v>
      </c>
      <c r="K23">
        <f>'ABR Design'!AK86</f>
        <v>599.75859750350594</v>
      </c>
      <c r="N23" t="str">
        <f>$K$11</f>
        <v>Gas Cover</v>
      </c>
      <c r="O23">
        <f>$K$12</f>
        <v>5.497787143782138</v>
      </c>
      <c r="P23">
        <f>P8</f>
        <v>5.201434804499999</v>
      </c>
      <c r="Q23">
        <f>Q8</f>
        <v>5.201434804499999</v>
      </c>
      <c r="R23">
        <f>O23*Q23</f>
        <v>28.596381397401053</v>
      </c>
      <c r="Y23" t="str">
        <f>$K$11</f>
        <v>Gas Cover</v>
      </c>
      <c r="Z23">
        <f>$K$13</f>
        <v>9.9959766250584323</v>
      </c>
      <c r="AA23">
        <f>AA8</f>
        <v>5.201434804499999</v>
      </c>
      <c r="AB23">
        <f>AB8</f>
        <v>5.201434804499999</v>
      </c>
      <c r="AC23">
        <f>Z23*AB23</f>
        <v>51.993420722547363</v>
      </c>
      <c r="AJ23" t="str">
        <f>$K$11</f>
        <v>Gas Cover</v>
      </c>
      <c r="AK23">
        <f>$K$14</f>
        <v>19.991953250116865</v>
      </c>
      <c r="AL23">
        <f>AL8</f>
        <v>5.201434804499999</v>
      </c>
      <c r="AM23">
        <f>AM8</f>
        <v>5.201434804499999</v>
      </c>
      <c r="AN23">
        <f>AK23*AM23</f>
        <v>103.98684144509473</v>
      </c>
      <c r="AU23" t="str">
        <f>$K$11</f>
        <v>Gas Cover</v>
      </c>
      <c r="AV23">
        <f>$K$15</f>
        <v>29.987929875175293</v>
      </c>
      <c r="AW23">
        <f>AW8</f>
        <v>5.201434804499999</v>
      </c>
      <c r="AX23">
        <f>AX8</f>
        <v>5.201434804499999</v>
      </c>
      <c r="AY23">
        <f>AV23*AX23</f>
        <v>155.98026216764208</v>
      </c>
      <c r="BF23" t="str">
        <f>$K$11</f>
        <v>Gas Cover</v>
      </c>
      <c r="BG23">
        <f>$K$16</f>
        <v>49.979883125292154</v>
      </c>
      <c r="BH23">
        <f>BH8</f>
        <v>5.201434804499999</v>
      </c>
      <c r="BI23">
        <f>BI8</f>
        <v>5.201434804499999</v>
      </c>
      <c r="BJ23">
        <f>BG23*BI23</f>
        <v>259.96710361273682</v>
      </c>
      <c r="BQ23" t="str">
        <f>$K$11</f>
        <v>Gas Cover</v>
      </c>
      <c r="BR23">
        <f>$K$17</f>
        <v>74.969824687938242</v>
      </c>
      <c r="BS23">
        <f>BS8</f>
        <v>5.201434804499999</v>
      </c>
      <c r="BT23">
        <f>BT8</f>
        <v>5.201434804499999</v>
      </c>
      <c r="BU23">
        <f>BR23*BT23</f>
        <v>389.95065541910526</v>
      </c>
      <c r="CB23" t="str">
        <f>$K$11</f>
        <v>Gas Cover</v>
      </c>
      <c r="CC23">
        <f>$K$18</f>
        <v>99.959766250584323</v>
      </c>
      <c r="CD23">
        <f>CD8</f>
        <v>5.201434804499999</v>
      </c>
      <c r="CE23">
        <f>CE8</f>
        <v>5.201434804499999</v>
      </c>
      <c r="CF23">
        <f>CC23*CE23</f>
        <v>519.93420722547364</v>
      </c>
      <c r="CX23" t="str">
        <f>$K$11</f>
        <v>Gas Cover</v>
      </c>
      <c r="CY23">
        <f>$K$19</f>
        <v>199.91953250116862</v>
      </c>
      <c r="CZ23">
        <f>CZ8</f>
        <v>5.201434804499999</v>
      </c>
      <c r="DA23">
        <f>DA8</f>
        <v>5.201434804499999</v>
      </c>
      <c r="DB23">
        <f>CY23*DA23</f>
        <v>1039.8684144509473</v>
      </c>
      <c r="DI23" t="str">
        <f>$K$11</f>
        <v>Gas Cover</v>
      </c>
      <c r="DJ23">
        <f>$K$20</f>
        <v>299.87929875175297</v>
      </c>
      <c r="DK23">
        <f>DK8</f>
        <v>5.201434804499999</v>
      </c>
      <c r="DL23">
        <f>DL8</f>
        <v>5.201434804499999</v>
      </c>
      <c r="DM23">
        <f>DJ23*DL23</f>
        <v>1559.802621676421</v>
      </c>
      <c r="DT23" t="str">
        <f>$K$11</f>
        <v>Gas Cover</v>
      </c>
      <c r="DU23">
        <f>$K$21</f>
        <v>399.83906500233729</v>
      </c>
      <c r="DV23">
        <f>DV8</f>
        <v>5.201434804499999</v>
      </c>
      <c r="DW23">
        <f>DW8</f>
        <v>5.201434804499999</v>
      </c>
      <c r="DX23">
        <f>DU23*DW23</f>
        <v>2079.7368289018946</v>
      </c>
      <c r="EE23" t="str">
        <f>$K$11</f>
        <v>Gas Cover</v>
      </c>
      <c r="EF23">
        <f>$K$22</f>
        <v>499.79883125292162</v>
      </c>
      <c r="EG23">
        <f>EG8</f>
        <v>5.201434804499999</v>
      </c>
      <c r="EH23">
        <f>EH8</f>
        <v>5.201434804499999</v>
      </c>
      <c r="EI23">
        <f>EF23*EH23</f>
        <v>2599.6710361273681</v>
      </c>
      <c r="EP23" t="str">
        <f>$K$11</f>
        <v>Gas Cover</v>
      </c>
      <c r="EQ23">
        <f>$K$23</f>
        <v>599.75859750350594</v>
      </c>
      <c r="ER23">
        <f>ER8</f>
        <v>5.201434804499999</v>
      </c>
      <c r="ES23">
        <f>ES8</f>
        <v>5.201434804499999</v>
      </c>
      <c r="ET23">
        <f>EQ23*ES23</f>
        <v>3119.6052433528421</v>
      </c>
      <c r="FA23" t="str">
        <f>$K$11</f>
        <v>Gas Cover</v>
      </c>
      <c r="FB23">
        <f>$K$24</f>
        <v>799.67813000467447</v>
      </c>
      <c r="FC23">
        <f>FC8</f>
        <v>5.201434804499999</v>
      </c>
      <c r="FD23">
        <f>FD8</f>
        <v>5.201434804499999</v>
      </c>
      <c r="FE23">
        <f>FB23*FD23</f>
        <v>4159.4736578037891</v>
      </c>
      <c r="FL23" t="str">
        <f>$K$11</f>
        <v>Gas Cover</v>
      </c>
      <c r="FM23">
        <f>$K$25</f>
        <v>999.59766250584335</v>
      </c>
      <c r="FN23">
        <f>FN8</f>
        <v>5.201434804499999</v>
      </c>
      <c r="FO23">
        <f>FO8</f>
        <v>5.201434804499999</v>
      </c>
      <c r="FP23">
        <f>FM23*FO23</f>
        <v>5199.3420722547371</v>
      </c>
    </row>
    <row r="24" spans="1:172" x14ac:dyDescent="0.25">
      <c r="A24">
        <f>'ABR Design'!AA87</f>
        <v>800</v>
      </c>
      <c r="B24">
        <f>'ABR Design'!AB87</f>
        <v>1096.939317800646</v>
      </c>
      <c r="C24">
        <f>'ABR Design'!AC87</f>
        <v>2</v>
      </c>
      <c r="D24">
        <f>'ABR Design'!AD87</f>
        <v>1</v>
      </c>
      <c r="E24">
        <f>'ABR Design'!AE87</f>
        <v>0</v>
      </c>
      <c r="F24">
        <f>'ABR Design'!AF87</f>
        <v>32</v>
      </c>
      <c r="G24">
        <f>'ABR Design'!AG87</f>
        <v>196</v>
      </c>
      <c r="H24">
        <f>'ABR Design'!AH87</f>
        <v>28</v>
      </c>
      <c r="I24">
        <f>'ABR Design'!AI87</f>
        <v>1078.8749870401518</v>
      </c>
      <c r="J24">
        <f>'ABR Design'!AJ87</f>
        <v>1078.8749870401518</v>
      </c>
      <c r="K24">
        <f>'ABR Design'!AK87</f>
        <v>799.67813000467447</v>
      </c>
    </row>
    <row r="25" spans="1:172" x14ac:dyDescent="0.25">
      <c r="A25">
        <f>'ABR Design'!AA88</f>
        <v>1000</v>
      </c>
      <c r="B25">
        <f>'ABR Design'!AB88</f>
        <v>1370.378362260996</v>
      </c>
      <c r="C25">
        <f>'ABR Design'!AC88</f>
        <v>2</v>
      </c>
      <c r="D25">
        <f>'ABR Design'!AD88</f>
        <v>1</v>
      </c>
      <c r="E25">
        <f>'ABR Design'!AE88</f>
        <v>0</v>
      </c>
      <c r="F25">
        <f>'ABR Design'!AF88</f>
        <v>36</v>
      </c>
      <c r="G25">
        <f>'ABR Design'!AG88</f>
        <v>224</v>
      </c>
      <c r="H25">
        <f>'ABR Design'!AH88</f>
        <v>32</v>
      </c>
      <c r="I25">
        <f>'ABR Design'!AI88</f>
        <v>1321.2570441465932</v>
      </c>
      <c r="J25">
        <f>'ABR Design'!AJ88</f>
        <v>1321.2570441465932</v>
      </c>
      <c r="K25">
        <f>'ABR Design'!AK88</f>
        <v>999.59766250584335</v>
      </c>
    </row>
    <row r="27" spans="1:172" x14ac:dyDescent="0.25">
      <c r="Q27" s="10" t="s">
        <v>58</v>
      </c>
      <c r="R27" s="10">
        <f>SUM(R23:R26)</f>
        <v>28.596381397401053</v>
      </c>
      <c r="AB27" s="10" t="s">
        <v>58</v>
      </c>
      <c r="AC27" s="10">
        <f>SUM(AC23:AC26)</f>
        <v>51.993420722547363</v>
      </c>
      <c r="AM27" s="10" t="s">
        <v>58</v>
      </c>
      <c r="AN27" s="10">
        <f>SUM(AN23:AN26)</f>
        <v>103.98684144509473</v>
      </c>
      <c r="AX27" s="10" t="s">
        <v>58</v>
      </c>
      <c r="AY27" s="10">
        <f>SUM(AY23:AY26)</f>
        <v>155.98026216764208</v>
      </c>
      <c r="BI27" s="10" t="s">
        <v>58</v>
      </c>
      <c r="BJ27" s="10">
        <f>SUM(BJ23:BJ26)</f>
        <v>259.96710361273682</v>
      </c>
      <c r="BT27" s="10" t="s">
        <v>58</v>
      </c>
      <c r="BU27" s="10">
        <f>SUM(BU23:BU26)</f>
        <v>389.95065541910526</v>
      </c>
      <c r="CE27" s="10" t="s">
        <v>58</v>
      </c>
      <c r="CF27" s="10">
        <f>SUM(CF23:CF26)</f>
        <v>519.93420722547364</v>
      </c>
      <c r="DA27" s="10" t="s">
        <v>58</v>
      </c>
      <c r="DB27" s="10">
        <f>SUM(DB23:DB26)</f>
        <v>1039.8684144509473</v>
      </c>
      <c r="DL27" s="10" t="s">
        <v>58</v>
      </c>
      <c r="DM27" s="10">
        <f>SUM(DM23:DM26)</f>
        <v>1559.802621676421</v>
      </c>
      <c r="DW27" s="10" t="s">
        <v>58</v>
      </c>
      <c r="DX27" s="10">
        <f>SUM(DX23:DX26)</f>
        <v>2079.7368289018946</v>
      </c>
      <c r="EH27" s="10" t="s">
        <v>58</v>
      </c>
      <c r="EI27" s="10">
        <f>SUM(EI23:EI26)</f>
        <v>2599.6710361273681</v>
      </c>
      <c r="ES27" s="10" t="s">
        <v>58</v>
      </c>
      <c r="ET27" s="10">
        <f>SUM(ET23:ET26)</f>
        <v>3119.6052433528421</v>
      </c>
      <c r="FD27" s="10" t="s">
        <v>58</v>
      </c>
      <c r="FE27" s="10">
        <f>SUM(FE23:FE26)</f>
        <v>4159.4736578037891</v>
      </c>
      <c r="FO27" s="10" t="s">
        <v>58</v>
      </c>
      <c r="FP27" s="10">
        <f>SUM(FP23:FP26)</f>
        <v>5199.3420722547371</v>
      </c>
    </row>
    <row r="29" spans="1:172" x14ac:dyDescent="0.25">
      <c r="Q29" s="10" t="s">
        <v>625</v>
      </c>
      <c r="R29" s="10">
        <f>R27+R19+R9</f>
        <v>887.26740781634828</v>
      </c>
      <c r="AB29" s="10" t="s">
        <v>625</v>
      </c>
      <c r="AC29" s="10">
        <f>AC27+AC19+AC9</f>
        <v>1120.2967700715831</v>
      </c>
      <c r="AM29" s="10" t="s">
        <v>625</v>
      </c>
      <c r="AN29" s="10">
        <f>AN27+AN19+AN9</f>
        <v>1951.532381261404</v>
      </c>
      <c r="AX29" s="10" t="s">
        <v>625</v>
      </c>
      <c r="AY29" s="10">
        <f>AY27+AY19+AY9</f>
        <v>2301.0736941729683</v>
      </c>
      <c r="BI29" s="10" t="s">
        <v>625</v>
      </c>
      <c r="BJ29" s="10">
        <f>BJ27+BJ19+BJ9</f>
        <v>2977.2132553352576</v>
      </c>
      <c r="BT29" s="10" t="s">
        <v>625</v>
      </c>
      <c r="BU29" s="10">
        <f>BU27+BU19+BU9</f>
        <v>4265.0726044703515</v>
      </c>
      <c r="CE29" s="10" t="s">
        <v>625</v>
      </c>
      <c r="CF29" s="10">
        <f>CF27+CF19+CF9</f>
        <v>5074.2866356006407</v>
      </c>
      <c r="DA29" s="10" t="s">
        <v>625</v>
      </c>
      <c r="DB29" s="10">
        <f>DB27+DB19+DB9</f>
        <v>8708.9853838136787</v>
      </c>
      <c r="DL29" s="10" t="s">
        <v>625</v>
      </c>
      <c r="DM29" s="10">
        <f>DM27+DM19+DM9</f>
        <v>12290.574077928772</v>
      </c>
      <c r="DW29" s="10" t="s">
        <v>625</v>
      </c>
      <c r="DX29" s="10">
        <f>DX27+DX19+DX9</f>
        <v>15379.77156055209</v>
      </c>
      <c r="EH29" s="10" t="s">
        <v>625</v>
      </c>
      <c r="EI29" s="10">
        <f>EI27+EI19+EI9</f>
        <v>18916.299700808355</v>
      </c>
      <c r="ES29" s="10" t="s">
        <v>625</v>
      </c>
      <c r="ET29" s="10">
        <f>ET27+ET19+ET9</f>
        <v>21975.448778486814</v>
      </c>
      <c r="FD29" s="10" t="s">
        <v>625</v>
      </c>
      <c r="FE29" s="10">
        <f>FE27+FE19+FE9</f>
        <v>28532.246738429109</v>
      </c>
      <c r="FO29" s="10" t="s">
        <v>625</v>
      </c>
      <c r="FP29" s="10">
        <f>FP27+FP19+FP9</f>
        <v>35064.198709968645</v>
      </c>
    </row>
    <row r="31" spans="1:172" x14ac:dyDescent="0.25">
      <c r="D31" t="s">
        <v>156</v>
      </c>
    </row>
    <row r="32" spans="1:172" x14ac:dyDescent="0.25">
      <c r="D32">
        <v>5</v>
      </c>
      <c r="E32">
        <f>R29</f>
        <v>887.26740781634828</v>
      </c>
    </row>
    <row r="33" spans="1:177" x14ac:dyDescent="0.25">
      <c r="D33">
        <v>10</v>
      </c>
      <c r="E33">
        <f>$AC$29</f>
        <v>1120.2967700715831</v>
      </c>
    </row>
    <row r="34" spans="1:177" x14ac:dyDescent="0.25">
      <c r="D34">
        <v>20</v>
      </c>
      <c r="E34">
        <f>$AN$29</f>
        <v>1951.532381261404</v>
      </c>
      <c r="N34">
        <v>487.67454218755927</v>
      </c>
      <c r="O34">
        <v>829.24240319918499</v>
      </c>
      <c r="P34">
        <v>2231.3237077981767</v>
      </c>
      <c r="Q34">
        <v>4241.0458799190146</v>
      </c>
      <c r="R34">
        <v>9770.7718760281896</v>
      </c>
      <c r="S34">
        <v>20335.389963998576</v>
      </c>
    </row>
    <row r="35" spans="1:177" x14ac:dyDescent="0.25">
      <c r="D35">
        <v>30</v>
      </c>
      <c r="E35">
        <f>$AY$29</f>
        <v>2301.0736941729683</v>
      </c>
    </row>
    <row r="36" spans="1:177" x14ac:dyDescent="0.25">
      <c r="D36">
        <v>50</v>
      </c>
      <c r="E36">
        <f>$BJ$29</f>
        <v>2977.2132553352576</v>
      </c>
    </row>
    <row r="37" spans="1:177" x14ac:dyDescent="0.25">
      <c r="D37">
        <v>75</v>
      </c>
      <c r="E37">
        <f>$BU$29</f>
        <v>4265.0726044703515</v>
      </c>
    </row>
    <row r="38" spans="1:177" x14ac:dyDescent="0.25">
      <c r="D38">
        <v>100</v>
      </c>
      <c r="E38">
        <f>$CF$29</f>
        <v>5074.2866356006407</v>
      </c>
    </row>
    <row r="39" spans="1:177" x14ac:dyDescent="0.25">
      <c r="D39">
        <v>200</v>
      </c>
      <c r="E39">
        <f>$DB$29</f>
        <v>8708.9853838136787</v>
      </c>
    </row>
    <row r="40" spans="1:177" x14ac:dyDescent="0.25">
      <c r="D40">
        <v>300</v>
      </c>
      <c r="E40">
        <f>$DM$29</f>
        <v>12290.574077928772</v>
      </c>
    </row>
    <row r="41" spans="1:177" x14ac:dyDescent="0.25">
      <c r="D41">
        <v>400</v>
      </c>
      <c r="E41">
        <f>$DX$29</f>
        <v>15379.77156055209</v>
      </c>
    </row>
    <row r="42" spans="1:177" x14ac:dyDescent="0.25">
      <c r="D42">
        <v>500</v>
      </c>
      <c r="E42" s="18">
        <f>$EI$29</f>
        <v>18916.299700808355</v>
      </c>
    </row>
    <row r="43" spans="1:177" x14ac:dyDescent="0.25">
      <c r="D43">
        <v>600</v>
      </c>
      <c r="E43">
        <f>$ET$29</f>
        <v>21975.448778486814</v>
      </c>
    </row>
    <row r="44" spans="1:177" x14ac:dyDescent="0.25">
      <c r="D44">
        <v>800</v>
      </c>
      <c r="E44">
        <f>$FE$29</f>
        <v>28532.246738429109</v>
      </c>
    </row>
    <row r="45" spans="1:177" x14ac:dyDescent="0.25">
      <c r="D45">
        <v>1000</v>
      </c>
      <c r="E45">
        <f>$FP$29</f>
        <v>35064.198709968645</v>
      </c>
    </row>
    <row r="47" spans="1:177" ht="15.75" thickBot="1" x14ac:dyDescent="0.3"/>
    <row r="48" spans="1:177" s="88" customFormat="1" ht="15.75" thickBot="1" x14ac:dyDescent="0.3">
      <c r="A48" s="129" t="s">
        <v>463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1"/>
      <c r="W48" s="90"/>
      <c r="AH48" s="90"/>
      <c r="AS48" s="90"/>
      <c r="BD48" s="90"/>
      <c r="BO48" s="90"/>
      <c r="BZ48" s="90"/>
      <c r="CK48" s="90"/>
      <c r="CV48" s="90"/>
      <c r="DG48" s="90"/>
      <c r="DR48" s="90"/>
      <c r="EC48" s="90"/>
      <c r="EN48" s="90"/>
      <c r="EY48" s="90"/>
      <c r="FJ48" s="90"/>
      <c r="FU48" s="90"/>
    </row>
    <row r="50" spans="1:37" x14ac:dyDescent="0.25">
      <c r="A50" t="s">
        <v>1101</v>
      </c>
      <c r="N50" t="s">
        <v>915</v>
      </c>
      <c r="Y50" t="s">
        <v>915</v>
      </c>
      <c r="AJ50" t="s">
        <v>915</v>
      </c>
    </row>
    <row r="51" spans="1:37" x14ac:dyDescent="0.25">
      <c r="N51" t="s">
        <v>1132</v>
      </c>
      <c r="O51" t="s">
        <v>1494</v>
      </c>
      <c r="Y51" t="s">
        <v>1132</v>
      </c>
      <c r="Z51" t="s">
        <v>1494</v>
      </c>
      <c r="AJ51" t="s">
        <v>1132</v>
      </c>
      <c r="AK51" t="s">
        <v>1494</v>
      </c>
    </row>
    <row r="52" spans="1:37" x14ac:dyDescent="0.25">
      <c r="N52">
        <f>1</f>
        <v>1</v>
      </c>
      <c r="O52">
        <f>N52*N$62</f>
        <v>211.7</v>
      </c>
      <c r="Y52">
        <f>1</f>
        <v>1</v>
      </c>
      <c r="Z52">
        <f>Y52*Y$62</f>
        <v>272.89999999999998</v>
      </c>
      <c r="AJ52">
        <f>1</f>
        <v>1</v>
      </c>
      <c r="AK52">
        <f>AJ52*AJ$62</f>
        <v>517.70000000000005</v>
      </c>
    </row>
    <row r="53" spans="1:37" x14ac:dyDescent="0.25">
      <c r="N53">
        <f>0.5</f>
        <v>0.5</v>
      </c>
      <c r="O53">
        <f t="shared" ref="O53:O58" si="28">N53*N$62</f>
        <v>105.85</v>
      </c>
      <c r="Y53">
        <f>0.5</f>
        <v>0.5</v>
      </c>
      <c r="Z53">
        <f t="shared" ref="Z53:Z58" si="29">Y53*Y$62</f>
        <v>136.44999999999999</v>
      </c>
      <c r="AJ53">
        <f>0.5</f>
        <v>0.5</v>
      </c>
      <c r="AK53">
        <f t="shared" ref="AK53:AK58" si="30">AJ53*AJ$62</f>
        <v>258.85000000000002</v>
      </c>
    </row>
    <row r="54" spans="1:37" x14ac:dyDescent="0.25">
      <c r="N54">
        <f>1/3</f>
        <v>0.33333333333333331</v>
      </c>
      <c r="O54">
        <f t="shared" si="28"/>
        <v>70.566666666666663</v>
      </c>
      <c r="Y54">
        <f>1/3</f>
        <v>0.33333333333333331</v>
      </c>
      <c r="Z54">
        <f t="shared" si="29"/>
        <v>90.966666666666654</v>
      </c>
      <c r="AJ54">
        <f>1/3</f>
        <v>0.33333333333333331</v>
      </c>
      <c r="AK54">
        <f t="shared" si="30"/>
        <v>172.56666666666666</v>
      </c>
    </row>
    <row r="55" spans="1:37" x14ac:dyDescent="0.25">
      <c r="B55" t="s">
        <v>156</v>
      </c>
      <c r="C55" t="s">
        <v>278</v>
      </c>
      <c r="E55" t="s">
        <v>326</v>
      </c>
      <c r="H55" t="s">
        <v>1495</v>
      </c>
      <c r="N55">
        <f>1/4</f>
        <v>0.25</v>
      </c>
      <c r="O55">
        <f t="shared" si="28"/>
        <v>52.924999999999997</v>
      </c>
      <c r="Y55">
        <f>1/4</f>
        <v>0.25</v>
      </c>
      <c r="Z55">
        <f t="shared" si="29"/>
        <v>68.224999999999994</v>
      </c>
      <c r="AJ55">
        <f>1/4</f>
        <v>0.25</v>
      </c>
      <c r="AK55">
        <f t="shared" si="30"/>
        <v>129.42500000000001</v>
      </c>
    </row>
    <row r="56" spans="1:37" x14ac:dyDescent="0.25">
      <c r="B56">
        <v>5</v>
      </c>
      <c r="C56">
        <v>6</v>
      </c>
      <c r="E56">
        <f>Index!C66</f>
        <v>211.7</v>
      </c>
      <c r="H56">
        <f>E56*(1/7)</f>
        <v>30.24285714285714</v>
      </c>
      <c r="N56">
        <f>1/5</f>
        <v>0.2</v>
      </c>
      <c r="O56">
        <f t="shared" si="28"/>
        <v>42.34</v>
      </c>
      <c r="Y56">
        <f>1/5</f>
        <v>0.2</v>
      </c>
      <c r="Z56">
        <f t="shared" si="29"/>
        <v>54.58</v>
      </c>
      <c r="AJ56">
        <f>1/5</f>
        <v>0.2</v>
      </c>
      <c r="AK56">
        <f t="shared" si="30"/>
        <v>103.54000000000002</v>
      </c>
    </row>
    <row r="57" spans="1:37" x14ac:dyDescent="0.25">
      <c r="B57">
        <v>10</v>
      </c>
      <c r="C57">
        <v>12</v>
      </c>
      <c r="E57">
        <f>Index!$C$66+Index!$C$67*('ABR-Exca'!C57-9)</f>
        <v>272.89999999999998</v>
      </c>
      <c r="H57">
        <f>E57*(1/7)</f>
        <v>38.98571428571428</v>
      </c>
      <c r="N57">
        <f>1/6</f>
        <v>0.16666666666666666</v>
      </c>
      <c r="O57">
        <f t="shared" si="28"/>
        <v>35.283333333333331</v>
      </c>
      <c r="Y57">
        <f>1/6</f>
        <v>0.16666666666666666</v>
      </c>
      <c r="Z57">
        <f t="shared" si="29"/>
        <v>45.483333333333327</v>
      </c>
      <c r="AJ57">
        <f>1/6</f>
        <v>0.16666666666666666</v>
      </c>
      <c r="AK57">
        <f t="shared" si="30"/>
        <v>86.283333333333331</v>
      </c>
    </row>
    <row r="58" spans="1:37" x14ac:dyDescent="0.25">
      <c r="B58">
        <v>20</v>
      </c>
      <c r="C58">
        <v>24</v>
      </c>
      <c r="E58">
        <f>Index!$C$66+Index!$C$67*('ABR-Exca'!C58-9)</f>
        <v>517.70000000000005</v>
      </c>
      <c r="H58">
        <f t="shared" ref="H58:H70" si="31">E58*(1/7)</f>
        <v>73.957142857142856</v>
      </c>
      <c r="N58">
        <f>1/7</f>
        <v>0.14285714285714285</v>
      </c>
      <c r="O58">
        <f t="shared" si="28"/>
        <v>30.24285714285714</v>
      </c>
      <c r="Y58">
        <f>1/7</f>
        <v>0.14285714285714285</v>
      </c>
      <c r="Z58">
        <f t="shared" si="29"/>
        <v>38.98571428571428</v>
      </c>
      <c r="AJ58">
        <f>1/7</f>
        <v>0.14285714285714285</v>
      </c>
      <c r="AK58">
        <f t="shared" si="30"/>
        <v>73.957142857142856</v>
      </c>
    </row>
    <row r="59" spans="1:37" x14ac:dyDescent="0.25">
      <c r="B59">
        <v>30</v>
      </c>
      <c r="C59">
        <v>36</v>
      </c>
      <c r="E59">
        <f>Index!$C$66+Index!$C$67*('ABR-Exca'!C59-9)</f>
        <v>762.5</v>
      </c>
      <c r="H59">
        <f t="shared" si="31"/>
        <v>108.92857142857142</v>
      </c>
    </row>
    <row r="60" spans="1:37" x14ac:dyDescent="0.25">
      <c r="B60">
        <v>50</v>
      </c>
      <c r="C60">
        <v>60</v>
      </c>
      <c r="E60">
        <f>Index!$C$66+Index!$C$67*('ABR-Exca'!C60-9)</f>
        <v>1252.0999999999999</v>
      </c>
      <c r="H60">
        <f t="shared" si="31"/>
        <v>178.87142857142854</v>
      </c>
    </row>
    <row r="61" spans="1:37" x14ac:dyDescent="0.25">
      <c r="B61">
        <v>75</v>
      </c>
      <c r="C61">
        <v>90</v>
      </c>
      <c r="E61">
        <f>Index!$C$66+Index!$C$67*('ABR-Exca'!C61-9)</f>
        <v>1864.1</v>
      </c>
      <c r="H61">
        <f t="shared" si="31"/>
        <v>266.29999999999995</v>
      </c>
      <c r="N61" t="s">
        <v>1493</v>
      </c>
      <c r="Y61" t="s">
        <v>1493</v>
      </c>
      <c r="AJ61" t="s">
        <v>1493</v>
      </c>
    </row>
    <row r="62" spans="1:37" x14ac:dyDescent="0.25">
      <c r="B62">
        <v>100</v>
      </c>
      <c r="C62">
        <v>120</v>
      </c>
      <c r="E62">
        <f>Index!$C$66+Index!$C$67*('ABR-Exca'!C62-9)</f>
        <v>2476.0999999999995</v>
      </c>
      <c r="H62">
        <f t="shared" si="31"/>
        <v>353.72857142857134</v>
      </c>
      <c r="N62">
        <f>$E$56</f>
        <v>211.7</v>
      </c>
      <c r="Y62">
        <f>$E$57</f>
        <v>272.89999999999998</v>
      </c>
      <c r="AJ62">
        <f>$E$58</f>
        <v>517.70000000000005</v>
      </c>
    </row>
    <row r="63" spans="1:37" x14ac:dyDescent="0.25">
      <c r="B63">
        <v>150</v>
      </c>
      <c r="C63">
        <f>AVERAGE(C62,C64)</f>
        <v>180</v>
      </c>
      <c r="E63">
        <f>Index!$C$66+Index!$C$67*('ABR-Exca'!C63-9)</f>
        <v>3700.0999999999995</v>
      </c>
      <c r="H63">
        <f t="shared" si="31"/>
        <v>528.58571428571418</v>
      </c>
    </row>
    <row r="64" spans="1:37" x14ac:dyDescent="0.25">
      <c r="B64">
        <v>200</v>
      </c>
      <c r="C64">
        <v>240</v>
      </c>
      <c r="E64">
        <f>Index!$C$66+Index!$C$67*('ABR-Exca'!C64-9)</f>
        <v>4924.0999999999995</v>
      </c>
      <c r="H64">
        <f t="shared" si="31"/>
        <v>703.44285714285706</v>
      </c>
    </row>
    <row r="65" spans="2:171" x14ac:dyDescent="0.25">
      <c r="B65">
        <v>300</v>
      </c>
      <c r="C65">
        <v>360</v>
      </c>
      <c r="E65">
        <f>Index!$C$66+Index!$C$67*('ABR-Exca'!C65-9)</f>
        <v>7372.0999999999995</v>
      </c>
      <c r="H65">
        <f t="shared" si="31"/>
        <v>1053.1571428571426</v>
      </c>
    </row>
    <row r="66" spans="2:171" x14ac:dyDescent="0.25">
      <c r="B66">
        <v>400</v>
      </c>
      <c r="C66">
        <v>480</v>
      </c>
      <c r="E66">
        <f>Index!$C$66+Index!$C$67*('ABR-Exca'!C66-9)</f>
        <v>9820.1</v>
      </c>
      <c r="H66">
        <f t="shared" si="31"/>
        <v>1402.8714285714286</v>
      </c>
    </row>
    <row r="67" spans="2:171" x14ac:dyDescent="0.25">
      <c r="B67">
        <v>500</v>
      </c>
      <c r="C67">
        <v>600</v>
      </c>
      <c r="E67">
        <f>Index!$C$66+Index!$C$67*('ABR-Exca'!C67-9)</f>
        <v>12268.1</v>
      </c>
      <c r="H67">
        <f t="shared" si="31"/>
        <v>1752.5857142857142</v>
      </c>
    </row>
    <row r="68" spans="2:171" x14ac:dyDescent="0.25">
      <c r="B68">
        <v>600</v>
      </c>
      <c r="C68">
        <v>720</v>
      </c>
      <c r="E68">
        <f>Index!$C$66+Index!$C$67*('ABR-Exca'!C68-9)</f>
        <v>14716.1</v>
      </c>
      <c r="H68">
        <f t="shared" si="31"/>
        <v>2102.2999999999997</v>
      </c>
    </row>
    <row r="69" spans="2:171" x14ac:dyDescent="0.25">
      <c r="B69">
        <v>800</v>
      </c>
      <c r="C69">
        <v>960</v>
      </c>
      <c r="E69">
        <f>Index!$C$66+Index!$C$67*('ABR-Exca'!C69-9)</f>
        <v>19612.099999999999</v>
      </c>
      <c r="H69">
        <f t="shared" si="31"/>
        <v>2801.7285714285713</v>
      </c>
    </row>
    <row r="70" spans="2:171" x14ac:dyDescent="0.25">
      <c r="B70">
        <v>1000</v>
      </c>
      <c r="C70">
        <v>1200</v>
      </c>
      <c r="E70">
        <f>Index!$C$66+Index!$C$67*('ABR-Exca'!C70-9)</f>
        <v>24508.1</v>
      </c>
      <c r="H70">
        <f t="shared" si="31"/>
        <v>3501.1571428571424</v>
      </c>
      <c r="O70" t="s">
        <v>1614</v>
      </c>
      <c r="P70" t="s">
        <v>1614</v>
      </c>
      <c r="Z70" t="s">
        <v>1614</v>
      </c>
      <c r="AA70" t="s">
        <v>1614</v>
      </c>
      <c r="AK70" t="s">
        <v>1614</v>
      </c>
      <c r="AL70" t="s">
        <v>1614</v>
      </c>
      <c r="AV70" t="s">
        <v>1614</v>
      </c>
      <c r="AW70" t="s">
        <v>1614</v>
      </c>
      <c r="BG70" t="s">
        <v>1614</v>
      </c>
      <c r="BH70" t="s">
        <v>1614</v>
      </c>
      <c r="BR70" t="s">
        <v>1614</v>
      </c>
      <c r="BS70" t="s">
        <v>1614</v>
      </c>
      <c r="CC70" t="s">
        <v>1614</v>
      </c>
      <c r="CD70" t="s">
        <v>1614</v>
      </c>
      <c r="CN70" t="s">
        <v>1614</v>
      </c>
      <c r="CO70" t="s">
        <v>1614</v>
      </c>
      <c r="CY70" t="s">
        <v>1614</v>
      </c>
      <c r="CZ70" t="s">
        <v>1614</v>
      </c>
      <c r="DJ70" t="s">
        <v>1614</v>
      </c>
      <c r="DK70" t="s">
        <v>1614</v>
      </c>
      <c r="DU70" t="s">
        <v>1614</v>
      </c>
      <c r="DV70" t="s">
        <v>1614</v>
      </c>
      <c r="EF70" t="s">
        <v>1614</v>
      </c>
      <c r="EG70" t="s">
        <v>1614</v>
      </c>
      <c r="EQ70" t="s">
        <v>1614</v>
      </c>
      <c r="ER70" t="s">
        <v>1614</v>
      </c>
      <c r="FB70" t="s">
        <v>1614</v>
      </c>
      <c r="FC70" t="s">
        <v>1614</v>
      </c>
      <c r="FM70" t="s">
        <v>1614</v>
      </c>
      <c r="FN70" t="s">
        <v>1614</v>
      </c>
    </row>
    <row r="71" spans="2:171" x14ac:dyDescent="0.25">
      <c r="N71" t="s">
        <v>1613</v>
      </c>
      <c r="O71">
        <v>0</v>
      </c>
      <c r="P71">
        <v>3.5000000000000003E-2</v>
      </c>
      <c r="Q71">
        <v>0.06</v>
      </c>
      <c r="Y71" t="s">
        <v>1613</v>
      </c>
      <c r="Z71">
        <v>0</v>
      </c>
      <c r="AA71">
        <v>3.5000000000000003E-2</v>
      </c>
      <c r="AB71">
        <v>0.06</v>
      </c>
      <c r="AJ71" t="s">
        <v>1613</v>
      </c>
      <c r="AK71">
        <v>0</v>
      </c>
      <c r="AL71">
        <v>3.5000000000000003E-2</v>
      </c>
      <c r="AM71">
        <v>0.06</v>
      </c>
      <c r="AU71" t="s">
        <v>1613</v>
      </c>
      <c r="AV71">
        <v>0</v>
      </c>
      <c r="AW71">
        <v>3.5000000000000003E-2</v>
      </c>
      <c r="AX71">
        <v>0.06</v>
      </c>
      <c r="BF71" t="s">
        <v>1613</v>
      </c>
      <c r="BG71">
        <v>0</v>
      </c>
      <c r="BH71">
        <v>3.5000000000000003E-2</v>
      </c>
      <c r="BI71">
        <v>0.06</v>
      </c>
      <c r="BQ71" t="s">
        <v>1613</v>
      </c>
      <c r="BR71">
        <v>0</v>
      </c>
      <c r="BS71">
        <v>3.5000000000000003E-2</v>
      </c>
      <c r="BT71">
        <v>0.06</v>
      </c>
      <c r="CB71" t="s">
        <v>1613</v>
      </c>
      <c r="CC71">
        <v>0</v>
      </c>
      <c r="CD71">
        <v>3.5000000000000003E-2</v>
      </c>
      <c r="CE71">
        <v>0.06</v>
      </c>
      <c r="CM71" t="s">
        <v>1613</v>
      </c>
      <c r="CN71">
        <v>0</v>
      </c>
      <c r="CO71">
        <v>3.5000000000000003E-2</v>
      </c>
      <c r="CP71">
        <v>0.06</v>
      </c>
      <c r="CX71" t="s">
        <v>1613</v>
      </c>
      <c r="CY71">
        <v>0</v>
      </c>
      <c r="CZ71">
        <v>3.5000000000000003E-2</v>
      </c>
      <c r="DA71">
        <v>0.06</v>
      </c>
      <c r="DI71" t="s">
        <v>1613</v>
      </c>
      <c r="DJ71">
        <v>0</v>
      </c>
      <c r="DK71">
        <v>3.5000000000000003E-2</v>
      </c>
      <c r="DL71">
        <v>0.06</v>
      </c>
      <c r="DT71" t="s">
        <v>1613</v>
      </c>
      <c r="DU71">
        <v>0</v>
      </c>
      <c r="DV71">
        <v>3.5000000000000003E-2</v>
      </c>
      <c r="DW71">
        <v>0.06</v>
      </c>
      <c r="EE71" t="s">
        <v>1613</v>
      </c>
      <c r="EF71">
        <v>0</v>
      </c>
      <c r="EG71">
        <v>3.5000000000000003E-2</v>
      </c>
      <c r="EH71">
        <v>0.06</v>
      </c>
      <c r="EP71" t="s">
        <v>1613</v>
      </c>
      <c r="EQ71">
        <v>0</v>
      </c>
      <c r="ER71">
        <v>3.5000000000000003E-2</v>
      </c>
      <c r="ES71">
        <v>0.06</v>
      </c>
      <c r="FA71" t="s">
        <v>1613</v>
      </c>
      <c r="FB71">
        <v>0</v>
      </c>
      <c r="FC71">
        <v>3.5000000000000003E-2</v>
      </c>
      <c r="FD71">
        <v>0.06</v>
      </c>
      <c r="FL71" t="s">
        <v>1613</v>
      </c>
      <c r="FM71">
        <v>0</v>
      </c>
      <c r="FN71">
        <v>3.5000000000000003E-2</v>
      </c>
      <c r="FO71">
        <v>0.06</v>
      </c>
    </row>
    <row r="72" spans="2:171" x14ac:dyDescent="0.25">
      <c r="N72">
        <v>1</v>
      </c>
      <c r="O72">
        <v>0</v>
      </c>
      <c r="P72">
        <f>O72/((1+P$71)^N72)</f>
        <v>0</v>
      </c>
      <c r="Q72">
        <f>O72/((1+Q$71)^N72)</f>
        <v>0</v>
      </c>
      <c r="Y72">
        <v>1</v>
      </c>
      <c r="Z72">
        <v>0</v>
      </c>
      <c r="AA72">
        <f>Z72/((1+AA$71)^Y72)</f>
        <v>0</v>
      </c>
      <c r="AB72">
        <f>Z72/((1+AB$71)^Y72)</f>
        <v>0</v>
      </c>
      <c r="AJ72">
        <v>1</v>
      </c>
      <c r="AK72">
        <v>0</v>
      </c>
      <c r="AL72">
        <f>AK72/((1+AL$71)^AJ72)</f>
        <v>0</v>
      </c>
      <c r="AM72">
        <f>AK72/((1+AM$71)^AJ72)</f>
        <v>0</v>
      </c>
      <c r="AU72">
        <v>1</v>
      </c>
      <c r="AV72">
        <v>0</v>
      </c>
      <c r="AW72">
        <f>AV72/((1+AW$71)^AU72)</f>
        <v>0</v>
      </c>
      <c r="AX72">
        <f>AV72/((1+AX$71)^AU72)</f>
        <v>0</v>
      </c>
      <c r="BF72">
        <v>1</v>
      </c>
      <c r="BG72">
        <v>0</v>
      </c>
      <c r="BH72">
        <f>BG72/((1+BH$71)^BF72)</f>
        <v>0</v>
      </c>
      <c r="BI72">
        <f>BG72/((1+BI$71)^BF72)</f>
        <v>0</v>
      </c>
      <c r="BQ72">
        <v>1</v>
      </c>
      <c r="BR72">
        <v>0</v>
      </c>
      <c r="BS72">
        <f>BR72/((1+BS$71)^BQ72)</f>
        <v>0</v>
      </c>
      <c r="BT72">
        <f>BR72/((1+BT$71)^BQ72)</f>
        <v>0</v>
      </c>
      <c r="CB72">
        <v>1</v>
      </c>
      <c r="CC72">
        <v>0</v>
      </c>
      <c r="CD72">
        <f>CC72/((1+CD$71)^CB72)</f>
        <v>0</v>
      </c>
      <c r="CE72">
        <f>CC72/((1+CE$71)^CB72)</f>
        <v>0</v>
      </c>
      <c r="CM72">
        <v>1</v>
      </c>
      <c r="CN72">
        <v>0</v>
      </c>
      <c r="CO72">
        <f>CN72/((1+CO$71)^CM72)</f>
        <v>0</v>
      </c>
      <c r="CP72">
        <f>CN72/((1+CP$71)^CM72)</f>
        <v>0</v>
      </c>
      <c r="CX72">
        <v>1</v>
      </c>
      <c r="CY72">
        <v>0</v>
      </c>
      <c r="CZ72">
        <f>CY72/((1+CZ$71)^CX72)</f>
        <v>0</v>
      </c>
      <c r="DA72">
        <f>CY72/((1+DA$71)^CX72)</f>
        <v>0</v>
      </c>
      <c r="DI72">
        <v>1</v>
      </c>
      <c r="DJ72">
        <v>0</v>
      </c>
      <c r="DK72">
        <f>DJ72/((1+DK$71)^DI72)</f>
        <v>0</v>
      </c>
      <c r="DL72">
        <f>DJ72/((1+DL$71)^DI72)</f>
        <v>0</v>
      </c>
      <c r="DT72">
        <v>1</v>
      </c>
      <c r="DU72">
        <v>0</v>
      </c>
      <c r="DV72">
        <f>DU72/((1+DV$71)^DT72)</f>
        <v>0</v>
      </c>
      <c r="DW72">
        <f>DU72/((1+DW$71)^DT72)</f>
        <v>0</v>
      </c>
      <c r="EE72">
        <v>1</v>
      </c>
      <c r="EF72">
        <v>0</v>
      </c>
      <c r="EG72">
        <f>EF72/((1+EG$71)^EE72)</f>
        <v>0</v>
      </c>
      <c r="EH72">
        <f>EF72/((1+EH$71)^EE72)</f>
        <v>0</v>
      </c>
      <c r="EP72">
        <v>1</v>
      </c>
      <c r="EQ72">
        <v>0</v>
      </c>
      <c r="ER72">
        <f>EQ72/((1+ER$71)^EP72)</f>
        <v>0</v>
      </c>
      <c r="ES72">
        <f>EQ72/((1+ES$71)^EP72)</f>
        <v>0</v>
      </c>
      <c r="FA72">
        <v>1</v>
      </c>
      <c r="FB72">
        <v>0</v>
      </c>
      <c r="FC72">
        <f>FB72/((1+FC$71)^FA72)</f>
        <v>0</v>
      </c>
      <c r="FD72">
        <f>FB72/((1+FD$71)^FA72)</f>
        <v>0</v>
      </c>
      <c r="FL72">
        <v>1</v>
      </c>
      <c r="FM72">
        <v>0</v>
      </c>
      <c r="FN72">
        <f>FM72/((1+FN$71)^FL72)</f>
        <v>0</v>
      </c>
      <c r="FO72">
        <f>FM72/((1+FO$71)^FL72)</f>
        <v>0</v>
      </c>
    </row>
    <row r="73" spans="2:171" x14ac:dyDescent="0.25">
      <c r="N73">
        <v>2</v>
      </c>
      <c r="O73">
        <v>0</v>
      </c>
      <c r="P73">
        <f t="shared" ref="P73:P101" si="32">O73/((1+P$71)^N73)</f>
        <v>0</v>
      </c>
      <c r="Q73">
        <f t="shared" ref="Q73:Q101" si="33">O73/((1+Q$71)^N73)</f>
        <v>0</v>
      </c>
      <c r="Y73">
        <v>2</v>
      </c>
      <c r="Z73">
        <v>0</v>
      </c>
      <c r="AA73">
        <f t="shared" ref="AA73:AA101" si="34">Z73/((1+AA$71)^Y73)</f>
        <v>0</v>
      </c>
      <c r="AB73">
        <f t="shared" ref="AB73:AB101" si="35">Z73/((1+AB$71)^Y73)</f>
        <v>0</v>
      </c>
      <c r="AJ73">
        <v>2</v>
      </c>
      <c r="AK73">
        <v>0</v>
      </c>
      <c r="AL73">
        <f t="shared" ref="AL73:AL101" si="36">AK73/((1+AL$71)^AJ73)</f>
        <v>0</v>
      </c>
      <c r="AM73">
        <f t="shared" ref="AM73:AM101" si="37">AK73/((1+AM$71)^AJ73)</f>
        <v>0</v>
      </c>
      <c r="AU73">
        <v>2</v>
      </c>
      <c r="AV73">
        <v>0</v>
      </c>
      <c r="AW73">
        <f t="shared" ref="AW73:AW101" si="38">AV73/((1+AW$71)^AU73)</f>
        <v>0</v>
      </c>
      <c r="AX73">
        <f t="shared" ref="AX73:AX101" si="39">AV73/((1+AX$71)^AU73)</f>
        <v>0</v>
      </c>
      <c r="BF73">
        <v>2</v>
      </c>
      <c r="BG73">
        <v>0</v>
      </c>
      <c r="BH73">
        <f t="shared" ref="BH73:BH101" si="40">BG73/((1+BH$71)^BF73)</f>
        <v>0</v>
      </c>
      <c r="BI73">
        <f t="shared" ref="BI73:BI101" si="41">BG73/((1+BI$71)^BF73)</f>
        <v>0</v>
      </c>
      <c r="BQ73">
        <v>2</v>
      </c>
      <c r="BR73">
        <v>0</v>
      </c>
      <c r="BS73">
        <f t="shared" ref="BS73:BS101" si="42">BR73/((1+BS$71)^BQ73)</f>
        <v>0</v>
      </c>
      <c r="BT73">
        <f t="shared" ref="BT73:BT101" si="43">BR73/((1+BT$71)^BQ73)</f>
        <v>0</v>
      </c>
      <c r="CB73">
        <v>2</v>
      </c>
      <c r="CC73">
        <v>0</v>
      </c>
      <c r="CD73">
        <f t="shared" ref="CD73:CD101" si="44">CC73/((1+CD$71)^CB73)</f>
        <v>0</v>
      </c>
      <c r="CE73">
        <f t="shared" ref="CE73:CE101" si="45">CC73/((1+CE$71)^CB73)</f>
        <v>0</v>
      </c>
      <c r="CM73">
        <v>2</v>
      </c>
      <c r="CN73">
        <v>0</v>
      </c>
      <c r="CO73">
        <f t="shared" ref="CO73:CO101" si="46">CN73/((1+CO$71)^CM73)</f>
        <v>0</v>
      </c>
      <c r="CP73">
        <f t="shared" ref="CP73:CP101" si="47">CN73/((1+CP$71)^CM73)</f>
        <v>0</v>
      </c>
      <c r="CX73">
        <v>2</v>
      </c>
      <c r="CY73">
        <v>0</v>
      </c>
      <c r="CZ73">
        <f t="shared" ref="CZ73:CZ101" si="48">CY73/((1+CZ$71)^CX73)</f>
        <v>0</v>
      </c>
      <c r="DA73">
        <f t="shared" ref="DA73:DA101" si="49">CY73/((1+DA$71)^CX73)</f>
        <v>0</v>
      </c>
      <c r="DI73">
        <v>2</v>
      </c>
      <c r="DJ73">
        <v>0</v>
      </c>
      <c r="DK73">
        <f t="shared" ref="DK73:DK101" si="50">DJ73/((1+DK$71)^DI73)</f>
        <v>0</v>
      </c>
      <c r="DL73">
        <f t="shared" ref="DL73:DL101" si="51">DJ73/((1+DL$71)^DI73)</f>
        <v>0</v>
      </c>
      <c r="DT73">
        <v>2</v>
      </c>
      <c r="DU73">
        <v>0</v>
      </c>
      <c r="DV73">
        <f t="shared" ref="DV73:DV101" si="52">DU73/((1+DV$71)^DT73)</f>
        <v>0</v>
      </c>
      <c r="DW73">
        <f t="shared" ref="DW73:DW101" si="53">DU73/((1+DW$71)^DT73)</f>
        <v>0</v>
      </c>
      <c r="EE73">
        <v>2</v>
      </c>
      <c r="EF73">
        <v>0</v>
      </c>
      <c r="EG73">
        <f t="shared" ref="EG73:EG101" si="54">EF73/((1+EG$71)^EE73)</f>
        <v>0</v>
      </c>
      <c r="EH73">
        <f t="shared" ref="EH73:EH101" si="55">EF73/((1+EH$71)^EE73)</f>
        <v>0</v>
      </c>
      <c r="EP73">
        <v>2</v>
      </c>
      <c r="EQ73">
        <v>0</v>
      </c>
      <c r="ER73">
        <f t="shared" ref="ER73:ER101" si="56">EQ73/((1+ER$71)^EP73)</f>
        <v>0</v>
      </c>
      <c r="ES73">
        <f t="shared" ref="ES73:ES101" si="57">EQ73/((1+ES$71)^EP73)</f>
        <v>0</v>
      </c>
      <c r="FA73">
        <v>2</v>
      </c>
      <c r="FB73">
        <v>0</v>
      </c>
      <c r="FC73">
        <f t="shared" ref="FC73:FC101" si="58">FB73/((1+FC$71)^FA73)</f>
        <v>0</v>
      </c>
      <c r="FD73">
        <f t="shared" ref="FD73:FD101" si="59">FB73/((1+FD$71)^FA73)</f>
        <v>0</v>
      </c>
      <c r="FL73">
        <v>2</v>
      </c>
      <c r="FM73">
        <v>0</v>
      </c>
      <c r="FN73">
        <f t="shared" ref="FN73:FN101" si="60">FM73/((1+FN$71)^FL73)</f>
        <v>0</v>
      </c>
      <c r="FO73">
        <f t="shared" ref="FO73:FO101" si="61">FM73/((1+FO$71)^FL73)</f>
        <v>0</v>
      </c>
    </row>
    <row r="74" spans="2:171" x14ac:dyDescent="0.25">
      <c r="N74">
        <v>3</v>
      </c>
      <c r="O74">
        <v>0</v>
      </c>
      <c r="P74">
        <f t="shared" si="32"/>
        <v>0</v>
      </c>
      <c r="Q74">
        <f t="shared" si="33"/>
        <v>0</v>
      </c>
      <c r="Y74">
        <v>3</v>
      </c>
      <c r="Z74">
        <v>0</v>
      </c>
      <c r="AA74">
        <f t="shared" si="34"/>
        <v>0</v>
      </c>
      <c r="AB74">
        <f t="shared" si="35"/>
        <v>0</v>
      </c>
      <c r="AJ74">
        <v>3</v>
      </c>
      <c r="AK74">
        <v>0</v>
      </c>
      <c r="AL74">
        <f t="shared" si="36"/>
        <v>0</v>
      </c>
      <c r="AM74">
        <f t="shared" si="37"/>
        <v>0</v>
      </c>
      <c r="AU74">
        <v>3</v>
      </c>
      <c r="AV74">
        <v>0</v>
      </c>
      <c r="AW74">
        <f t="shared" si="38"/>
        <v>0</v>
      </c>
      <c r="AX74">
        <f t="shared" si="39"/>
        <v>0</v>
      </c>
      <c r="BF74">
        <v>3</v>
      </c>
      <c r="BG74">
        <v>0</v>
      </c>
      <c r="BH74">
        <f t="shared" si="40"/>
        <v>0</v>
      </c>
      <c r="BI74">
        <f t="shared" si="41"/>
        <v>0</v>
      </c>
      <c r="BQ74">
        <v>3</v>
      </c>
      <c r="BR74">
        <v>0</v>
      </c>
      <c r="BS74">
        <f t="shared" si="42"/>
        <v>0</v>
      </c>
      <c r="BT74">
        <f t="shared" si="43"/>
        <v>0</v>
      </c>
      <c r="CB74">
        <v>3</v>
      </c>
      <c r="CC74">
        <v>0</v>
      </c>
      <c r="CD74">
        <f t="shared" si="44"/>
        <v>0</v>
      </c>
      <c r="CE74">
        <f t="shared" si="45"/>
        <v>0</v>
      </c>
      <c r="CM74">
        <v>3</v>
      </c>
      <c r="CN74">
        <v>0</v>
      </c>
      <c r="CO74">
        <f t="shared" si="46"/>
        <v>0</v>
      </c>
      <c r="CP74">
        <f t="shared" si="47"/>
        <v>0</v>
      </c>
      <c r="CX74">
        <v>3</v>
      </c>
      <c r="CY74">
        <v>0</v>
      </c>
      <c r="CZ74">
        <f t="shared" si="48"/>
        <v>0</v>
      </c>
      <c r="DA74">
        <f t="shared" si="49"/>
        <v>0</v>
      </c>
      <c r="DI74">
        <v>3</v>
      </c>
      <c r="DJ74">
        <v>0</v>
      </c>
      <c r="DK74">
        <f t="shared" si="50"/>
        <v>0</v>
      </c>
      <c r="DL74">
        <f t="shared" si="51"/>
        <v>0</v>
      </c>
      <c r="DT74">
        <v>3</v>
      </c>
      <c r="DU74">
        <v>0</v>
      </c>
      <c r="DV74">
        <f t="shared" si="52"/>
        <v>0</v>
      </c>
      <c r="DW74">
        <f t="shared" si="53"/>
        <v>0</v>
      </c>
      <c r="EE74">
        <v>3</v>
      </c>
      <c r="EF74">
        <v>0</v>
      </c>
      <c r="EG74">
        <f t="shared" si="54"/>
        <v>0</v>
      </c>
      <c r="EH74">
        <f t="shared" si="55"/>
        <v>0</v>
      </c>
      <c r="EP74">
        <v>3</v>
      </c>
      <c r="EQ74">
        <v>0</v>
      </c>
      <c r="ER74">
        <f t="shared" si="56"/>
        <v>0</v>
      </c>
      <c r="ES74">
        <f t="shared" si="57"/>
        <v>0</v>
      </c>
      <c r="FA74">
        <v>3</v>
      </c>
      <c r="FB74">
        <v>0</v>
      </c>
      <c r="FC74">
        <f t="shared" si="58"/>
        <v>0</v>
      </c>
      <c r="FD74">
        <f t="shared" si="59"/>
        <v>0</v>
      </c>
      <c r="FL74">
        <v>3</v>
      </c>
      <c r="FM74">
        <v>0</v>
      </c>
      <c r="FN74">
        <f t="shared" si="60"/>
        <v>0</v>
      </c>
      <c r="FO74">
        <f t="shared" si="61"/>
        <v>0</v>
      </c>
    </row>
    <row r="75" spans="2:171" x14ac:dyDescent="0.25">
      <c r="B75" t="str">
        <f>Index!B65</f>
        <v>Tankering (up to 5 houses)</v>
      </c>
      <c r="C75">
        <f>Index!C65</f>
        <v>193.5</v>
      </c>
      <c r="D75" t="str">
        <f>Index!D65</f>
        <v>Per trip</v>
      </c>
      <c r="N75">
        <v>4</v>
      </c>
      <c r="O75">
        <v>0</v>
      </c>
      <c r="P75">
        <f t="shared" si="32"/>
        <v>0</v>
      </c>
      <c r="Q75">
        <f t="shared" si="33"/>
        <v>0</v>
      </c>
      <c r="Y75">
        <v>4</v>
      </c>
      <c r="Z75">
        <v>0</v>
      </c>
      <c r="AA75">
        <f t="shared" si="34"/>
        <v>0</v>
      </c>
      <c r="AB75">
        <f t="shared" si="35"/>
        <v>0</v>
      </c>
      <c r="AJ75">
        <v>4</v>
      </c>
      <c r="AK75">
        <v>0</v>
      </c>
      <c r="AL75">
        <f t="shared" si="36"/>
        <v>0</v>
      </c>
      <c r="AM75">
        <f t="shared" si="37"/>
        <v>0</v>
      </c>
      <c r="AU75">
        <v>4</v>
      </c>
      <c r="AV75">
        <v>0</v>
      </c>
      <c r="AW75">
        <f t="shared" si="38"/>
        <v>0</v>
      </c>
      <c r="AX75">
        <f t="shared" si="39"/>
        <v>0</v>
      </c>
      <c r="BF75">
        <v>4</v>
      </c>
      <c r="BG75">
        <v>0</v>
      </c>
      <c r="BH75">
        <f t="shared" si="40"/>
        <v>0</v>
      </c>
      <c r="BI75">
        <f t="shared" si="41"/>
        <v>0</v>
      </c>
      <c r="BQ75">
        <v>4</v>
      </c>
      <c r="BR75">
        <v>0</v>
      </c>
      <c r="BS75">
        <f t="shared" si="42"/>
        <v>0</v>
      </c>
      <c r="BT75">
        <f t="shared" si="43"/>
        <v>0</v>
      </c>
      <c r="CB75">
        <v>4</v>
      </c>
      <c r="CC75">
        <v>0</v>
      </c>
      <c r="CD75">
        <f t="shared" si="44"/>
        <v>0</v>
      </c>
      <c r="CE75">
        <f t="shared" si="45"/>
        <v>0</v>
      </c>
      <c r="CM75">
        <v>4</v>
      </c>
      <c r="CN75">
        <v>0</v>
      </c>
      <c r="CO75">
        <f t="shared" si="46"/>
        <v>0</v>
      </c>
      <c r="CP75">
        <f t="shared" si="47"/>
        <v>0</v>
      </c>
      <c r="CX75">
        <v>4</v>
      </c>
      <c r="CY75">
        <v>0</v>
      </c>
      <c r="CZ75">
        <f t="shared" si="48"/>
        <v>0</v>
      </c>
      <c r="DA75">
        <f t="shared" si="49"/>
        <v>0</v>
      </c>
      <c r="DI75">
        <v>4</v>
      </c>
      <c r="DJ75">
        <v>0</v>
      </c>
      <c r="DK75">
        <f t="shared" si="50"/>
        <v>0</v>
      </c>
      <c r="DL75">
        <f t="shared" si="51"/>
        <v>0</v>
      </c>
      <c r="DT75">
        <v>4</v>
      </c>
      <c r="DU75">
        <v>0</v>
      </c>
      <c r="DV75">
        <f t="shared" si="52"/>
        <v>0</v>
      </c>
      <c r="DW75">
        <f t="shared" si="53"/>
        <v>0</v>
      </c>
      <c r="EE75">
        <v>4</v>
      </c>
      <c r="EF75">
        <v>0</v>
      </c>
      <c r="EG75">
        <f t="shared" si="54"/>
        <v>0</v>
      </c>
      <c r="EH75">
        <f t="shared" si="55"/>
        <v>0</v>
      </c>
      <c r="EP75">
        <v>4</v>
      </c>
      <c r="EQ75">
        <v>0</v>
      </c>
      <c r="ER75">
        <f t="shared" si="56"/>
        <v>0</v>
      </c>
      <c r="ES75">
        <f t="shared" si="57"/>
        <v>0</v>
      </c>
      <c r="FA75">
        <v>4</v>
      </c>
      <c r="FB75">
        <v>0</v>
      </c>
      <c r="FC75">
        <f t="shared" si="58"/>
        <v>0</v>
      </c>
      <c r="FD75">
        <f t="shared" si="59"/>
        <v>0</v>
      </c>
      <c r="FL75">
        <v>4</v>
      </c>
      <c r="FM75">
        <v>0</v>
      </c>
      <c r="FN75">
        <f t="shared" si="60"/>
        <v>0</v>
      </c>
      <c r="FO75">
        <f t="shared" si="61"/>
        <v>0</v>
      </c>
    </row>
    <row r="76" spans="2:171" x14ac:dyDescent="0.25">
      <c r="B76" t="str">
        <f>Index!B66</f>
        <v>Tankering (up to 9m3)</v>
      </c>
      <c r="C76">
        <f>Index!C66</f>
        <v>211.7</v>
      </c>
      <c r="D76" t="str">
        <f>Index!D66</f>
        <v>Per trip</v>
      </c>
      <c r="N76">
        <v>5</v>
      </c>
      <c r="O76">
        <v>0</v>
      </c>
      <c r="P76">
        <f t="shared" si="32"/>
        <v>0</v>
      </c>
      <c r="Q76">
        <f t="shared" si="33"/>
        <v>0</v>
      </c>
      <c r="Y76">
        <v>5</v>
      </c>
      <c r="Z76">
        <v>0</v>
      </c>
      <c r="AA76">
        <f t="shared" si="34"/>
        <v>0</v>
      </c>
      <c r="AB76">
        <f t="shared" si="35"/>
        <v>0</v>
      </c>
      <c r="AJ76">
        <v>5</v>
      </c>
      <c r="AK76">
        <v>0</v>
      </c>
      <c r="AL76">
        <f t="shared" si="36"/>
        <v>0</v>
      </c>
      <c r="AM76">
        <f t="shared" si="37"/>
        <v>0</v>
      </c>
      <c r="AU76">
        <v>5</v>
      </c>
      <c r="AV76">
        <v>0</v>
      </c>
      <c r="AW76">
        <f t="shared" si="38"/>
        <v>0</v>
      </c>
      <c r="AX76">
        <f t="shared" si="39"/>
        <v>0</v>
      </c>
      <c r="BF76">
        <v>5</v>
      </c>
      <c r="BG76">
        <v>0</v>
      </c>
      <c r="BH76">
        <f t="shared" si="40"/>
        <v>0</v>
      </c>
      <c r="BI76">
        <f t="shared" si="41"/>
        <v>0</v>
      </c>
      <c r="BQ76">
        <v>5</v>
      </c>
      <c r="BR76">
        <v>0</v>
      </c>
      <c r="BS76">
        <f t="shared" si="42"/>
        <v>0</v>
      </c>
      <c r="BT76">
        <f t="shared" si="43"/>
        <v>0</v>
      </c>
      <c r="CB76">
        <v>5</v>
      </c>
      <c r="CC76">
        <v>0</v>
      </c>
      <c r="CD76">
        <f t="shared" si="44"/>
        <v>0</v>
      </c>
      <c r="CE76">
        <f t="shared" si="45"/>
        <v>0</v>
      </c>
      <c r="CM76">
        <v>5</v>
      </c>
      <c r="CN76">
        <v>0</v>
      </c>
      <c r="CO76">
        <f t="shared" si="46"/>
        <v>0</v>
      </c>
      <c r="CP76">
        <f t="shared" si="47"/>
        <v>0</v>
      </c>
      <c r="CX76">
        <v>5</v>
      </c>
      <c r="CY76">
        <v>0</v>
      </c>
      <c r="CZ76">
        <f t="shared" si="48"/>
        <v>0</v>
      </c>
      <c r="DA76">
        <f t="shared" si="49"/>
        <v>0</v>
      </c>
      <c r="DI76">
        <v>5</v>
      </c>
      <c r="DJ76">
        <v>0</v>
      </c>
      <c r="DK76">
        <f t="shared" si="50"/>
        <v>0</v>
      </c>
      <c r="DL76">
        <f t="shared" si="51"/>
        <v>0</v>
      </c>
      <c r="DT76">
        <v>5</v>
      </c>
      <c r="DU76">
        <v>0</v>
      </c>
      <c r="DV76">
        <f t="shared" si="52"/>
        <v>0</v>
      </c>
      <c r="DW76">
        <f t="shared" si="53"/>
        <v>0</v>
      </c>
      <c r="EE76">
        <v>5</v>
      </c>
      <c r="EF76">
        <v>0</v>
      </c>
      <c r="EG76">
        <f t="shared" si="54"/>
        <v>0</v>
      </c>
      <c r="EH76">
        <f t="shared" si="55"/>
        <v>0</v>
      </c>
      <c r="EP76">
        <v>5</v>
      </c>
      <c r="EQ76">
        <v>0</v>
      </c>
      <c r="ER76">
        <f t="shared" si="56"/>
        <v>0</v>
      </c>
      <c r="ES76">
        <f t="shared" si="57"/>
        <v>0</v>
      </c>
      <c r="FA76">
        <v>5</v>
      </c>
      <c r="FB76">
        <v>0</v>
      </c>
      <c r="FC76">
        <f t="shared" si="58"/>
        <v>0</v>
      </c>
      <c r="FD76">
        <f t="shared" si="59"/>
        <v>0</v>
      </c>
      <c r="FL76">
        <v>5</v>
      </c>
      <c r="FM76">
        <v>0</v>
      </c>
      <c r="FN76">
        <f t="shared" si="60"/>
        <v>0</v>
      </c>
      <c r="FO76">
        <f t="shared" si="61"/>
        <v>0</v>
      </c>
    </row>
    <row r="77" spans="2:171" x14ac:dyDescent="0.25">
      <c r="B77" t="str">
        <f>Index!B67</f>
        <v>Tankering (additionalcharge over 9m3)</v>
      </c>
      <c r="C77">
        <f>Index!C67</f>
        <v>20.399999999999999</v>
      </c>
      <c r="D77" t="str">
        <f>Index!D67</f>
        <v>per m3</v>
      </c>
      <c r="N77">
        <v>6</v>
      </c>
      <c r="O77">
        <v>0</v>
      </c>
      <c r="P77">
        <f t="shared" si="32"/>
        <v>0</v>
      </c>
      <c r="Q77">
        <f t="shared" si="33"/>
        <v>0</v>
      </c>
      <c r="Y77">
        <v>6</v>
      </c>
      <c r="Z77">
        <v>0</v>
      </c>
      <c r="AA77">
        <f t="shared" si="34"/>
        <v>0</v>
      </c>
      <c r="AB77">
        <f t="shared" si="35"/>
        <v>0</v>
      </c>
      <c r="AJ77">
        <v>6</v>
      </c>
      <c r="AK77">
        <v>0</v>
      </c>
      <c r="AL77">
        <f t="shared" si="36"/>
        <v>0</v>
      </c>
      <c r="AM77">
        <f t="shared" si="37"/>
        <v>0</v>
      </c>
      <c r="AU77">
        <v>6</v>
      </c>
      <c r="AV77">
        <v>0</v>
      </c>
      <c r="AW77">
        <f t="shared" si="38"/>
        <v>0</v>
      </c>
      <c r="AX77">
        <f t="shared" si="39"/>
        <v>0</v>
      </c>
      <c r="BF77">
        <v>6</v>
      </c>
      <c r="BG77">
        <v>0</v>
      </c>
      <c r="BH77">
        <f t="shared" si="40"/>
        <v>0</v>
      </c>
      <c r="BI77">
        <f t="shared" si="41"/>
        <v>0</v>
      </c>
      <c r="BQ77">
        <v>6</v>
      </c>
      <c r="BR77">
        <v>0</v>
      </c>
      <c r="BS77">
        <f t="shared" si="42"/>
        <v>0</v>
      </c>
      <c r="BT77">
        <f t="shared" si="43"/>
        <v>0</v>
      </c>
      <c r="CB77">
        <v>6</v>
      </c>
      <c r="CC77">
        <v>0</v>
      </c>
      <c r="CD77">
        <f t="shared" si="44"/>
        <v>0</v>
      </c>
      <c r="CE77">
        <f t="shared" si="45"/>
        <v>0</v>
      </c>
      <c r="CM77">
        <v>6</v>
      </c>
      <c r="CN77">
        <v>0</v>
      </c>
      <c r="CO77">
        <f t="shared" si="46"/>
        <v>0</v>
      </c>
      <c r="CP77">
        <f t="shared" si="47"/>
        <v>0</v>
      </c>
      <c r="CX77">
        <v>6</v>
      </c>
      <c r="CY77">
        <v>0</v>
      </c>
      <c r="CZ77">
        <f t="shared" si="48"/>
        <v>0</v>
      </c>
      <c r="DA77">
        <f t="shared" si="49"/>
        <v>0</v>
      </c>
      <c r="DI77">
        <v>6</v>
      </c>
      <c r="DJ77">
        <v>0</v>
      </c>
      <c r="DK77">
        <f t="shared" si="50"/>
        <v>0</v>
      </c>
      <c r="DL77">
        <f t="shared" si="51"/>
        <v>0</v>
      </c>
      <c r="DT77">
        <v>6</v>
      </c>
      <c r="DU77">
        <v>0</v>
      </c>
      <c r="DV77">
        <f t="shared" si="52"/>
        <v>0</v>
      </c>
      <c r="DW77">
        <f t="shared" si="53"/>
        <v>0</v>
      </c>
      <c r="EE77">
        <v>6</v>
      </c>
      <c r="EF77">
        <v>0</v>
      </c>
      <c r="EG77">
        <f t="shared" si="54"/>
        <v>0</v>
      </c>
      <c r="EH77">
        <f t="shared" si="55"/>
        <v>0</v>
      </c>
      <c r="EP77">
        <v>6</v>
      </c>
      <c r="EQ77">
        <v>0</v>
      </c>
      <c r="ER77">
        <f t="shared" si="56"/>
        <v>0</v>
      </c>
      <c r="ES77">
        <f t="shared" si="57"/>
        <v>0</v>
      </c>
      <c r="FA77">
        <v>6</v>
      </c>
      <c r="FB77">
        <v>0</v>
      </c>
      <c r="FC77">
        <f t="shared" si="58"/>
        <v>0</v>
      </c>
      <c r="FD77">
        <f t="shared" si="59"/>
        <v>0</v>
      </c>
      <c r="FL77">
        <v>6</v>
      </c>
      <c r="FM77">
        <v>0</v>
      </c>
      <c r="FN77">
        <f t="shared" si="60"/>
        <v>0</v>
      </c>
      <c r="FO77">
        <f t="shared" si="61"/>
        <v>0</v>
      </c>
    </row>
    <row r="78" spans="2:171" x14ac:dyDescent="0.25">
      <c r="N78">
        <v>7</v>
      </c>
      <c r="O78">
        <f>E56</f>
        <v>211.7</v>
      </c>
      <c r="P78">
        <f t="shared" si="32"/>
        <v>166.39428637676451</v>
      </c>
      <c r="Q78">
        <f t="shared" si="33"/>
        <v>140.79259095384853</v>
      </c>
      <c r="Y78">
        <v>7</v>
      </c>
      <c r="Z78">
        <f>$E$57</f>
        <v>272.89999999999998</v>
      </c>
      <c r="AA78">
        <f t="shared" si="34"/>
        <v>214.49693317061423</v>
      </c>
      <c r="AB78">
        <f t="shared" si="35"/>
        <v>181.4940863075355</v>
      </c>
      <c r="AJ78">
        <v>7</v>
      </c>
      <c r="AK78">
        <f>$E$58</f>
        <v>517.70000000000005</v>
      </c>
      <c r="AL78">
        <f t="shared" si="36"/>
        <v>406.9075203460132</v>
      </c>
      <c r="AM78">
        <f t="shared" si="37"/>
        <v>344.30006772228342</v>
      </c>
      <c r="AU78">
        <v>7</v>
      </c>
      <c r="AV78">
        <f>$E$59</f>
        <v>762.5</v>
      </c>
      <c r="AW78">
        <f t="shared" si="38"/>
        <v>599.31810752141212</v>
      </c>
      <c r="AX78">
        <f t="shared" si="39"/>
        <v>507.10604913703122</v>
      </c>
      <c r="BF78">
        <v>7</v>
      </c>
      <c r="BG78">
        <f>$E$60</f>
        <v>1252.0999999999999</v>
      </c>
      <c r="BH78">
        <f t="shared" si="40"/>
        <v>984.13928187220995</v>
      </c>
      <c r="BI78">
        <f t="shared" si="41"/>
        <v>832.71801196652689</v>
      </c>
      <c r="BQ78">
        <v>7</v>
      </c>
      <c r="BR78">
        <f>$E$61</f>
        <v>1864.1</v>
      </c>
      <c r="BS78">
        <f t="shared" si="42"/>
        <v>1465.1657498107072</v>
      </c>
      <c r="BT78">
        <f t="shared" si="43"/>
        <v>1239.7329655033966</v>
      </c>
      <c r="CB78">
        <v>7</v>
      </c>
      <c r="CC78">
        <f>$E$62</f>
        <v>2476.0999999999995</v>
      </c>
      <c r="CD78">
        <f t="shared" si="44"/>
        <v>1946.1922177492042</v>
      </c>
      <c r="CE78">
        <f t="shared" si="45"/>
        <v>1646.747919040266</v>
      </c>
      <c r="CM78">
        <v>7</v>
      </c>
      <c r="CN78">
        <f>$E$63</f>
        <v>3700.0999999999995</v>
      </c>
      <c r="CO78">
        <f t="shared" si="46"/>
        <v>2908.2451536261988</v>
      </c>
      <c r="CP78">
        <f t="shared" si="47"/>
        <v>2460.7778261140052</v>
      </c>
      <c r="CX78">
        <v>7</v>
      </c>
      <c r="CY78">
        <f>$E$64</f>
        <v>4924.0999999999995</v>
      </c>
      <c r="CZ78">
        <f t="shared" si="48"/>
        <v>3870.2980895031938</v>
      </c>
      <c r="DA78">
        <f t="shared" si="49"/>
        <v>3274.8077331877444</v>
      </c>
      <c r="DI78">
        <v>7</v>
      </c>
      <c r="DJ78">
        <f>$E$65</f>
        <v>7372.0999999999995</v>
      </c>
      <c r="DK78">
        <f t="shared" si="50"/>
        <v>5794.4039612571833</v>
      </c>
      <c r="DL78">
        <f t="shared" si="51"/>
        <v>4902.8675473352232</v>
      </c>
      <c r="DT78">
        <v>7</v>
      </c>
      <c r="DU78">
        <f>$E$66</f>
        <v>9820.1</v>
      </c>
      <c r="DV78">
        <f t="shared" si="52"/>
        <v>7718.5098330111732</v>
      </c>
      <c r="DW78">
        <f t="shared" si="53"/>
        <v>6530.9273614827025</v>
      </c>
      <c r="EE78">
        <v>7</v>
      </c>
      <c r="EF78">
        <f>$E$67</f>
        <v>12268.1</v>
      </c>
      <c r="EG78">
        <f t="shared" si="54"/>
        <v>9642.6157047651614</v>
      </c>
      <c r="EH78">
        <f t="shared" si="55"/>
        <v>8158.9871756301809</v>
      </c>
      <c r="EP78">
        <v>7</v>
      </c>
      <c r="EQ78">
        <f>$E$68</f>
        <v>14716.1</v>
      </c>
      <c r="ER78">
        <f t="shared" si="56"/>
        <v>11566.721576519152</v>
      </c>
      <c r="ES78">
        <f t="shared" si="57"/>
        <v>9787.0469897776602</v>
      </c>
      <c r="FA78">
        <v>7</v>
      </c>
      <c r="FB78">
        <f>$E$69</f>
        <v>19612.099999999999</v>
      </c>
      <c r="FC78">
        <f t="shared" si="58"/>
        <v>15414.933320027129</v>
      </c>
      <c r="FD78">
        <f t="shared" si="59"/>
        <v>13043.166618072615</v>
      </c>
      <c r="FL78">
        <v>7</v>
      </c>
      <c r="FM78">
        <f>$E$70</f>
        <v>24508.1</v>
      </c>
      <c r="FN78">
        <f t="shared" si="60"/>
        <v>19263.145063535107</v>
      </c>
      <c r="FO78">
        <f t="shared" si="61"/>
        <v>16299.286246367572</v>
      </c>
    </row>
    <row r="79" spans="2:171" x14ac:dyDescent="0.25">
      <c r="N79">
        <v>8</v>
      </c>
      <c r="O79">
        <v>0</v>
      </c>
      <c r="P79">
        <f t="shared" si="32"/>
        <v>0</v>
      </c>
      <c r="Q79">
        <f t="shared" si="33"/>
        <v>0</v>
      </c>
      <c r="Y79">
        <v>8</v>
      </c>
      <c r="Z79">
        <v>0</v>
      </c>
      <c r="AA79">
        <f t="shared" si="34"/>
        <v>0</v>
      </c>
      <c r="AB79">
        <f t="shared" si="35"/>
        <v>0</v>
      </c>
      <c r="AJ79">
        <v>8</v>
      </c>
      <c r="AK79">
        <v>0</v>
      </c>
      <c r="AL79">
        <f t="shared" si="36"/>
        <v>0</v>
      </c>
      <c r="AM79">
        <f t="shared" si="37"/>
        <v>0</v>
      </c>
      <c r="AU79">
        <v>8</v>
      </c>
      <c r="AV79">
        <v>0</v>
      </c>
      <c r="AW79">
        <f t="shared" si="38"/>
        <v>0</v>
      </c>
      <c r="AX79">
        <f t="shared" si="39"/>
        <v>0</v>
      </c>
      <c r="BF79">
        <v>8</v>
      </c>
      <c r="BG79">
        <v>0</v>
      </c>
      <c r="BH79">
        <f t="shared" si="40"/>
        <v>0</v>
      </c>
      <c r="BI79">
        <f t="shared" si="41"/>
        <v>0</v>
      </c>
      <c r="BQ79">
        <v>8</v>
      </c>
      <c r="BR79">
        <v>0</v>
      </c>
      <c r="BS79">
        <f t="shared" si="42"/>
        <v>0</v>
      </c>
      <c r="BT79">
        <f t="shared" si="43"/>
        <v>0</v>
      </c>
      <c r="CB79">
        <v>8</v>
      </c>
      <c r="CC79">
        <v>0</v>
      </c>
      <c r="CD79">
        <f t="shared" si="44"/>
        <v>0</v>
      </c>
      <c r="CE79">
        <f t="shared" si="45"/>
        <v>0</v>
      </c>
      <c r="CM79">
        <v>8</v>
      </c>
      <c r="CN79">
        <v>0</v>
      </c>
      <c r="CO79">
        <f t="shared" si="46"/>
        <v>0</v>
      </c>
      <c r="CP79">
        <f t="shared" si="47"/>
        <v>0</v>
      </c>
      <c r="CX79">
        <v>8</v>
      </c>
      <c r="CY79">
        <v>0</v>
      </c>
      <c r="CZ79">
        <f t="shared" si="48"/>
        <v>0</v>
      </c>
      <c r="DA79">
        <f t="shared" si="49"/>
        <v>0</v>
      </c>
      <c r="DI79">
        <v>8</v>
      </c>
      <c r="DJ79">
        <v>0</v>
      </c>
      <c r="DK79">
        <f t="shared" si="50"/>
        <v>0</v>
      </c>
      <c r="DL79">
        <f t="shared" si="51"/>
        <v>0</v>
      </c>
      <c r="DT79">
        <v>8</v>
      </c>
      <c r="DU79">
        <v>0</v>
      </c>
      <c r="DV79">
        <f t="shared" si="52"/>
        <v>0</v>
      </c>
      <c r="DW79">
        <f t="shared" si="53"/>
        <v>0</v>
      </c>
      <c r="EE79">
        <v>8</v>
      </c>
      <c r="EF79">
        <v>0</v>
      </c>
      <c r="EG79">
        <f t="shared" si="54"/>
        <v>0</v>
      </c>
      <c r="EH79">
        <f t="shared" si="55"/>
        <v>0</v>
      </c>
      <c r="EP79">
        <v>8</v>
      </c>
      <c r="EQ79">
        <v>0</v>
      </c>
      <c r="ER79">
        <f t="shared" si="56"/>
        <v>0</v>
      </c>
      <c r="ES79">
        <f t="shared" si="57"/>
        <v>0</v>
      </c>
      <c r="FA79">
        <v>8</v>
      </c>
      <c r="FB79">
        <v>0</v>
      </c>
      <c r="FC79">
        <f t="shared" si="58"/>
        <v>0</v>
      </c>
      <c r="FD79">
        <f t="shared" si="59"/>
        <v>0</v>
      </c>
      <c r="FL79">
        <v>8</v>
      </c>
      <c r="FM79">
        <v>0</v>
      </c>
      <c r="FN79">
        <f t="shared" si="60"/>
        <v>0</v>
      </c>
      <c r="FO79">
        <f t="shared" si="61"/>
        <v>0</v>
      </c>
    </row>
    <row r="80" spans="2:171" x14ac:dyDescent="0.25">
      <c r="N80">
        <v>9</v>
      </c>
      <c r="O80">
        <v>0</v>
      </c>
      <c r="P80">
        <f t="shared" si="32"/>
        <v>0</v>
      </c>
      <c r="Q80">
        <f t="shared" si="33"/>
        <v>0</v>
      </c>
      <c r="Y80">
        <v>9</v>
      </c>
      <c r="Z80">
        <v>0</v>
      </c>
      <c r="AA80">
        <f t="shared" si="34"/>
        <v>0</v>
      </c>
      <c r="AB80">
        <f t="shared" si="35"/>
        <v>0</v>
      </c>
      <c r="AJ80">
        <v>9</v>
      </c>
      <c r="AK80">
        <v>0</v>
      </c>
      <c r="AL80">
        <f t="shared" si="36"/>
        <v>0</v>
      </c>
      <c r="AM80">
        <f t="shared" si="37"/>
        <v>0</v>
      </c>
      <c r="AU80">
        <v>9</v>
      </c>
      <c r="AV80">
        <v>0</v>
      </c>
      <c r="AW80">
        <f t="shared" si="38"/>
        <v>0</v>
      </c>
      <c r="AX80">
        <f t="shared" si="39"/>
        <v>0</v>
      </c>
      <c r="BF80">
        <v>9</v>
      </c>
      <c r="BG80">
        <v>0</v>
      </c>
      <c r="BH80">
        <f t="shared" si="40"/>
        <v>0</v>
      </c>
      <c r="BI80">
        <f t="shared" si="41"/>
        <v>0</v>
      </c>
      <c r="BQ80">
        <v>9</v>
      </c>
      <c r="BR80">
        <v>0</v>
      </c>
      <c r="BS80">
        <f t="shared" si="42"/>
        <v>0</v>
      </c>
      <c r="BT80">
        <f t="shared" si="43"/>
        <v>0</v>
      </c>
      <c r="CB80">
        <v>9</v>
      </c>
      <c r="CC80">
        <v>0</v>
      </c>
      <c r="CD80">
        <f t="shared" si="44"/>
        <v>0</v>
      </c>
      <c r="CE80">
        <f t="shared" si="45"/>
        <v>0</v>
      </c>
      <c r="CM80">
        <v>9</v>
      </c>
      <c r="CN80">
        <v>0</v>
      </c>
      <c r="CO80">
        <f t="shared" si="46"/>
        <v>0</v>
      </c>
      <c r="CP80">
        <f t="shared" si="47"/>
        <v>0</v>
      </c>
      <c r="CX80">
        <v>9</v>
      </c>
      <c r="CY80">
        <v>0</v>
      </c>
      <c r="CZ80">
        <f t="shared" si="48"/>
        <v>0</v>
      </c>
      <c r="DA80">
        <f t="shared" si="49"/>
        <v>0</v>
      </c>
      <c r="DI80">
        <v>9</v>
      </c>
      <c r="DJ80">
        <v>0</v>
      </c>
      <c r="DK80">
        <f t="shared" si="50"/>
        <v>0</v>
      </c>
      <c r="DL80">
        <f t="shared" si="51"/>
        <v>0</v>
      </c>
      <c r="DT80">
        <v>9</v>
      </c>
      <c r="DU80">
        <v>0</v>
      </c>
      <c r="DV80">
        <f t="shared" si="52"/>
        <v>0</v>
      </c>
      <c r="DW80">
        <f t="shared" si="53"/>
        <v>0</v>
      </c>
      <c r="EE80">
        <v>9</v>
      </c>
      <c r="EF80">
        <v>0</v>
      </c>
      <c r="EG80">
        <f t="shared" si="54"/>
        <v>0</v>
      </c>
      <c r="EH80">
        <f t="shared" si="55"/>
        <v>0</v>
      </c>
      <c r="EP80">
        <v>9</v>
      </c>
      <c r="EQ80">
        <v>0</v>
      </c>
      <c r="ER80">
        <f t="shared" si="56"/>
        <v>0</v>
      </c>
      <c r="ES80">
        <f t="shared" si="57"/>
        <v>0</v>
      </c>
      <c r="FA80">
        <v>9</v>
      </c>
      <c r="FB80">
        <v>0</v>
      </c>
      <c r="FC80">
        <f t="shared" si="58"/>
        <v>0</v>
      </c>
      <c r="FD80">
        <f t="shared" si="59"/>
        <v>0</v>
      </c>
      <c r="FL80">
        <v>9</v>
      </c>
      <c r="FM80">
        <v>0</v>
      </c>
      <c r="FN80">
        <f t="shared" si="60"/>
        <v>0</v>
      </c>
      <c r="FO80">
        <f t="shared" si="61"/>
        <v>0</v>
      </c>
    </row>
    <row r="81" spans="14:171" x14ac:dyDescent="0.25">
      <c r="N81">
        <v>10</v>
      </c>
      <c r="O81">
        <v>0</v>
      </c>
      <c r="P81">
        <f t="shared" si="32"/>
        <v>0</v>
      </c>
      <c r="Q81">
        <f t="shared" si="33"/>
        <v>0</v>
      </c>
      <c r="Y81">
        <v>10</v>
      </c>
      <c r="Z81">
        <v>0</v>
      </c>
      <c r="AA81">
        <f t="shared" si="34"/>
        <v>0</v>
      </c>
      <c r="AB81">
        <f t="shared" si="35"/>
        <v>0</v>
      </c>
      <c r="AJ81">
        <v>10</v>
      </c>
      <c r="AK81">
        <v>0</v>
      </c>
      <c r="AL81">
        <f t="shared" si="36"/>
        <v>0</v>
      </c>
      <c r="AM81">
        <f t="shared" si="37"/>
        <v>0</v>
      </c>
      <c r="AU81">
        <v>10</v>
      </c>
      <c r="AV81">
        <v>0</v>
      </c>
      <c r="AW81">
        <f t="shared" si="38"/>
        <v>0</v>
      </c>
      <c r="AX81">
        <f t="shared" si="39"/>
        <v>0</v>
      </c>
      <c r="BF81">
        <v>10</v>
      </c>
      <c r="BG81">
        <v>0</v>
      </c>
      <c r="BH81">
        <f t="shared" si="40"/>
        <v>0</v>
      </c>
      <c r="BI81">
        <f t="shared" si="41"/>
        <v>0</v>
      </c>
      <c r="BQ81">
        <v>10</v>
      </c>
      <c r="BR81">
        <v>0</v>
      </c>
      <c r="BS81">
        <f t="shared" si="42"/>
        <v>0</v>
      </c>
      <c r="BT81">
        <f t="shared" si="43"/>
        <v>0</v>
      </c>
      <c r="CB81">
        <v>10</v>
      </c>
      <c r="CC81">
        <v>0</v>
      </c>
      <c r="CD81">
        <f t="shared" si="44"/>
        <v>0</v>
      </c>
      <c r="CE81">
        <f t="shared" si="45"/>
        <v>0</v>
      </c>
      <c r="CM81">
        <v>10</v>
      </c>
      <c r="CN81">
        <v>0</v>
      </c>
      <c r="CO81">
        <f t="shared" si="46"/>
        <v>0</v>
      </c>
      <c r="CP81">
        <f t="shared" si="47"/>
        <v>0</v>
      </c>
      <c r="CX81">
        <v>10</v>
      </c>
      <c r="CY81">
        <v>0</v>
      </c>
      <c r="CZ81">
        <f t="shared" si="48"/>
        <v>0</v>
      </c>
      <c r="DA81">
        <f t="shared" si="49"/>
        <v>0</v>
      </c>
      <c r="DI81">
        <v>10</v>
      </c>
      <c r="DJ81">
        <v>0</v>
      </c>
      <c r="DK81">
        <f t="shared" si="50"/>
        <v>0</v>
      </c>
      <c r="DL81">
        <f t="shared" si="51"/>
        <v>0</v>
      </c>
      <c r="DT81">
        <v>10</v>
      </c>
      <c r="DU81">
        <v>0</v>
      </c>
      <c r="DV81">
        <f t="shared" si="52"/>
        <v>0</v>
      </c>
      <c r="DW81">
        <f t="shared" si="53"/>
        <v>0</v>
      </c>
      <c r="EE81">
        <v>10</v>
      </c>
      <c r="EF81">
        <v>0</v>
      </c>
      <c r="EG81">
        <f t="shared" si="54"/>
        <v>0</v>
      </c>
      <c r="EH81">
        <f t="shared" si="55"/>
        <v>0</v>
      </c>
      <c r="EP81">
        <v>10</v>
      </c>
      <c r="EQ81">
        <v>0</v>
      </c>
      <c r="ER81">
        <f t="shared" si="56"/>
        <v>0</v>
      </c>
      <c r="ES81">
        <f t="shared" si="57"/>
        <v>0</v>
      </c>
      <c r="FA81">
        <v>10</v>
      </c>
      <c r="FB81">
        <v>0</v>
      </c>
      <c r="FC81">
        <f t="shared" si="58"/>
        <v>0</v>
      </c>
      <c r="FD81">
        <f t="shared" si="59"/>
        <v>0</v>
      </c>
      <c r="FL81">
        <v>10</v>
      </c>
      <c r="FM81">
        <v>0</v>
      </c>
      <c r="FN81">
        <f t="shared" si="60"/>
        <v>0</v>
      </c>
      <c r="FO81">
        <f t="shared" si="61"/>
        <v>0</v>
      </c>
    </row>
    <row r="82" spans="14:171" x14ac:dyDescent="0.25">
      <c r="N82">
        <v>11</v>
      </c>
      <c r="O82">
        <v>0</v>
      </c>
      <c r="P82">
        <f t="shared" si="32"/>
        <v>0</v>
      </c>
      <c r="Q82">
        <f t="shared" si="33"/>
        <v>0</v>
      </c>
      <c r="Y82">
        <v>11</v>
      </c>
      <c r="Z82">
        <v>0</v>
      </c>
      <c r="AA82">
        <f t="shared" si="34"/>
        <v>0</v>
      </c>
      <c r="AB82">
        <f t="shared" si="35"/>
        <v>0</v>
      </c>
      <c r="AJ82">
        <v>11</v>
      </c>
      <c r="AK82">
        <v>0</v>
      </c>
      <c r="AL82">
        <f t="shared" si="36"/>
        <v>0</v>
      </c>
      <c r="AM82">
        <f t="shared" si="37"/>
        <v>0</v>
      </c>
      <c r="AU82">
        <v>11</v>
      </c>
      <c r="AV82">
        <v>0</v>
      </c>
      <c r="AW82">
        <f t="shared" si="38"/>
        <v>0</v>
      </c>
      <c r="AX82">
        <f t="shared" si="39"/>
        <v>0</v>
      </c>
      <c r="BF82">
        <v>11</v>
      </c>
      <c r="BG82">
        <v>0</v>
      </c>
      <c r="BH82">
        <f t="shared" si="40"/>
        <v>0</v>
      </c>
      <c r="BI82">
        <f t="shared" si="41"/>
        <v>0</v>
      </c>
      <c r="BQ82">
        <v>11</v>
      </c>
      <c r="BR82">
        <v>0</v>
      </c>
      <c r="BS82">
        <f t="shared" si="42"/>
        <v>0</v>
      </c>
      <c r="BT82">
        <f t="shared" si="43"/>
        <v>0</v>
      </c>
      <c r="CB82">
        <v>11</v>
      </c>
      <c r="CC82">
        <v>0</v>
      </c>
      <c r="CD82">
        <f t="shared" si="44"/>
        <v>0</v>
      </c>
      <c r="CE82">
        <f t="shared" si="45"/>
        <v>0</v>
      </c>
      <c r="CM82">
        <v>11</v>
      </c>
      <c r="CN82">
        <v>0</v>
      </c>
      <c r="CO82">
        <f t="shared" si="46"/>
        <v>0</v>
      </c>
      <c r="CP82">
        <f t="shared" si="47"/>
        <v>0</v>
      </c>
      <c r="CX82">
        <v>11</v>
      </c>
      <c r="CY82">
        <v>0</v>
      </c>
      <c r="CZ82">
        <f t="shared" si="48"/>
        <v>0</v>
      </c>
      <c r="DA82">
        <f t="shared" si="49"/>
        <v>0</v>
      </c>
      <c r="DI82">
        <v>11</v>
      </c>
      <c r="DJ82">
        <v>0</v>
      </c>
      <c r="DK82">
        <f t="shared" si="50"/>
        <v>0</v>
      </c>
      <c r="DL82">
        <f t="shared" si="51"/>
        <v>0</v>
      </c>
      <c r="DT82">
        <v>11</v>
      </c>
      <c r="DU82">
        <v>0</v>
      </c>
      <c r="DV82">
        <f t="shared" si="52"/>
        <v>0</v>
      </c>
      <c r="DW82">
        <f t="shared" si="53"/>
        <v>0</v>
      </c>
      <c r="EE82">
        <v>11</v>
      </c>
      <c r="EF82">
        <v>0</v>
      </c>
      <c r="EG82">
        <f t="shared" si="54"/>
        <v>0</v>
      </c>
      <c r="EH82">
        <f t="shared" si="55"/>
        <v>0</v>
      </c>
      <c r="EP82">
        <v>11</v>
      </c>
      <c r="EQ82">
        <v>0</v>
      </c>
      <c r="ER82">
        <f t="shared" si="56"/>
        <v>0</v>
      </c>
      <c r="ES82">
        <f t="shared" si="57"/>
        <v>0</v>
      </c>
      <c r="FA82">
        <v>11</v>
      </c>
      <c r="FB82">
        <v>0</v>
      </c>
      <c r="FC82">
        <f t="shared" si="58"/>
        <v>0</v>
      </c>
      <c r="FD82">
        <f t="shared" si="59"/>
        <v>0</v>
      </c>
      <c r="FL82">
        <v>11</v>
      </c>
      <c r="FM82">
        <v>0</v>
      </c>
      <c r="FN82">
        <f t="shared" si="60"/>
        <v>0</v>
      </c>
      <c r="FO82">
        <f t="shared" si="61"/>
        <v>0</v>
      </c>
    </row>
    <row r="83" spans="14:171" x14ac:dyDescent="0.25">
      <c r="N83">
        <v>12</v>
      </c>
      <c r="O83">
        <v>0</v>
      </c>
      <c r="P83">
        <f t="shared" si="32"/>
        <v>0</v>
      </c>
      <c r="Q83">
        <f t="shared" si="33"/>
        <v>0</v>
      </c>
      <c r="Y83">
        <v>12</v>
      </c>
      <c r="Z83">
        <v>0</v>
      </c>
      <c r="AA83">
        <f t="shared" si="34"/>
        <v>0</v>
      </c>
      <c r="AB83">
        <f t="shared" si="35"/>
        <v>0</v>
      </c>
      <c r="AJ83">
        <v>12</v>
      </c>
      <c r="AK83">
        <v>0</v>
      </c>
      <c r="AL83">
        <f t="shared" si="36"/>
        <v>0</v>
      </c>
      <c r="AM83">
        <f t="shared" si="37"/>
        <v>0</v>
      </c>
      <c r="AU83">
        <v>12</v>
      </c>
      <c r="AV83">
        <v>0</v>
      </c>
      <c r="AW83">
        <f t="shared" si="38"/>
        <v>0</v>
      </c>
      <c r="AX83">
        <f t="shared" si="39"/>
        <v>0</v>
      </c>
      <c r="BF83">
        <v>12</v>
      </c>
      <c r="BG83">
        <v>0</v>
      </c>
      <c r="BH83">
        <f t="shared" si="40"/>
        <v>0</v>
      </c>
      <c r="BI83">
        <f t="shared" si="41"/>
        <v>0</v>
      </c>
      <c r="BQ83">
        <v>12</v>
      </c>
      <c r="BR83">
        <v>0</v>
      </c>
      <c r="BS83">
        <f t="shared" si="42"/>
        <v>0</v>
      </c>
      <c r="BT83">
        <f t="shared" si="43"/>
        <v>0</v>
      </c>
      <c r="CB83">
        <v>12</v>
      </c>
      <c r="CC83">
        <v>0</v>
      </c>
      <c r="CD83">
        <f t="shared" si="44"/>
        <v>0</v>
      </c>
      <c r="CE83">
        <f t="shared" si="45"/>
        <v>0</v>
      </c>
      <c r="CM83">
        <v>12</v>
      </c>
      <c r="CN83">
        <v>0</v>
      </c>
      <c r="CO83">
        <f t="shared" si="46"/>
        <v>0</v>
      </c>
      <c r="CP83">
        <f t="shared" si="47"/>
        <v>0</v>
      </c>
      <c r="CX83">
        <v>12</v>
      </c>
      <c r="CY83">
        <v>0</v>
      </c>
      <c r="CZ83">
        <f t="shared" si="48"/>
        <v>0</v>
      </c>
      <c r="DA83">
        <f t="shared" si="49"/>
        <v>0</v>
      </c>
      <c r="DI83">
        <v>12</v>
      </c>
      <c r="DJ83">
        <v>0</v>
      </c>
      <c r="DK83">
        <f t="shared" si="50"/>
        <v>0</v>
      </c>
      <c r="DL83">
        <f t="shared" si="51"/>
        <v>0</v>
      </c>
      <c r="DT83">
        <v>12</v>
      </c>
      <c r="DU83">
        <v>0</v>
      </c>
      <c r="DV83">
        <f t="shared" si="52"/>
        <v>0</v>
      </c>
      <c r="DW83">
        <f t="shared" si="53"/>
        <v>0</v>
      </c>
      <c r="EE83">
        <v>12</v>
      </c>
      <c r="EF83">
        <v>0</v>
      </c>
      <c r="EG83">
        <f t="shared" si="54"/>
        <v>0</v>
      </c>
      <c r="EH83">
        <f t="shared" si="55"/>
        <v>0</v>
      </c>
      <c r="EP83">
        <v>12</v>
      </c>
      <c r="EQ83">
        <v>0</v>
      </c>
      <c r="ER83">
        <f t="shared" si="56"/>
        <v>0</v>
      </c>
      <c r="ES83">
        <f t="shared" si="57"/>
        <v>0</v>
      </c>
      <c r="FA83">
        <v>12</v>
      </c>
      <c r="FB83">
        <v>0</v>
      </c>
      <c r="FC83">
        <f t="shared" si="58"/>
        <v>0</v>
      </c>
      <c r="FD83">
        <f t="shared" si="59"/>
        <v>0</v>
      </c>
      <c r="FL83">
        <v>12</v>
      </c>
      <c r="FM83">
        <v>0</v>
      </c>
      <c r="FN83">
        <f t="shared" si="60"/>
        <v>0</v>
      </c>
      <c r="FO83">
        <f t="shared" si="61"/>
        <v>0</v>
      </c>
    </row>
    <row r="84" spans="14:171" x14ac:dyDescent="0.25">
      <c r="N84">
        <v>13</v>
      </c>
      <c r="O84">
        <v>0</v>
      </c>
      <c r="P84">
        <f t="shared" si="32"/>
        <v>0</v>
      </c>
      <c r="Q84">
        <f t="shared" si="33"/>
        <v>0</v>
      </c>
      <c r="Y84">
        <v>13</v>
      </c>
      <c r="Z84">
        <v>0</v>
      </c>
      <c r="AA84">
        <f t="shared" si="34"/>
        <v>0</v>
      </c>
      <c r="AB84">
        <f t="shared" si="35"/>
        <v>0</v>
      </c>
      <c r="AJ84">
        <v>13</v>
      </c>
      <c r="AK84">
        <v>0</v>
      </c>
      <c r="AL84">
        <f t="shared" si="36"/>
        <v>0</v>
      </c>
      <c r="AM84">
        <f t="shared" si="37"/>
        <v>0</v>
      </c>
      <c r="AU84">
        <v>13</v>
      </c>
      <c r="AV84">
        <v>0</v>
      </c>
      <c r="AW84">
        <f t="shared" si="38"/>
        <v>0</v>
      </c>
      <c r="AX84">
        <f t="shared" si="39"/>
        <v>0</v>
      </c>
      <c r="BF84">
        <v>13</v>
      </c>
      <c r="BG84">
        <v>0</v>
      </c>
      <c r="BH84">
        <f t="shared" si="40"/>
        <v>0</v>
      </c>
      <c r="BI84">
        <f t="shared" si="41"/>
        <v>0</v>
      </c>
      <c r="BQ84">
        <v>13</v>
      </c>
      <c r="BR84">
        <v>0</v>
      </c>
      <c r="BS84">
        <f t="shared" si="42"/>
        <v>0</v>
      </c>
      <c r="BT84">
        <f t="shared" si="43"/>
        <v>0</v>
      </c>
      <c r="CB84">
        <v>13</v>
      </c>
      <c r="CC84">
        <v>0</v>
      </c>
      <c r="CD84">
        <f t="shared" si="44"/>
        <v>0</v>
      </c>
      <c r="CE84">
        <f t="shared" si="45"/>
        <v>0</v>
      </c>
      <c r="CM84">
        <v>13</v>
      </c>
      <c r="CN84">
        <v>0</v>
      </c>
      <c r="CO84">
        <f t="shared" si="46"/>
        <v>0</v>
      </c>
      <c r="CP84">
        <f t="shared" si="47"/>
        <v>0</v>
      </c>
      <c r="CX84">
        <v>13</v>
      </c>
      <c r="CY84">
        <v>0</v>
      </c>
      <c r="CZ84">
        <f t="shared" si="48"/>
        <v>0</v>
      </c>
      <c r="DA84">
        <f t="shared" si="49"/>
        <v>0</v>
      </c>
      <c r="DI84">
        <v>13</v>
      </c>
      <c r="DJ84">
        <v>0</v>
      </c>
      <c r="DK84">
        <f t="shared" si="50"/>
        <v>0</v>
      </c>
      <c r="DL84">
        <f t="shared" si="51"/>
        <v>0</v>
      </c>
      <c r="DT84">
        <v>13</v>
      </c>
      <c r="DU84">
        <v>0</v>
      </c>
      <c r="DV84">
        <f t="shared" si="52"/>
        <v>0</v>
      </c>
      <c r="DW84">
        <f t="shared" si="53"/>
        <v>0</v>
      </c>
      <c r="EE84">
        <v>13</v>
      </c>
      <c r="EF84">
        <v>0</v>
      </c>
      <c r="EG84">
        <f t="shared" si="54"/>
        <v>0</v>
      </c>
      <c r="EH84">
        <f t="shared" si="55"/>
        <v>0</v>
      </c>
      <c r="EP84">
        <v>13</v>
      </c>
      <c r="EQ84">
        <v>0</v>
      </c>
      <c r="ER84">
        <f t="shared" si="56"/>
        <v>0</v>
      </c>
      <c r="ES84">
        <f t="shared" si="57"/>
        <v>0</v>
      </c>
      <c r="FA84">
        <v>13</v>
      </c>
      <c r="FB84">
        <v>0</v>
      </c>
      <c r="FC84">
        <f t="shared" si="58"/>
        <v>0</v>
      </c>
      <c r="FD84">
        <f t="shared" si="59"/>
        <v>0</v>
      </c>
      <c r="FL84">
        <v>13</v>
      </c>
      <c r="FM84">
        <v>0</v>
      </c>
      <c r="FN84">
        <f t="shared" si="60"/>
        <v>0</v>
      </c>
      <c r="FO84">
        <f t="shared" si="61"/>
        <v>0</v>
      </c>
    </row>
    <row r="85" spans="14:171" x14ac:dyDescent="0.25">
      <c r="N85">
        <v>14</v>
      </c>
      <c r="O85">
        <f>O78</f>
        <v>211.7</v>
      </c>
      <c r="P85">
        <f t="shared" si="32"/>
        <v>130.78440500157168</v>
      </c>
      <c r="Q85">
        <f t="shared" si="33"/>
        <v>93.635114159176752</v>
      </c>
      <c r="Y85">
        <v>14</v>
      </c>
      <c r="Z85">
        <f>Z78</f>
        <v>272.89999999999998</v>
      </c>
      <c r="AA85">
        <f t="shared" si="34"/>
        <v>168.59265056650406</v>
      </c>
      <c r="AB85">
        <f t="shared" si="35"/>
        <v>120.70393317921273</v>
      </c>
      <c r="AJ85">
        <v>14</v>
      </c>
      <c r="AK85">
        <f>AK78</f>
        <v>517.70000000000005</v>
      </c>
      <c r="AL85">
        <f t="shared" si="36"/>
        <v>319.82563282623363</v>
      </c>
      <c r="AM85">
        <f t="shared" si="37"/>
        <v>228.97920925935668</v>
      </c>
      <c r="AU85">
        <v>14</v>
      </c>
      <c r="AV85">
        <f>AV78</f>
        <v>762.5</v>
      </c>
      <c r="AW85">
        <f t="shared" si="38"/>
        <v>471.0586150859632</v>
      </c>
      <c r="AX85">
        <f t="shared" si="39"/>
        <v>337.2544853395006</v>
      </c>
      <c r="BF85">
        <v>14</v>
      </c>
      <c r="BG85">
        <f>BG78</f>
        <v>1252.0999999999999</v>
      </c>
      <c r="BH85">
        <f t="shared" si="40"/>
        <v>773.52457960542222</v>
      </c>
      <c r="BI85">
        <f t="shared" si="41"/>
        <v>553.80503749978845</v>
      </c>
      <c r="BQ85">
        <v>14</v>
      </c>
      <c r="BR85">
        <f>BR78</f>
        <v>1864.1</v>
      </c>
      <c r="BS85">
        <f t="shared" si="42"/>
        <v>1151.6070352547461</v>
      </c>
      <c r="BT85">
        <f t="shared" si="43"/>
        <v>824.49322770014817</v>
      </c>
      <c r="CB85">
        <v>14</v>
      </c>
      <c r="CC85">
        <f>CC78</f>
        <v>2476.0999999999995</v>
      </c>
      <c r="CD85">
        <f t="shared" si="44"/>
        <v>1529.6894909040698</v>
      </c>
      <c r="CE85">
        <f t="shared" si="45"/>
        <v>1095.1814179005078</v>
      </c>
      <c r="CM85">
        <v>14</v>
      </c>
      <c r="CN85">
        <f>CN78</f>
        <v>3700.0999999999995</v>
      </c>
      <c r="CO85">
        <f t="shared" si="46"/>
        <v>2285.8544022027177</v>
      </c>
      <c r="CP85">
        <f t="shared" si="47"/>
        <v>1636.5577983012274</v>
      </c>
      <c r="CX85">
        <v>14</v>
      </c>
      <c r="CY85">
        <f>CY78</f>
        <v>4924.0999999999995</v>
      </c>
      <c r="CZ85">
        <f t="shared" si="48"/>
        <v>3042.0193135013651</v>
      </c>
      <c r="DA85">
        <f t="shared" si="49"/>
        <v>2177.9341787019471</v>
      </c>
      <c r="DI85">
        <v>14</v>
      </c>
      <c r="DJ85">
        <f>DJ78</f>
        <v>7372.0999999999995</v>
      </c>
      <c r="DK85">
        <f t="shared" si="50"/>
        <v>4554.3491360986609</v>
      </c>
      <c r="DL85">
        <f t="shared" si="51"/>
        <v>3260.6869395033864</v>
      </c>
      <c r="DT85">
        <v>14</v>
      </c>
      <c r="DU85">
        <f>DU78</f>
        <v>9820.1</v>
      </c>
      <c r="DV85">
        <f t="shared" si="52"/>
        <v>6066.6789586959567</v>
      </c>
      <c r="DW85">
        <f t="shared" si="53"/>
        <v>4343.4397003048261</v>
      </c>
      <c r="EE85">
        <v>14</v>
      </c>
      <c r="EF85">
        <f>EF78</f>
        <v>12268.1</v>
      </c>
      <c r="EG85">
        <f t="shared" si="54"/>
        <v>7579.0087812932525</v>
      </c>
      <c r="EH85">
        <f t="shared" si="55"/>
        <v>5426.192461106265</v>
      </c>
      <c r="EP85">
        <v>14</v>
      </c>
      <c r="EQ85">
        <f>EQ78</f>
        <v>14716.1</v>
      </c>
      <c r="ER85">
        <f t="shared" si="56"/>
        <v>9091.3386038905483</v>
      </c>
      <c r="ES85">
        <f t="shared" si="57"/>
        <v>6508.9452219077048</v>
      </c>
      <c r="FA85">
        <v>14</v>
      </c>
      <c r="FB85">
        <f>FB78</f>
        <v>19612.099999999999</v>
      </c>
      <c r="FC85">
        <f t="shared" si="58"/>
        <v>12115.998249085138</v>
      </c>
      <c r="FD85">
        <f t="shared" si="59"/>
        <v>8674.4507435105825</v>
      </c>
      <c r="FL85">
        <v>14</v>
      </c>
      <c r="FM85">
        <f>FM78</f>
        <v>24508.1</v>
      </c>
      <c r="FN85">
        <f t="shared" si="60"/>
        <v>15140.65789427973</v>
      </c>
      <c r="FO85">
        <f t="shared" si="61"/>
        <v>10839.95626511346</v>
      </c>
    </row>
    <row r="86" spans="14:171" x14ac:dyDescent="0.25">
      <c r="N86">
        <v>15</v>
      </c>
      <c r="O86">
        <v>0</v>
      </c>
      <c r="P86">
        <f t="shared" si="32"/>
        <v>0</v>
      </c>
      <c r="Q86">
        <f t="shared" si="33"/>
        <v>0</v>
      </c>
      <c r="Y86">
        <v>15</v>
      </c>
      <c r="Z86">
        <v>0</v>
      </c>
      <c r="AA86">
        <f t="shared" si="34"/>
        <v>0</v>
      </c>
      <c r="AB86">
        <f t="shared" si="35"/>
        <v>0</v>
      </c>
      <c r="AJ86">
        <v>15</v>
      </c>
      <c r="AK86">
        <v>0</v>
      </c>
      <c r="AL86">
        <f t="shared" si="36"/>
        <v>0</v>
      </c>
      <c r="AM86">
        <f t="shared" si="37"/>
        <v>0</v>
      </c>
      <c r="AU86">
        <v>15</v>
      </c>
      <c r="AV86">
        <v>0</v>
      </c>
      <c r="AW86">
        <f t="shared" si="38"/>
        <v>0</v>
      </c>
      <c r="AX86">
        <f t="shared" si="39"/>
        <v>0</v>
      </c>
      <c r="BF86">
        <v>15</v>
      </c>
      <c r="BG86">
        <v>0</v>
      </c>
      <c r="BH86">
        <f t="shared" si="40"/>
        <v>0</v>
      </c>
      <c r="BI86">
        <f t="shared" si="41"/>
        <v>0</v>
      </c>
      <c r="BQ86">
        <v>15</v>
      </c>
      <c r="BR86">
        <v>0</v>
      </c>
      <c r="BS86">
        <f t="shared" si="42"/>
        <v>0</v>
      </c>
      <c r="BT86">
        <f t="shared" si="43"/>
        <v>0</v>
      </c>
      <c r="CB86">
        <v>15</v>
      </c>
      <c r="CC86">
        <v>0</v>
      </c>
      <c r="CD86">
        <f t="shared" si="44"/>
        <v>0</v>
      </c>
      <c r="CE86">
        <f t="shared" si="45"/>
        <v>0</v>
      </c>
      <c r="CM86">
        <v>15</v>
      </c>
      <c r="CN86">
        <v>0</v>
      </c>
      <c r="CO86">
        <f t="shared" si="46"/>
        <v>0</v>
      </c>
      <c r="CP86">
        <f t="shared" si="47"/>
        <v>0</v>
      </c>
      <c r="CX86">
        <v>15</v>
      </c>
      <c r="CY86">
        <v>0</v>
      </c>
      <c r="CZ86">
        <f t="shared" si="48"/>
        <v>0</v>
      </c>
      <c r="DA86">
        <f t="shared" si="49"/>
        <v>0</v>
      </c>
      <c r="DI86">
        <v>15</v>
      </c>
      <c r="DJ86">
        <v>0</v>
      </c>
      <c r="DK86">
        <f t="shared" si="50"/>
        <v>0</v>
      </c>
      <c r="DL86">
        <f t="shared" si="51"/>
        <v>0</v>
      </c>
      <c r="DT86">
        <v>15</v>
      </c>
      <c r="DU86">
        <v>0</v>
      </c>
      <c r="DV86">
        <f t="shared" si="52"/>
        <v>0</v>
      </c>
      <c r="DW86">
        <f t="shared" si="53"/>
        <v>0</v>
      </c>
      <c r="EE86">
        <v>15</v>
      </c>
      <c r="EF86">
        <v>0</v>
      </c>
      <c r="EG86">
        <f t="shared" si="54"/>
        <v>0</v>
      </c>
      <c r="EH86">
        <f t="shared" si="55"/>
        <v>0</v>
      </c>
      <c r="EP86">
        <v>15</v>
      </c>
      <c r="EQ86">
        <v>0</v>
      </c>
      <c r="ER86">
        <f t="shared" si="56"/>
        <v>0</v>
      </c>
      <c r="ES86">
        <f t="shared" si="57"/>
        <v>0</v>
      </c>
      <c r="FA86">
        <v>15</v>
      </c>
      <c r="FB86">
        <v>0</v>
      </c>
      <c r="FC86">
        <f t="shared" si="58"/>
        <v>0</v>
      </c>
      <c r="FD86">
        <f t="shared" si="59"/>
        <v>0</v>
      </c>
      <c r="FL86">
        <v>15</v>
      </c>
      <c r="FM86">
        <v>0</v>
      </c>
      <c r="FN86">
        <f t="shared" si="60"/>
        <v>0</v>
      </c>
      <c r="FO86">
        <f t="shared" si="61"/>
        <v>0</v>
      </c>
    </row>
    <row r="87" spans="14:171" x14ac:dyDescent="0.25">
      <c r="N87">
        <v>16</v>
      </c>
      <c r="O87">
        <v>0</v>
      </c>
      <c r="P87">
        <f t="shared" si="32"/>
        <v>0</v>
      </c>
      <c r="Q87">
        <f t="shared" si="33"/>
        <v>0</v>
      </c>
      <c r="Y87">
        <v>16</v>
      </c>
      <c r="Z87">
        <v>0</v>
      </c>
      <c r="AA87">
        <f t="shared" si="34"/>
        <v>0</v>
      </c>
      <c r="AB87">
        <f t="shared" si="35"/>
        <v>0</v>
      </c>
      <c r="AJ87">
        <v>16</v>
      </c>
      <c r="AK87">
        <v>0</v>
      </c>
      <c r="AL87">
        <f t="shared" si="36"/>
        <v>0</v>
      </c>
      <c r="AM87">
        <f t="shared" si="37"/>
        <v>0</v>
      </c>
      <c r="AU87">
        <v>16</v>
      </c>
      <c r="AV87">
        <v>0</v>
      </c>
      <c r="AW87">
        <f t="shared" si="38"/>
        <v>0</v>
      </c>
      <c r="AX87">
        <f t="shared" si="39"/>
        <v>0</v>
      </c>
      <c r="BF87">
        <v>16</v>
      </c>
      <c r="BG87">
        <v>0</v>
      </c>
      <c r="BH87">
        <f t="shared" si="40"/>
        <v>0</v>
      </c>
      <c r="BI87">
        <f t="shared" si="41"/>
        <v>0</v>
      </c>
      <c r="BQ87">
        <v>16</v>
      </c>
      <c r="BR87">
        <v>0</v>
      </c>
      <c r="BS87">
        <f t="shared" si="42"/>
        <v>0</v>
      </c>
      <c r="BT87">
        <f t="shared" si="43"/>
        <v>0</v>
      </c>
      <c r="CB87">
        <v>16</v>
      </c>
      <c r="CC87">
        <v>0</v>
      </c>
      <c r="CD87">
        <f t="shared" si="44"/>
        <v>0</v>
      </c>
      <c r="CE87">
        <f t="shared" si="45"/>
        <v>0</v>
      </c>
      <c r="CM87">
        <v>16</v>
      </c>
      <c r="CN87">
        <v>0</v>
      </c>
      <c r="CO87">
        <f t="shared" si="46"/>
        <v>0</v>
      </c>
      <c r="CP87">
        <f t="shared" si="47"/>
        <v>0</v>
      </c>
      <c r="CX87">
        <v>16</v>
      </c>
      <c r="CY87">
        <v>0</v>
      </c>
      <c r="CZ87">
        <f t="shared" si="48"/>
        <v>0</v>
      </c>
      <c r="DA87">
        <f t="shared" si="49"/>
        <v>0</v>
      </c>
      <c r="DI87">
        <v>16</v>
      </c>
      <c r="DJ87">
        <v>0</v>
      </c>
      <c r="DK87">
        <f t="shared" si="50"/>
        <v>0</v>
      </c>
      <c r="DL87">
        <f t="shared" si="51"/>
        <v>0</v>
      </c>
      <c r="DT87">
        <v>16</v>
      </c>
      <c r="DU87">
        <v>0</v>
      </c>
      <c r="DV87">
        <f t="shared" si="52"/>
        <v>0</v>
      </c>
      <c r="DW87">
        <f t="shared" si="53"/>
        <v>0</v>
      </c>
      <c r="EE87">
        <v>16</v>
      </c>
      <c r="EF87">
        <v>0</v>
      </c>
      <c r="EG87">
        <f t="shared" si="54"/>
        <v>0</v>
      </c>
      <c r="EH87">
        <f t="shared" si="55"/>
        <v>0</v>
      </c>
      <c r="EP87">
        <v>16</v>
      </c>
      <c r="EQ87">
        <v>0</v>
      </c>
      <c r="ER87">
        <f t="shared" si="56"/>
        <v>0</v>
      </c>
      <c r="ES87">
        <f t="shared" si="57"/>
        <v>0</v>
      </c>
      <c r="FA87">
        <v>16</v>
      </c>
      <c r="FB87">
        <v>0</v>
      </c>
      <c r="FC87">
        <f t="shared" si="58"/>
        <v>0</v>
      </c>
      <c r="FD87">
        <f t="shared" si="59"/>
        <v>0</v>
      </c>
      <c r="FL87">
        <v>16</v>
      </c>
      <c r="FM87">
        <v>0</v>
      </c>
      <c r="FN87">
        <f t="shared" si="60"/>
        <v>0</v>
      </c>
      <c r="FO87">
        <f t="shared" si="61"/>
        <v>0</v>
      </c>
    </row>
    <row r="88" spans="14:171" x14ac:dyDescent="0.25">
      <c r="N88">
        <v>17</v>
      </c>
      <c r="O88">
        <v>0</v>
      </c>
      <c r="P88">
        <f t="shared" si="32"/>
        <v>0</v>
      </c>
      <c r="Q88">
        <f t="shared" si="33"/>
        <v>0</v>
      </c>
      <c r="Y88">
        <v>17</v>
      </c>
      <c r="Z88">
        <v>0</v>
      </c>
      <c r="AA88">
        <f t="shared" si="34"/>
        <v>0</v>
      </c>
      <c r="AB88">
        <f t="shared" si="35"/>
        <v>0</v>
      </c>
      <c r="AJ88">
        <v>17</v>
      </c>
      <c r="AK88">
        <v>0</v>
      </c>
      <c r="AL88">
        <f t="shared" si="36"/>
        <v>0</v>
      </c>
      <c r="AM88">
        <f t="shared" si="37"/>
        <v>0</v>
      </c>
      <c r="AU88">
        <v>17</v>
      </c>
      <c r="AV88">
        <v>0</v>
      </c>
      <c r="AW88">
        <f t="shared" si="38"/>
        <v>0</v>
      </c>
      <c r="AX88">
        <f t="shared" si="39"/>
        <v>0</v>
      </c>
      <c r="BF88">
        <v>17</v>
      </c>
      <c r="BG88">
        <v>0</v>
      </c>
      <c r="BH88">
        <f t="shared" si="40"/>
        <v>0</v>
      </c>
      <c r="BI88">
        <f t="shared" si="41"/>
        <v>0</v>
      </c>
      <c r="BQ88">
        <v>17</v>
      </c>
      <c r="BR88">
        <v>0</v>
      </c>
      <c r="BS88">
        <f t="shared" si="42"/>
        <v>0</v>
      </c>
      <c r="BT88">
        <f t="shared" si="43"/>
        <v>0</v>
      </c>
      <c r="CB88">
        <v>17</v>
      </c>
      <c r="CC88">
        <v>0</v>
      </c>
      <c r="CD88">
        <f t="shared" si="44"/>
        <v>0</v>
      </c>
      <c r="CE88">
        <f t="shared" si="45"/>
        <v>0</v>
      </c>
      <c r="CM88">
        <v>17</v>
      </c>
      <c r="CN88">
        <v>0</v>
      </c>
      <c r="CO88">
        <f t="shared" si="46"/>
        <v>0</v>
      </c>
      <c r="CP88">
        <f t="shared" si="47"/>
        <v>0</v>
      </c>
      <c r="CX88">
        <v>17</v>
      </c>
      <c r="CY88">
        <v>0</v>
      </c>
      <c r="CZ88">
        <f t="shared" si="48"/>
        <v>0</v>
      </c>
      <c r="DA88">
        <f t="shared" si="49"/>
        <v>0</v>
      </c>
      <c r="DI88">
        <v>17</v>
      </c>
      <c r="DJ88">
        <v>0</v>
      </c>
      <c r="DK88">
        <f t="shared" si="50"/>
        <v>0</v>
      </c>
      <c r="DL88">
        <f t="shared" si="51"/>
        <v>0</v>
      </c>
      <c r="DT88">
        <v>17</v>
      </c>
      <c r="DU88">
        <v>0</v>
      </c>
      <c r="DV88">
        <f t="shared" si="52"/>
        <v>0</v>
      </c>
      <c r="DW88">
        <f t="shared" si="53"/>
        <v>0</v>
      </c>
      <c r="EE88">
        <v>17</v>
      </c>
      <c r="EF88">
        <v>0</v>
      </c>
      <c r="EG88">
        <f t="shared" si="54"/>
        <v>0</v>
      </c>
      <c r="EH88">
        <f t="shared" si="55"/>
        <v>0</v>
      </c>
      <c r="EP88">
        <v>17</v>
      </c>
      <c r="EQ88">
        <v>0</v>
      </c>
      <c r="ER88">
        <f t="shared" si="56"/>
        <v>0</v>
      </c>
      <c r="ES88">
        <f t="shared" si="57"/>
        <v>0</v>
      </c>
      <c r="FA88">
        <v>17</v>
      </c>
      <c r="FB88">
        <v>0</v>
      </c>
      <c r="FC88">
        <f t="shared" si="58"/>
        <v>0</v>
      </c>
      <c r="FD88">
        <f t="shared" si="59"/>
        <v>0</v>
      </c>
      <c r="FL88">
        <v>17</v>
      </c>
      <c r="FM88">
        <v>0</v>
      </c>
      <c r="FN88">
        <f t="shared" si="60"/>
        <v>0</v>
      </c>
      <c r="FO88">
        <f t="shared" si="61"/>
        <v>0</v>
      </c>
    </row>
    <row r="89" spans="14:171" x14ac:dyDescent="0.25">
      <c r="N89">
        <v>18</v>
      </c>
      <c r="O89">
        <v>0</v>
      </c>
      <c r="P89">
        <f t="shared" si="32"/>
        <v>0</v>
      </c>
      <c r="Q89">
        <f t="shared" si="33"/>
        <v>0</v>
      </c>
      <c r="Y89">
        <v>18</v>
      </c>
      <c r="Z89">
        <v>0</v>
      </c>
      <c r="AA89">
        <f t="shared" si="34"/>
        <v>0</v>
      </c>
      <c r="AB89">
        <f t="shared" si="35"/>
        <v>0</v>
      </c>
      <c r="AJ89">
        <v>18</v>
      </c>
      <c r="AK89">
        <v>0</v>
      </c>
      <c r="AL89">
        <f t="shared" si="36"/>
        <v>0</v>
      </c>
      <c r="AM89">
        <f t="shared" si="37"/>
        <v>0</v>
      </c>
      <c r="AU89">
        <v>18</v>
      </c>
      <c r="AV89">
        <v>0</v>
      </c>
      <c r="AW89">
        <f t="shared" si="38"/>
        <v>0</v>
      </c>
      <c r="AX89">
        <f t="shared" si="39"/>
        <v>0</v>
      </c>
      <c r="BF89">
        <v>18</v>
      </c>
      <c r="BG89">
        <v>0</v>
      </c>
      <c r="BH89">
        <f t="shared" si="40"/>
        <v>0</v>
      </c>
      <c r="BI89">
        <f t="shared" si="41"/>
        <v>0</v>
      </c>
      <c r="BQ89">
        <v>18</v>
      </c>
      <c r="BR89">
        <v>0</v>
      </c>
      <c r="BS89">
        <f t="shared" si="42"/>
        <v>0</v>
      </c>
      <c r="BT89">
        <f t="shared" si="43"/>
        <v>0</v>
      </c>
      <c r="CB89">
        <v>18</v>
      </c>
      <c r="CC89">
        <v>0</v>
      </c>
      <c r="CD89">
        <f t="shared" si="44"/>
        <v>0</v>
      </c>
      <c r="CE89">
        <f t="shared" si="45"/>
        <v>0</v>
      </c>
      <c r="CM89">
        <v>18</v>
      </c>
      <c r="CN89">
        <v>0</v>
      </c>
      <c r="CO89">
        <f t="shared" si="46"/>
        <v>0</v>
      </c>
      <c r="CP89">
        <f t="shared" si="47"/>
        <v>0</v>
      </c>
      <c r="CX89">
        <v>18</v>
      </c>
      <c r="CY89">
        <v>0</v>
      </c>
      <c r="CZ89">
        <f t="shared" si="48"/>
        <v>0</v>
      </c>
      <c r="DA89">
        <f t="shared" si="49"/>
        <v>0</v>
      </c>
      <c r="DI89">
        <v>18</v>
      </c>
      <c r="DJ89">
        <v>0</v>
      </c>
      <c r="DK89">
        <f t="shared" si="50"/>
        <v>0</v>
      </c>
      <c r="DL89">
        <f t="shared" si="51"/>
        <v>0</v>
      </c>
      <c r="DT89">
        <v>18</v>
      </c>
      <c r="DU89">
        <v>0</v>
      </c>
      <c r="DV89">
        <f t="shared" si="52"/>
        <v>0</v>
      </c>
      <c r="DW89">
        <f t="shared" si="53"/>
        <v>0</v>
      </c>
      <c r="EE89">
        <v>18</v>
      </c>
      <c r="EF89">
        <v>0</v>
      </c>
      <c r="EG89">
        <f t="shared" si="54"/>
        <v>0</v>
      </c>
      <c r="EH89">
        <f t="shared" si="55"/>
        <v>0</v>
      </c>
      <c r="EP89">
        <v>18</v>
      </c>
      <c r="EQ89">
        <v>0</v>
      </c>
      <c r="ER89">
        <f t="shared" si="56"/>
        <v>0</v>
      </c>
      <c r="ES89">
        <f t="shared" si="57"/>
        <v>0</v>
      </c>
      <c r="FA89">
        <v>18</v>
      </c>
      <c r="FB89">
        <v>0</v>
      </c>
      <c r="FC89">
        <f t="shared" si="58"/>
        <v>0</v>
      </c>
      <c r="FD89">
        <f t="shared" si="59"/>
        <v>0</v>
      </c>
      <c r="FL89">
        <v>18</v>
      </c>
      <c r="FM89">
        <v>0</v>
      </c>
      <c r="FN89">
        <f t="shared" si="60"/>
        <v>0</v>
      </c>
      <c r="FO89">
        <f t="shared" si="61"/>
        <v>0</v>
      </c>
    </row>
    <row r="90" spans="14:171" x14ac:dyDescent="0.25">
      <c r="N90">
        <v>19</v>
      </c>
      <c r="O90">
        <v>0</v>
      </c>
      <c r="P90">
        <f t="shared" si="32"/>
        <v>0</v>
      </c>
      <c r="Q90">
        <f t="shared" si="33"/>
        <v>0</v>
      </c>
      <c r="Y90">
        <v>19</v>
      </c>
      <c r="Z90">
        <v>0</v>
      </c>
      <c r="AA90">
        <f t="shared" si="34"/>
        <v>0</v>
      </c>
      <c r="AB90">
        <f t="shared" si="35"/>
        <v>0</v>
      </c>
      <c r="AJ90">
        <v>19</v>
      </c>
      <c r="AK90">
        <v>0</v>
      </c>
      <c r="AL90">
        <f t="shared" si="36"/>
        <v>0</v>
      </c>
      <c r="AM90">
        <f t="shared" si="37"/>
        <v>0</v>
      </c>
      <c r="AU90">
        <v>19</v>
      </c>
      <c r="AV90">
        <v>0</v>
      </c>
      <c r="AW90">
        <f t="shared" si="38"/>
        <v>0</v>
      </c>
      <c r="AX90">
        <f t="shared" si="39"/>
        <v>0</v>
      </c>
      <c r="BF90">
        <v>19</v>
      </c>
      <c r="BG90">
        <v>0</v>
      </c>
      <c r="BH90">
        <f t="shared" si="40"/>
        <v>0</v>
      </c>
      <c r="BI90">
        <f t="shared" si="41"/>
        <v>0</v>
      </c>
      <c r="BQ90">
        <v>19</v>
      </c>
      <c r="BR90">
        <v>0</v>
      </c>
      <c r="BS90">
        <f t="shared" si="42"/>
        <v>0</v>
      </c>
      <c r="BT90">
        <f t="shared" si="43"/>
        <v>0</v>
      </c>
      <c r="CB90">
        <v>19</v>
      </c>
      <c r="CC90">
        <v>0</v>
      </c>
      <c r="CD90">
        <f t="shared" si="44"/>
        <v>0</v>
      </c>
      <c r="CE90">
        <f t="shared" si="45"/>
        <v>0</v>
      </c>
      <c r="CM90">
        <v>19</v>
      </c>
      <c r="CN90">
        <v>0</v>
      </c>
      <c r="CO90">
        <f t="shared" si="46"/>
        <v>0</v>
      </c>
      <c r="CP90">
        <f t="shared" si="47"/>
        <v>0</v>
      </c>
      <c r="CX90">
        <v>19</v>
      </c>
      <c r="CY90">
        <v>0</v>
      </c>
      <c r="CZ90">
        <f t="shared" si="48"/>
        <v>0</v>
      </c>
      <c r="DA90">
        <f t="shared" si="49"/>
        <v>0</v>
      </c>
      <c r="DI90">
        <v>19</v>
      </c>
      <c r="DJ90">
        <v>0</v>
      </c>
      <c r="DK90">
        <f t="shared" si="50"/>
        <v>0</v>
      </c>
      <c r="DL90">
        <f t="shared" si="51"/>
        <v>0</v>
      </c>
      <c r="DT90">
        <v>19</v>
      </c>
      <c r="DU90">
        <v>0</v>
      </c>
      <c r="DV90">
        <f t="shared" si="52"/>
        <v>0</v>
      </c>
      <c r="DW90">
        <f t="shared" si="53"/>
        <v>0</v>
      </c>
      <c r="EE90">
        <v>19</v>
      </c>
      <c r="EF90">
        <v>0</v>
      </c>
      <c r="EG90">
        <f t="shared" si="54"/>
        <v>0</v>
      </c>
      <c r="EH90">
        <f t="shared" si="55"/>
        <v>0</v>
      </c>
      <c r="EP90">
        <v>19</v>
      </c>
      <c r="EQ90">
        <v>0</v>
      </c>
      <c r="ER90">
        <f t="shared" si="56"/>
        <v>0</v>
      </c>
      <c r="ES90">
        <f t="shared" si="57"/>
        <v>0</v>
      </c>
      <c r="FA90">
        <v>19</v>
      </c>
      <c r="FB90">
        <v>0</v>
      </c>
      <c r="FC90">
        <f t="shared" si="58"/>
        <v>0</v>
      </c>
      <c r="FD90">
        <f t="shared" si="59"/>
        <v>0</v>
      </c>
      <c r="FL90">
        <v>19</v>
      </c>
      <c r="FM90">
        <v>0</v>
      </c>
      <c r="FN90">
        <f t="shared" si="60"/>
        <v>0</v>
      </c>
      <c r="FO90">
        <f t="shared" si="61"/>
        <v>0</v>
      </c>
    </row>
    <row r="91" spans="14:171" x14ac:dyDescent="0.25">
      <c r="N91">
        <v>20</v>
      </c>
      <c r="O91">
        <v>0</v>
      </c>
      <c r="P91">
        <f t="shared" si="32"/>
        <v>0</v>
      </c>
      <c r="Q91">
        <f t="shared" si="33"/>
        <v>0</v>
      </c>
      <c r="Y91">
        <v>20</v>
      </c>
      <c r="Z91">
        <v>0</v>
      </c>
      <c r="AA91">
        <f t="shared" si="34"/>
        <v>0</v>
      </c>
      <c r="AB91">
        <f t="shared" si="35"/>
        <v>0</v>
      </c>
      <c r="AJ91">
        <v>20</v>
      </c>
      <c r="AK91">
        <v>0</v>
      </c>
      <c r="AL91">
        <f t="shared" si="36"/>
        <v>0</v>
      </c>
      <c r="AM91">
        <f t="shared" si="37"/>
        <v>0</v>
      </c>
      <c r="AU91">
        <v>20</v>
      </c>
      <c r="AV91">
        <v>0</v>
      </c>
      <c r="AW91">
        <f t="shared" si="38"/>
        <v>0</v>
      </c>
      <c r="AX91">
        <f t="shared" si="39"/>
        <v>0</v>
      </c>
      <c r="BF91">
        <v>20</v>
      </c>
      <c r="BG91">
        <v>0</v>
      </c>
      <c r="BH91">
        <f t="shared" si="40"/>
        <v>0</v>
      </c>
      <c r="BI91">
        <f t="shared" si="41"/>
        <v>0</v>
      </c>
      <c r="BQ91">
        <v>20</v>
      </c>
      <c r="BR91">
        <v>0</v>
      </c>
      <c r="BS91">
        <f t="shared" si="42"/>
        <v>0</v>
      </c>
      <c r="BT91">
        <f t="shared" si="43"/>
        <v>0</v>
      </c>
      <c r="CB91">
        <v>20</v>
      </c>
      <c r="CC91">
        <v>0</v>
      </c>
      <c r="CD91">
        <f t="shared" si="44"/>
        <v>0</v>
      </c>
      <c r="CE91">
        <f t="shared" si="45"/>
        <v>0</v>
      </c>
      <c r="CM91">
        <v>20</v>
      </c>
      <c r="CN91">
        <v>0</v>
      </c>
      <c r="CO91">
        <f t="shared" si="46"/>
        <v>0</v>
      </c>
      <c r="CP91">
        <f t="shared" si="47"/>
        <v>0</v>
      </c>
      <c r="CX91">
        <v>20</v>
      </c>
      <c r="CY91">
        <v>0</v>
      </c>
      <c r="CZ91">
        <f t="shared" si="48"/>
        <v>0</v>
      </c>
      <c r="DA91">
        <f t="shared" si="49"/>
        <v>0</v>
      </c>
      <c r="DI91">
        <v>20</v>
      </c>
      <c r="DJ91">
        <v>0</v>
      </c>
      <c r="DK91">
        <f t="shared" si="50"/>
        <v>0</v>
      </c>
      <c r="DL91">
        <f t="shared" si="51"/>
        <v>0</v>
      </c>
      <c r="DT91">
        <v>20</v>
      </c>
      <c r="DU91">
        <v>0</v>
      </c>
      <c r="DV91">
        <f t="shared" si="52"/>
        <v>0</v>
      </c>
      <c r="DW91">
        <f t="shared" si="53"/>
        <v>0</v>
      </c>
      <c r="EE91">
        <v>20</v>
      </c>
      <c r="EF91">
        <v>0</v>
      </c>
      <c r="EG91">
        <f t="shared" si="54"/>
        <v>0</v>
      </c>
      <c r="EH91">
        <f t="shared" si="55"/>
        <v>0</v>
      </c>
      <c r="EP91">
        <v>20</v>
      </c>
      <c r="EQ91">
        <v>0</v>
      </c>
      <c r="ER91">
        <f t="shared" si="56"/>
        <v>0</v>
      </c>
      <c r="ES91">
        <f t="shared" si="57"/>
        <v>0</v>
      </c>
      <c r="FA91">
        <v>20</v>
      </c>
      <c r="FB91">
        <v>0</v>
      </c>
      <c r="FC91">
        <f t="shared" si="58"/>
        <v>0</v>
      </c>
      <c r="FD91">
        <f t="shared" si="59"/>
        <v>0</v>
      </c>
      <c r="FL91">
        <v>20</v>
      </c>
      <c r="FM91">
        <v>0</v>
      </c>
      <c r="FN91">
        <f t="shared" si="60"/>
        <v>0</v>
      </c>
      <c r="FO91">
        <f t="shared" si="61"/>
        <v>0</v>
      </c>
    </row>
    <row r="92" spans="14:171" x14ac:dyDescent="0.25">
      <c r="N92">
        <v>21</v>
      </c>
      <c r="O92">
        <f>O85</f>
        <v>211.7</v>
      </c>
      <c r="P92">
        <f t="shared" si="32"/>
        <v>102.79536012964704</v>
      </c>
      <c r="Q92">
        <f t="shared" si="33"/>
        <v>62.272698756400025</v>
      </c>
      <c r="Y92">
        <v>21</v>
      </c>
      <c r="Z92">
        <f>Z85</f>
        <v>272.89999999999998</v>
      </c>
      <c r="AA92">
        <f t="shared" si="34"/>
        <v>132.51229938299801</v>
      </c>
      <c r="AB92">
        <f t="shared" si="35"/>
        <v>80.275009403030538</v>
      </c>
      <c r="AJ92">
        <v>21</v>
      </c>
      <c r="AK92">
        <f>AK85</f>
        <v>517.70000000000005</v>
      </c>
      <c r="AL92">
        <f t="shared" si="36"/>
        <v>251.3800563964019</v>
      </c>
      <c r="AM92">
        <f t="shared" si="37"/>
        <v>152.28425198955264</v>
      </c>
      <c r="AU92">
        <v>21</v>
      </c>
      <c r="AV92">
        <f>AV85</f>
        <v>762.5</v>
      </c>
      <c r="AW92">
        <f t="shared" si="38"/>
        <v>370.24781340980576</v>
      </c>
      <c r="AX92">
        <f t="shared" si="39"/>
        <v>224.29349457607472</v>
      </c>
      <c r="BF92">
        <v>21</v>
      </c>
      <c r="BG92">
        <f>BG85</f>
        <v>1252.0999999999999</v>
      </c>
      <c r="BH92">
        <f t="shared" si="40"/>
        <v>607.98332743661342</v>
      </c>
      <c r="BI92">
        <f t="shared" si="41"/>
        <v>368.3119797491189</v>
      </c>
      <c r="BQ92">
        <v>21</v>
      </c>
      <c r="BR92">
        <f>BR85</f>
        <v>1864.1</v>
      </c>
      <c r="BS92">
        <f t="shared" si="42"/>
        <v>905.15271997012303</v>
      </c>
      <c r="BT92">
        <f t="shared" si="43"/>
        <v>548.3350862154241</v>
      </c>
      <c r="CB92">
        <v>21</v>
      </c>
      <c r="CC92">
        <f>CC85</f>
        <v>2476.0999999999995</v>
      </c>
      <c r="CD92">
        <f t="shared" si="44"/>
        <v>1202.3221125036325</v>
      </c>
      <c r="CE92">
        <f t="shared" si="45"/>
        <v>728.35819268172918</v>
      </c>
      <c r="CM92">
        <v>21</v>
      </c>
      <c r="CN92">
        <f>CN85</f>
        <v>3700.0999999999995</v>
      </c>
      <c r="CO92">
        <f t="shared" si="46"/>
        <v>1796.6608975706517</v>
      </c>
      <c r="CP92">
        <f t="shared" si="47"/>
        <v>1088.4044056143396</v>
      </c>
      <c r="CX92">
        <v>21</v>
      </c>
      <c r="CY92">
        <f>CY85</f>
        <v>4924.0999999999995</v>
      </c>
      <c r="CZ92">
        <f t="shared" si="48"/>
        <v>2390.999682637671</v>
      </c>
      <c r="DA92">
        <f t="shared" si="49"/>
        <v>1448.4506185469502</v>
      </c>
      <c r="DI92">
        <v>21</v>
      </c>
      <c r="DJ92">
        <f>DJ85</f>
        <v>7372.0999999999995</v>
      </c>
      <c r="DK92">
        <f t="shared" si="50"/>
        <v>3579.6772527717098</v>
      </c>
      <c r="DL92">
        <f t="shared" si="51"/>
        <v>2168.5430444121712</v>
      </c>
      <c r="DT92">
        <v>21</v>
      </c>
      <c r="DU92">
        <f>DU85</f>
        <v>9820.1</v>
      </c>
      <c r="DV92">
        <f t="shared" si="52"/>
        <v>4768.3548229057487</v>
      </c>
      <c r="DW92">
        <f t="shared" si="53"/>
        <v>2888.635470277392</v>
      </c>
      <c r="EE92">
        <v>21</v>
      </c>
      <c r="EF92">
        <f>EF85</f>
        <v>12268.1</v>
      </c>
      <c r="EG92">
        <f t="shared" si="54"/>
        <v>5957.0323930397872</v>
      </c>
      <c r="EH92">
        <f t="shared" si="55"/>
        <v>3608.7278961426132</v>
      </c>
      <c r="EP92">
        <v>21</v>
      </c>
      <c r="EQ92">
        <f>EQ85</f>
        <v>14716.1</v>
      </c>
      <c r="ER92">
        <f t="shared" si="56"/>
        <v>7145.7099631738256</v>
      </c>
      <c r="ES92">
        <f t="shared" si="57"/>
        <v>4328.820322007834</v>
      </c>
      <c r="FA92">
        <v>21</v>
      </c>
      <c r="FB92">
        <f>FB85</f>
        <v>19612.099999999999</v>
      </c>
      <c r="FC92">
        <f t="shared" si="58"/>
        <v>9523.0651034419025</v>
      </c>
      <c r="FD92">
        <f t="shared" si="59"/>
        <v>5769.0051737382755</v>
      </c>
      <c r="FL92">
        <v>21</v>
      </c>
      <c r="FM92">
        <f>FM85</f>
        <v>24508.1</v>
      </c>
      <c r="FN92">
        <f t="shared" si="60"/>
        <v>11900.420243709979</v>
      </c>
      <c r="FO92">
        <f t="shared" si="61"/>
        <v>7209.1900254687171</v>
      </c>
    </row>
    <row r="93" spans="14:171" x14ac:dyDescent="0.25">
      <c r="N93">
        <v>22</v>
      </c>
      <c r="O93">
        <v>0</v>
      </c>
      <c r="P93">
        <f t="shared" si="32"/>
        <v>0</v>
      </c>
      <c r="Q93">
        <f t="shared" si="33"/>
        <v>0</v>
      </c>
      <c r="Y93">
        <v>22</v>
      </c>
      <c r="Z93">
        <v>0</v>
      </c>
      <c r="AA93">
        <f t="shared" si="34"/>
        <v>0</v>
      </c>
      <c r="AB93">
        <f t="shared" si="35"/>
        <v>0</v>
      </c>
      <c r="AJ93">
        <v>22</v>
      </c>
      <c r="AK93">
        <v>0</v>
      </c>
      <c r="AL93">
        <f t="shared" si="36"/>
        <v>0</v>
      </c>
      <c r="AM93">
        <f t="shared" si="37"/>
        <v>0</v>
      </c>
      <c r="AU93">
        <v>22</v>
      </c>
      <c r="AV93">
        <v>0</v>
      </c>
      <c r="AW93">
        <f t="shared" si="38"/>
        <v>0</v>
      </c>
      <c r="AX93">
        <f t="shared" si="39"/>
        <v>0</v>
      </c>
      <c r="BF93">
        <v>22</v>
      </c>
      <c r="BG93">
        <v>0</v>
      </c>
      <c r="BH93">
        <f t="shared" si="40"/>
        <v>0</v>
      </c>
      <c r="BI93">
        <f t="shared" si="41"/>
        <v>0</v>
      </c>
      <c r="BQ93">
        <v>22</v>
      </c>
      <c r="BR93">
        <v>0</v>
      </c>
      <c r="BS93">
        <f t="shared" si="42"/>
        <v>0</v>
      </c>
      <c r="BT93">
        <f t="shared" si="43"/>
        <v>0</v>
      </c>
      <c r="CB93">
        <v>22</v>
      </c>
      <c r="CC93">
        <v>0</v>
      </c>
      <c r="CD93">
        <f t="shared" si="44"/>
        <v>0</v>
      </c>
      <c r="CE93">
        <f t="shared" si="45"/>
        <v>0</v>
      </c>
      <c r="CM93">
        <v>22</v>
      </c>
      <c r="CN93">
        <v>0</v>
      </c>
      <c r="CO93">
        <f t="shared" si="46"/>
        <v>0</v>
      </c>
      <c r="CP93">
        <f t="shared" si="47"/>
        <v>0</v>
      </c>
      <c r="CX93">
        <v>22</v>
      </c>
      <c r="CY93">
        <v>0</v>
      </c>
      <c r="CZ93">
        <f t="shared" si="48"/>
        <v>0</v>
      </c>
      <c r="DA93">
        <f t="shared" si="49"/>
        <v>0</v>
      </c>
      <c r="DI93">
        <v>22</v>
      </c>
      <c r="DJ93">
        <v>0</v>
      </c>
      <c r="DK93">
        <f t="shared" si="50"/>
        <v>0</v>
      </c>
      <c r="DL93">
        <f t="shared" si="51"/>
        <v>0</v>
      </c>
      <c r="DT93">
        <v>22</v>
      </c>
      <c r="DU93">
        <v>0</v>
      </c>
      <c r="DV93">
        <f t="shared" si="52"/>
        <v>0</v>
      </c>
      <c r="DW93">
        <f t="shared" si="53"/>
        <v>0</v>
      </c>
      <c r="EE93">
        <v>22</v>
      </c>
      <c r="EF93">
        <v>0</v>
      </c>
      <c r="EG93">
        <f t="shared" si="54"/>
        <v>0</v>
      </c>
      <c r="EH93">
        <f t="shared" si="55"/>
        <v>0</v>
      </c>
      <c r="EP93">
        <v>22</v>
      </c>
      <c r="EQ93">
        <v>0</v>
      </c>
      <c r="ER93">
        <f t="shared" si="56"/>
        <v>0</v>
      </c>
      <c r="ES93">
        <f t="shared" si="57"/>
        <v>0</v>
      </c>
      <c r="FA93">
        <v>22</v>
      </c>
      <c r="FB93">
        <v>0</v>
      </c>
      <c r="FC93">
        <f t="shared" si="58"/>
        <v>0</v>
      </c>
      <c r="FD93">
        <f t="shared" si="59"/>
        <v>0</v>
      </c>
      <c r="FL93">
        <v>22</v>
      </c>
      <c r="FM93">
        <v>0</v>
      </c>
      <c r="FN93">
        <f t="shared" si="60"/>
        <v>0</v>
      </c>
      <c r="FO93">
        <f t="shared" si="61"/>
        <v>0</v>
      </c>
    </row>
    <row r="94" spans="14:171" x14ac:dyDescent="0.25">
      <c r="N94">
        <v>23</v>
      </c>
      <c r="O94">
        <v>0</v>
      </c>
      <c r="P94">
        <f t="shared" si="32"/>
        <v>0</v>
      </c>
      <c r="Q94">
        <f t="shared" si="33"/>
        <v>0</v>
      </c>
      <c r="Y94">
        <v>23</v>
      </c>
      <c r="Z94">
        <v>0</v>
      </c>
      <c r="AA94">
        <f t="shared" si="34"/>
        <v>0</v>
      </c>
      <c r="AB94">
        <f t="shared" si="35"/>
        <v>0</v>
      </c>
      <c r="AJ94">
        <v>23</v>
      </c>
      <c r="AK94">
        <v>0</v>
      </c>
      <c r="AL94">
        <f t="shared" si="36"/>
        <v>0</v>
      </c>
      <c r="AM94">
        <f t="shared" si="37"/>
        <v>0</v>
      </c>
      <c r="AU94">
        <v>23</v>
      </c>
      <c r="AV94">
        <v>0</v>
      </c>
      <c r="AW94">
        <f t="shared" si="38"/>
        <v>0</v>
      </c>
      <c r="AX94">
        <f t="shared" si="39"/>
        <v>0</v>
      </c>
      <c r="BF94">
        <v>23</v>
      </c>
      <c r="BG94">
        <v>0</v>
      </c>
      <c r="BH94">
        <f t="shared" si="40"/>
        <v>0</v>
      </c>
      <c r="BI94">
        <f t="shared" si="41"/>
        <v>0</v>
      </c>
      <c r="BQ94">
        <v>23</v>
      </c>
      <c r="BR94">
        <v>0</v>
      </c>
      <c r="BS94">
        <f t="shared" si="42"/>
        <v>0</v>
      </c>
      <c r="BT94">
        <f t="shared" si="43"/>
        <v>0</v>
      </c>
      <c r="CB94">
        <v>23</v>
      </c>
      <c r="CC94">
        <v>0</v>
      </c>
      <c r="CD94">
        <f t="shared" si="44"/>
        <v>0</v>
      </c>
      <c r="CE94">
        <f t="shared" si="45"/>
        <v>0</v>
      </c>
      <c r="CM94">
        <v>23</v>
      </c>
      <c r="CN94">
        <v>0</v>
      </c>
      <c r="CO94">
        <f t="shared" si="46"/>
        <v>0</v>
      </c>
      <c r="CP94">
        <f t="shared" si="47"/>
        <v>0</v>
      </c>
      <c r="CX94">
        <v>23</v>
      </c>
      <c r="CY94">
        <v>0</v>
      </c>
      <c r="CZ94">
        <f t="shared" si="48"/>
        <v>0</v>
      </c>
      <c r="DA94">
        <f t="shared" si="49"/>
        <v>0</v>
      </c>
      <c r="DI94">
        <v>23</v>
      </c>
      <c r="DJ94">
        <v>0</v>
      </c>
      <c r="DK94">
        <f t="shared" si="50"/>
        <v>0</v>
      </c>
      <c r="DL94">
        <f t="shared" si="51"/>
        <v>0</v>
      </c>
      <c r="DT94">
        <v>23</v>
      </c>
      <c r="DU94">
        <v>0</v>
      </c>
      <c r="DV94">
        <f t="shared" si="52"/>
        <v>0</v>
      </c>
      <c r="DW94">
        <f t="shared" si="53"/>
        <v>0</v>
      </c>
      <c r="EE94">
        <v>23</v>
      </c>
      <c r="EF94">
        <v>0</v>
      </c>
      <c r="EG94">
        <f t="shared" si="54"/>
        <v>0</v>
      </c>
      <c r="EH94">
        <f t="shared" si="55"/>
        <v>0</v>
      </c>
      <c r="EP94">
        <v>23</v>
      </c>
      <c r="EQ94">
        <v>0</v>
      </c>
      <c r="ER94">
        <f t="shared" si="56"/>
        <v>0</v>
      </c>
      <c r="ES94">
        <f t="shared" si="57"/>
        <v>0</v>
      </c>
      <c r="FA94">
        <v>23</v>
      </c>
      <c r="FB94">
        <v>0</v>
      </c>
      <c r="FC94">
        <f t="shared" si="58"/>
        <v>0</v>
      </c>
      <c r="FD94">
        <f t="shared" si="59"/>
        <v>0</v>
      </c>
      <c r="FL94">
        <v>23</v>
      </c>
      <c r="FM94">
        <v>0</v>
      </c>
      <c r="FN94">
        <f t="shared" si="60"/>
        <v>0</v>
      </c>
      <c r="FO94">
        <f t="shared" si="61"/>
        <v>0</v>
      </c>
    </row>
    <row r="95" spans="14:171" x14ac:dyDescent="0.25">
      <c r="N95">
        <v>24</v>
      </c>
      <c r="O95">
        <v>0</v>
      </c>
      <c r="P95">
        <f t="shared" si="32"/>
        <v>0</v>
      </c>
      <c r="Q95">
        <f t="shared" si="33"/>
        <v>0</v>
      </c>
      <c r="Y95">
        <v>24</v>
      </c>
      <c r="Z95">
        <v>0</v>
      </c>
      <c r="AA95">
        <f t="shared" si="34"/>
        <v>0</v>
      </c>
      <c r="AB95">
        <f t="shared" si="35"/>
        <v>0</v>
      </c>
      <c r="AJ95">
        <v>24</v>
      </c>
      <c r="AK95">
        <v>0</v>
      </c>
      <c r="AL95">
        <f t="shared" si="36"/>
        <v>0</v>
      </c>
      <c r="AM95">
        <f t="shared" si="37"/>
        <v>0</v>
      </c>
      <c r="AU95">
        <v>24</v>
      </c>
      <c r="AV95">
        <v>0</v>
      </c>
      <c r="AW95">
        <f t="shared" si="38"/>
        <v>0</v>
      </c>
      <c r="AX95">
        <f t="shared" si="39"/>
        <v>0</v>
      </c>
      <c r="BF95">
        <v>24</v>
      </c>
      <c r="BG95">
        <v>0</v>
      </c>
      <c r="BH95">
        <f t="shared" si="40"/>
        <v>0</v>
      </c>
      <c r="BI95">
        <f t="shared" si="41"/>
        <v>0</v>
      </c>
      <c r="BQ95">
        <v>24</v>
      </c>
      <c r="BR95">
        <v>0</v>
      </c>
      <c r="BS95">
        <f t="shared" si="42"/>
        <v>0</v>
      </c>
      <c r="BT95">
        <f t="shared" si="43"/>
        <v>0</v>
      </c>
      <c r="CB95">
        <v>24</v>
      </c>
      <c r="CC95">
        <v>0</v>
      </c>
      <c r="CD95">
        <f t="shared" si="44"/>
        <v>0</v>
      </c>
      <c r="CE95">
        <f t="shared" si="45"/>
        <v>0</v>
      </c>
      <c r="CM95">
        <v>24</v>
      </c>
      <c r="CN95">
        <v>0</v>
      </c>
      <c r="CO95">
        <f t="shared" si="46"/>
        <v>0</v>
      </c>
      <c r="CP95">
        <f t="shared" si="47"/>
        <v>0</v>
      </c>
      <c r="CX95">
        <v>24</v>
      </c>
      <c r="CY95">
        <v>0</v>
      </c>
      <c r="CZ95">
        <f t="shared" si="48"/>
        <v>0</v>
      </c>
      <c r="DA95">
        <f t="shared" si="49"/>
        <v>0</v>
      </c>
      <c r="DI95">
        <v>24</v>
      </c>
      <c r="DJ95">
        <v>0</v>
      </c>
      <c r="DK95">
        <f t="shared" si="50"/>
        <v>0</v>
      </c>
      <c r="DL95">
        <f t="shared" si="51"/>
        <v>0</v>
      </c>
      <c r="DT95">
        <v>24</v>
      </c>
      <c r="DU95">
        <v>0</v>
      </c>
      <c r="DV95">
        <f t="shared" si="52"/>
        <v>0</v>
      </c>
      <c r="DW95">
        <f t="shared" si="53"/>
        <v>0</v>
      </c>
      <c r="EE95">
        <v>24</v>
      </c>
      <c r="EF95">
        <v>0</v>
      </c>
      <c r="EG95">
        <f t="shared" si="54"/>
        <v>0</v>
      </c>
      <c r="EH95">
        <f t="shared" si="55"/>
        <v>0</v>
      </c>
      <c r="EP95">
        <v>24</v>
      </c>
      <c r="EQ95">
        <v>0</v>
      </c>
      <c r="ER95">
        <f t="shared" si="56"/>
        <v>0</v>
      </c>
      <c r="ES95">
        <f t="shared" si="57"/>
        <v>0</v>
      </c>
      <c r="FA95">
        <v>24</v>
      </c>
      <c r="FB95">
        <v>0</v>
      </c>
      <c r="FC95">
        <f t="shared" si="58"/>
        <v>0</v>
      </c>
      <c r="FD95">
        <f t="shared" si="59"/>
        <v>0</v>
      </c>
      <c r="FL95">
        <v>24</v>
      </c>
      <c r="FM95">
        <v>0</v>
      </c>
      <c r="FN95">
        <f t="shared" si="60"/>
        <v>0</v>
      </c>
      <c r="FO95">
        <f t="shared" si="61"/>
        <v>0</v>
      </c>
    </row>
    <row r="96" spans="14:171" x14ac:dyDescent="0.25">
      <c r="N96">
        <v>25</v>
      </c>
      <c r="O96">
        <v>0</v>
      </c>
      <c r="P96">
        <f t="shared" si="32"/>
        <v>0</v>
      </c>
      <c r="Q96">
        <f t="shared" si="33"/>
        <v>0</v>
      </c>
      <c r="Y96">
        <v>25</v>
      </c>
      <c r="Z96">
        <v>0</v>
      </c>
      <c r="AA96">
        <f t="shared" si="34"/>
        <v>0</v>
      </c>
      <c r="AB96">
        <f t="shared" si="35"/>
        <v>0</v>
      </c>
      <c r="AJ96">
        <v>25</v>
      </c>
      <c r="AK96">
        <v>0</v>
      </c>
      <c r="AL96">
        <f t="shared" si="36"/>
        <v>0</v>
      </c>
      <c r="AM96">
        <f t="shared" si="37"/>
        <v>0</v>
      </c>
      <c r="AU96">
        <v>25</v>
      </c>
      <c r="AV96">
        <v>0</v>
      </c>
      <c r="AW96">
        <f t="shared" si="38"/>
        <v>0</v>
      </c>
      <c r="AX96">
        <f t="shared" si="39"/>
        <v>0</v>
      </c>
      <c r="BF96">
        <v>25</v>
      </c>
      <c r="BG96">
        <v>0</v>
      </c>
      <c r="BH96">
        <f t="shared" si="40"/>
        <v>0</v>
      </c>
      <c r="BI96">
        <f t="shared" si="41"/>
        <v>0</v>
      </c>
      <c r="BQ96">
        <v>25</v>
      </c>
      <c r="BR96">
        <v>0</v>
      </c>
      <c r="BS96">
        <f t="shared" si="42"/>
        <v>0</v>
      </c>
      <c r="BT96">
        <f t="shared" si="43"/>
        <v>0</v>
      </c>
      <c r="CB96">
        <v>25</v>
      </c>
      <c r="CC96">
        <v>0</v>
      </c>
      <c r="CD96">
        <f t="shared" si="44"/>
        <v>0</v>
      </c>
      <c r="CE96">
        <f t="shared" si="45"/>
        <v>0</v>
      </c>
      <c r="CM96">
        <v>25</v>
      </c>
      <c r="CN96">
        <v>0</v>
      </c>
      <c r="CO96">
        <f t="shared" si="46"/>
        <v>0</v>
      </c>
      <c r="CP96">
        <f t="shared" si="47"/>
        <v>0</v>
      </c>
      <c r="CX96">
        <v>25</v>
      </c>
      <c r="CY96">
        <v>0</v>
      </c>
      <c r="CZ96">
        <f t="shared" si="48"/>
        <v>0</v>
      </c>
      <c r="DA96">
        <f t="shared" si="49"/>
        <v>0</v>
      </c>
      <c r="DI96">
        <v>25</v>
      </c>
      <c r="DJ96">
        <v>0</v>
      </c>
      <c r="DK96">
        <f t="shared" si="50"/>
        <v>0</v>
      </c>
      <c r="DL96">
        <f t="shared" si="51"/>
        <v>0</v>
      </c>
      <c r="DT96">
        <v>25</v>
      </c>
      <c r="DU96">
        <v>0</v>
      </c>
      <c r="DV96">
        <f t="shared" si="52"/>
        <v>0</v>
      </c>
      <c r="DW96">
        <f t="shared" si="53"/>
        <v>0</v>
      </c>
      <c r="EE96">
        <v>25</v>
      </c>
      <c r="EF96">
        <v>0</v>
      </c>
      <c r="EG96">
        <f t="shared" si="54"/>
        <v>0</v>
      </c>
      <c r="EH96">
        <f t="shared" si="55"/>
        <v>0</v>
      </c>
      <c r="EP96">
        <v>25</v>
      </c>
      <c r="EQ96">
        <v>0</v>
      </c>
      <c r="ER96">
        <f t="shared" si="56"/>
        <v>0</v>
      </c>
      <c r="ES96">
        <f t="shared" si="57"/>
        <v>0</v>
      </c>
      <c r="FA96">
        <v>25</v>
      </c>
      <c r="FB96">
        <v>0</v>
      </c>
      <c r="FC96">
        <f t="shared" si="58"/>
        <v>0</v>
      </c>
      <c r="FD96">
        <f t="shared" si="59"/>
        <v>0</v>
      </c>
      <c r="FL96">
        <v>25</v>
      </c>
      <c r="FM96">
        <v>0</v>
      </c>
      <c r="FN96">
        <f t="shared" si="60"/>
        <v>0</v>
      </c>
      <c r="FO96">
        <f t="shared" si="61"/>
        <v>0</v>
      </c>
    </row>
    <row r="97" spans="1:177" x14ac:dyDescent="0.25">
      <c r="N97">
        <v>26</v>
      </c>
      <c r="O97">
        <v>0</v>
      </c>
      <c r="P97">
        <f t="shared" si="32"/>
        <v>0</v>
      </c>
      <c r="Q97">
        <f t="shared" si="33"/>
        <v>0</v>
      </c>
      <c r="Y97">
        <v>26</v>
      </c>
      <c r="Z97">
        <v>0</v>
      </c>
      <c r="AA97">
        <f t="shared" si="34"/>
        <v>0</v>
      </c>
      <c r="AB97">
        <f t="shared" si="35"/>
        <v>0</v>
      </c>
      <c r="AJ97">
        <v>26</v>
      </c>
      <c r="AK97">
        <v>0</v>
      </c>
      <c r="AL97">
        <f t="shared" si="36"/>
        <v>0</v>
      </c>
      <c r="AM97">
        <f t="shared" si="37"/>
        <v>0</v>
      </c>
      <c r="AU97">
        <v>26</v>
      </c>
      <c r="AV97">
        <v>0</v>
      </c>
      <c r="AW97">
        <f t="shared" si="38"/>
        <v>0</v>
      </c>
      <c r="AX97">
        <f t="shared" si="39"/>
        <v>0</v>
      </c>
      <c r="BF97">
        <v>26</v>
      </c>
      <c r="BG97">
        <v>0</v>
      </c>
      <c r="BH97">
        <f t="shared" si="40"/>
        <v>0</v>
      </c>
      <c r="BI97">
        <f t="shared" si="41"/>
        <v>0</v>
      </c>
      <c r="BQ97">
        <v>26</v>
      </c>
      <c r="BR97">
        <v>0</v>
      </c>
      <c r="BS97">
        <f t="shared" si="42"/>
        <v>0</v>
      </c>
      <c r="BT97">
        <f t="shared" si="43"/>
        <v>0</v>
      </c>
      <c r="CB97">
        <v>26</v>
      </c>
      <c r="CC97">
        <v>0</v>
      </c>
      <c r="CD97">
        <f t="shared" si="44"/>
        <v>0</v>
      </c>
      <c r="CE97">
        <f t="shared" si="45"/>
        <v>0</v>
      </c>
      <c r="CM97">
        <v>26</v>
      </c>
      <c r="CN97">
        <v>0</v>
      </c>
      <c r="CO97">
        <f t="shared" si="46"/>
        <v>0</v>
      </c>
      <c r="CP97">
        <f t="shared" si="47"/>
        <v>0</v>
      </c>
      <c r="CX97">
        <v>26</v>
      </c>
      <c r="CY97">
        <v>0</v>
      </c>
      <c r="CZ97">
        <f t="shared" si="48"/>
        <v>0</v>
      </c>
      <c r="DA97">
        <f t="shared" si="49"/>
        <v>0</v>
      </c>
      <c r="DI97">
        <v>26</v>
      </c>
      <c r="DJ97">
        <v>0</v>
      </c>
      <c r="DK97">
        <f t="shared" si="50"/>
        <v>0</v>
      </c>
      <c r="DL97">
        <f t="shared" si="51"/>
        <v>0</v>
      </c>
      <c r="DT97">
        <v>26</v>
      </c>
      <c r="DU97">
        <v>0</v>
      </c>
      <c r="DV97">
        <f t="shared" si="52"/>
        <v>0</v>
      </c>
      <c r="DW97">
        <f t="shared" si="53"/>
        <v>0</v>
      </c>
      <c r="EE97">
        <v>26</v>
      </c>
      <c r="EF97">
        <v>0</v>
      </c>
      <c r="EG97">
        <f t="shared" si="54"/>
        <v>0</v>
      </c>
      <c r="EH97">
        <f t="shared" si="55"/>
        <v>0</v>
      </c>
      <c r="EP97">
        <v>26</v>
      </c>
      <c r="EQ97">
        <v>0</v>
      </c>
      <c r="ER97">
        <f t="shared" si="56"/>
        <v>0</v>
      </c>
      <c r="ES97">
        <f t="shared" si="57"/>
        <v>0</v>
      </c>
      <c r="FA97">
        <v>26</v>
      </c>
      <c r="FB97">
        <v>0</v>
      </c>
      <c r="FC97">
        <f t="shared" si="58"/>
        <v>0</v>
      </c>
      <c r="FD97">
        <f t="shared" si="59"/>
        <v>0</v>
      </c>
      <c r="FL97">
        <v>26</v>
      </c>
      <c r="FM97">
        <v>0</v>
      </c>
      <c r="FN97">
        <f t="shared" si="60"/>
        <v>0</v>
      </c>
      <c r="FO97">
        <f t="shared" si="61"/>
        <v>0</v>
      </c>
    </row>
    <row r="98" spans="1:177" x14ac:dyDescent="0.25">
      <c r="N98">
        <v>27</v>
      </c>
      <c r="O98">
        <v>0</v>
      </c>
      <c r="P98">
        <f t="shared" si="32"/>
        <v>0</v>
      </c>
      <c r="Q98">
        <f t="shared" si="33"/>
        <v>0</v>
      </c>
      <c r="Y98">
        <v>27</v>
      </c>
      <c r="Z98">
        <v>0</v>
      </c>
      <c r="AA98">
        <f t="shared" si="34"/>
        <v>0</v>
      </c>
      <c r="AB98">
        <f t="shared" si="35"/>
        <v>0</v>
      </c>
      <c r="AJ98">
        <v>27</v>
      </c>
      <c r="AK98">
        <v>0</v>
      </c>
      <c r="AL98">
        <f t="shared" si="36"/>
        <v>0</v>
      </c>
      <c r="AM98">
        <f t="shared" si="37"/>
        <v>0</v>
      </c>
      <c r="AU98">
        <v>27</v>
      </c>
      <c r="AV98">
        <v>0</v>
      </c>
      <c r="AW98">
        <f t="shared" si="38"/>
        <v>0</v>
      </c>
      <c r="AX98">
        <f t="shared" si="39"/>
        <v>0</v>
      </c>
      <c r="BF98">
        <v>27</v>
      </c>
      <c r="BG98">
        <v>0</v>
      </c>
      <c r="BH98">
        <f t="shared" si="40"/>
        <v>0</v>
      </c>
      <c r="BI98">
        <f t="shared" si="41"/>
        <v>0</v>
      </c>
      <c r="BQ98">
        <v>27</v>
      </c>
      <c r="BR98">
        <v>0</v>
      </c>
      <c r="BS98">
        <f t="shared" si="42"/>
        <v>0</v>
      </c>
      <c r="BT98">
        <f t="shared" si="43"/>
        <v>0</v>
      </c>
      <c r="CB98">
        <v>27</v>
      </c>
      <c r="CC98">
        <v>0</v>
      </c>
      <c r="CD98">
        <f t="shared" si="44"/>
        <v>0</v>
      </c>
      <c r="CE98">
        <f t="shared" si="45"/>
        <v>0</v>
      </c>
      <c r="CM98">
        <v>27</v>
      </c>
      <c r="CN98">
        <v>0</v>
      </c>
      <c r="CO98">
        <f t="shared" si="46"/>
        <v>0</v>
      </c>
      <c r="CP98">
        <f t="shared" si="47"/>
        <v>0</v>
      </c>
      <c r="CX98">
        <v>27</v>
      </c>
      <c r="CY98">
        <v>0</v>
      </c>
      <c r="CZ98">
        <f t="shared" si="48"/>
        <v>0</v>
      </c>
      <c r="DA98">
        <f t="shared" si="49"/>
        <v>0</v>
      </c>
      <c r="DI98">
        <v>27</v>
      </c>
      <c r="DJ98">
        <v>0</v>
      </c>
      <c r="DK98">
        <f t="shared" si="50"/>
        <v>0</v>
      </c>
      <c r="DL98">
        <f t="shared" si="51"/>
        <v>0</v>
      </c>
      <c r="DT98">
        <v>27</v>
      </c>
      <c r="DU98">
        <v>0</v>
      </c>
      <c r="DV98">
        <f t="shared" si="52"/>
        <v>0</v>
      </c>
      <c r="DW98">
        <f t="shared" si="53"/>
        <v>0</v>
      </c>
      <c r="EE98">
        <v>27</v>
      </c>
      <c r="EF98">
        <v>0</v>
      </c>
      <c r="EG98">
        <f t="shared" si="54"/>
        <v>0</v>
      </c>
      <c r="EH98">
        <f t="shared" si="55"/>
        <v>0</v>
      </c>
      <c r="EP98">
        <v>27</v>
      </c>
      <c r="EQ98">
        <v>0</v>
      </c>
      <c r="ER98">
        <f t="shared" si="56"/>
        <v>0</v>
      </c>
      <c r="ES98">
        <f t="shared" si="57"/>
        <v>0</v>
      </c>
      <c r="FA98">
        <v>27</v>
      </c>
      <c r="FB98">
        <v>0</v>
      </c>
      <c r="FC98">
        <f t="shared" si="58"/>
        <v>0</v>
      </c>
      <c r="FD98">
        <f t="shared" si="59"/>
        <v>0</v>
      </c>
      <c r="FL98">
        <v>27</v>
      </c>
      <c r="FM98">
        <v>0</v>
      </c>
      <c r="FN98">
        <f t="shared" si="60"/>
        <v>0</v>
      </c>
      <c r="FO98">
        <f t="shared" si="61"/>
        <v>0</v>
      </c>
    </row>
    <row r="99" spans="1:177" x14ac:dyDescent="0.25">
      <c r="N99">
        <v>28</v>
      </c>
      <c r="O99">
        <f>O92</f>
        <v>211.7</v>
      </c>
      <c r="P99">
        <f t="shared" si="32"/>
        <v>80.796223862140437</v>
      </c>
      <c r="Q99">
        <f t="shared" si="33"/>
        <v>41.414901292404643</v>
      </c>
      <c r="Y99">
        <v>28</v>
      </c>
      <c r="Z99">
        <f>Z92</f>
        <v>272.89999999999998</v>
      </c>
      <c r="AA99">
        <f t="shared" si="34"/>
        <v>104.15346949446445</v>
      </c>
      <c r="AB99">
        <f t="shared" si="35"/>
        <v>53.387466049585392</v>
      </c>
      <c r="AJ99">
        <v>28</v>
      </c>
      <c r="AK99">
        <f>AK92</f>
        <v>517.70000000000005</v>
      </c>
      <c r="AL99">
        <f t="shared" si="36"/>
        <v>197.58245202376054</v>
      </c>
      <c r="AM99">
        <f t="shared" si="37"/>
        <v>101.27772507830839</v>
      </c>
      <c r="AU99">
        <v>28</v>
      </c>
      <c r="AV99">
        <f>AV92</f>
        <v>762.5</v>
      </c>
      <c r="AW99">
        <f t="shared" si="38"/>
        <v>291.01143455305657</v>
      </c>
      <c r="AX99">
        <f t="shared" si="39"/>
        <v>149.16798410703137</v>
      </c>
      <c r="BF99">
        <v>28</v>
      </c>
      <c r="BG99">
        <f>BG92</f>
        <v>1252.0999999999999</v>
      </c>
      <c r="BH99">
        <f t="shared" si="40"/>
        <v>477.8693996116487</v>
      </c>
      <c r="BI99">
        <f t="shared" si="41"/>
        <v>244.94850216447733</v>
      </c>
      <c r="BQ99">
        <v>28</v>
      </c>
      <c r="BR99">
        <f>BR92</f>
        <v>1864.1</v>
      </c>
      <c r="BS99">
        <f t="shared" si="42"/>
        <v>711.44185593488885</v>
      </c>
      <c r="BT99">
        <f t="shared" si="43"/>
        <v>364.67414973628485</v>
      </c>
      <c r="CB99">
        <v>28</v>
      </c>
      <c r="CC99">
        <f>CC92</f>
        <v>2476.0999999999995</v>
      </c>
      <c r="CD99">
        <f t="shared" si="44"/>
        <v>945.01431225812894</v>
      </c>
      <c r="CE99">
        <f t="shared" si="45"/>
        <v>484.39979730809222</v>
      </c>
      <c r="CM99">
        <v>28</v>
      </c>
      <c r="CN99">
        <f>CN92</f>
        <v>3700.0999999999995</v>
      </c>
      <c r="CO99">
        <f t="shared" si="46"/>
        <v>1412.1592249046093</v>
      </c>
      <c r="CP99">
        <f t="shared" si="47"/>
        <v>723.85109245170713</v>
      </c>
      <c r="CX99">
        <v>28</v>
      </c>
      <c r="CY99">
        <f>CY92</f>
        <v>4924.0999999999995</v>
      </c>
      <c r="CZ99">
        <f t="shared" si="48"/>
        <v>1879.3041375510895</v>
      </c>
      <c r="DA99">
        <f t="shared" si="49"/>
        <v>963.3023875953221</v>
      </c>
      <c r="DI99">
        <v>28</v>
      </c>
      <c r="DJ99">
        <f>DJ92</f>
        <v>7372.0999999999995</v>
      </c>
      <c r="DK99">
        <f t="shared" si="50"/>
        <v>2813.5939628440506</v>
      </c>
      <c r="DL99">
        <f t="shared" si="51"/>
        <v>1442.2049778825522</v>
      </c>
      <c r="DT99">
        <v>28</v>
      </c>
      <c r="DU99">
        <f>DU92</f>
        <v>9820.1</v>
      </c>
      <c r="DV99">
        <f t="shared" si="52"/>
        <v>3747.8837881370114</v>
      </c>
      <c r="DW99">
        <f t="shared" si="53"/>
        <v>1921.1075681697821</v>
      </c>
      <c r="EE99">
        <v>28</v>
      </c>
      <c r="EF99">
        <f>EF92</f>
        <v>12268.1</v>
      </c>
      <c r="EG99">
        <f t="shared" si="54"/>
        <v>4682.1736134299717</v>
      </c>
      <c r="EH99">
        <f t="shared" si="55"/>
        <v>2400.010158457012</v>
      </c>
      <c r="EP99">
        <v>28</v>
      </c>
      <c r="EQ99">
        <f>EQ92</f>
        <v>14716.1</v>
      </c>
      <c r="ER99">
        <f t="shared" si="56"/>
        <v>5616.4634387229326</v>
      </c>
      <c r="ES99">
        <f t="shared" si="57"/>
        <v>2878.912748744242</v>
      </c>
      <c r="FA99">
        <v>28</v>
      </c>
      <c r="FB99">
        <f>FB92</f>
        <v>19612.099999999999</v>
      </c>
      <c r="FC99">
        <f t="shared" si="58"/>
        <v>7485.0430893088533</v>
      </c>
      <c r="FD99">
        <f t="shared" si="59"/>
        <v>3836.7179293187014</v>
      </c>
      <c r="FL99">
        <v>28</v>
      </c>
      <c r="FM99">
        <f>FM92</f>
        <v>24508.1</v>
      </c>
      <c r="FN99">
        <f t="shared" si="60"/>
        <v>9353.6227398947758</v>
      </c>
      <c r="FO99">
        <f t="shared" si="61"/>
        <v>4794.5231098931617</v>
      </c>
    </row>
    <row r="100" spans="1:177" x14ac:dyDescent="0.25">
      <c r="N100">
        <v>29</v>
      </c>
      <c r="O100">
        <v>0</v>
      </c>
      <c r="P100">
        <f t="shared" si="32"/>
        <v>0</v>
      </c>
      <c r="Q100">
        <f t="shared" si="33"/>
        <v>0</v>
      </c>
      <c r="Y100">
        <v>29</v>
      </c>
      <c r="Z100">
        <v>0</v>
      </c>
      <c r="AA100">
        <f t="shared" si="34"/>
        <v>0</v>
      </c>
      <c r="AB100">
        <f t="shared" si="35"/>
        <v>0</v>
      </c>
      <c r="AJ100">
        <v>29</v>
      </c>
      <c r="AK100">
        <v>0</v>
      </c>
      <c r="AL100">
        <f t="shared" si="36"/>
        <v>0</v>
      </c>
      <c r="AM100">
        <f t="shared" si="37"/>
        <v>0</v>
      </c>
      <c r="AU100">
        <v>29</v>
      </c>
      <c r="AV100">
        <v>0</v>
      </c>
      <c r="AW100">
        <f t="shared" si="38"/>
        <v>0</v>
      </c>
      <c r="AX100">
        <f t="shared" si="39"/>
        <v>0</v>
      </c>
      <c r="BF100">
        <v>29</v>
      </c>
      <c r="BG100">
        <v>0</v>
      </c>
      <c r="BH100">
        <f t="shared" si="40"/>
        <v>0</v>
      </c>
      <c r="BI100">
        <f t="shared" si="41"/>
        <v>0</v>
      </c>
      <c r="BQ100">
        <v>29</v>
      </c>
      <c r="BR100">
        <v>0</v>
      </c>
      <c r="BS100">
        <f t="shared" si="42"/>
        <v>0</v>
      </c>
      <c r="BT100">
        <f t="shared" si="43"/>
        <v>0</v>
      </c>
      <c r="CB100">
        <v>29</v>
      </c>
      <c r="CC100">
        <v>0</v>
      </c>
      <c r="CD100">
        <f t="shared" si="44"/>
        <v>0</v>
      </c>
      <c r="CE100">
        <f t="shared" si="45"/>
        <v>0</v>
      </c>
      <c r="CM100">
        <v>29</v>
      </c>
      <c r="CN100">
        <v>0</v>
      </c>
      <c r="CO100">
        <f t="shared" si="46"/>
        <v>0</v>
      </c>
      <c r="CP100">
        <f t="shared" si="47"/>
        <v>0</v>
      </c>
      <c r="CX100">
        <v>29</v>
      </c>
      <c r="CY100">
        <v>0</v>
      </c>
      <c r="CZ100">
        <f t="shared" si="48"/>
        <v>0</v>
      </c>
      <c r="DA100">
        <f t="shared" si="49"/>
        <v>0</v>
      </c>
      <c r="DI100">
        <v>29</v>
      </c>
      <c r="DJ100">
        <v>0</v>
      </c>
      <c r="DK100">
        <f t="shared" si="50"/>
        <v>0</v>
      </c>
      <c r="DL100">
        <f t="shared" si="51"/>
        <v>0</v>
      </c>
      <c r="DT100">
        <v>29</v>
      </c>
      <c r="DU100">
        <v>0</v>
      </c>
      <c r="DV100">
        <f t="shared" si="52"/>
        <v>0</v>
      </c>
      <c r="DW100">
        <f t="shared" si="53"/>
        <v>0</v>
      </c>
      <c r="EE100">
        <v>29</v>
      </c>
      <c r="EF100">
        <v>0</v>
      </c>
      <c r="EG100">
        <f t="shared" si="54"/>
        <v>0</v>
      </c>
      <c r="EH100">
        <f t="shared" si="55"/>
        <v>0</v>
      </c>
      <c r="EP100">
        <v>29</v>
      </c>
      <c r="EQ100">
        <v>0</v>
      </c>
      <c r="ER100">
        <f t="shared" si="56"/>
        <v>0</v>
      </c>
      <c r="ES100">
        <f t="shared" si="57"/>
        <v>0</v>
      </c>
      <c r="FA100">
        <v>29</v>
      </c>
      <c r="FB100">
        <v>0</v>
      </c>
      <c r="FC100">
        <f t="shared" si="58"/>
        <v>0</v>
      </c>
      <c r="FD100">
        <f t="shared" si="59"/>
        <v>0</v>
      </c>
      <c r="FL100">
        <v>29</v>
      </c>
      <c r="FM100">
        <v>0</v>
      </c>
      <c r="FN100">
        <f t="shared" si="60"/>
        <v>0</v>
      </c>
      <c r="FO100">
        <f t="shared" si="61"/>
        <v>0</v>
      </c>
    </row>
    <row r="101" spans="1:177" x14ac:dyDescent="0.25">
      <c r="N101">
        <v>30</v>
      </c>
      <c r="O101">
        <v>0</v>
      </c>
      <c r="P101">
        <f t="shared" si="32"/>
        <v>0</v>
      </c>
      <c r="Q101">
        <f t="shared" si="33"/>
        <v>0</v>
      </c>
      <c r="Y101">
        <v>30</v>
      </c>
      <c r="Z101">
        <v>0</v>
      </c>
      <c r="AA101">
        <f t="shared" si="34"/>
        <v>0</v>
      </c>
      <c r="AB101">
        <f t="shared" si="35"/>
        <v>0</v>
      </c>
      <c r="AJ101">
        <v>30</v>
      </c>
      <c r="AK101">
        <v>0</v>
      </c>
      <c r="AL101">
        <f t="shared" si="36"/>
        <v>0</v>
      </c>
      <c r="AM101">
        <f t="shared" si="37"/>
        <v>0</v>
      </c>
      <c r="AU101">
        <v>30</v>
      </c>
      <c r="AV101">
        <v>0</v>
      </c>
      <c r="AW101">
        <f t="shared" si="38"/>
        <v>0</v>
      </c>
      <c r="AX101">
        <f t="shared" si="39"/>
        <v>0</v>
      </c>
      <c r="BF101">
        <v>30</v>
      </c>
      <c r="BG101">
        <v>0</v>
      </c>
      <c r="BH101">
        <f t="shared" si="40"/>
        <v>0</v>
      </c>
      <c r="BI101">
        <f t="shared" si="41"/>
        <v>0</v>
      </c>
      <c r="BQ101">
        <v>30</v>
      </c>
      <c r="BR101">
        <v>0</v>
      </c>
      <c r="BS101">
        <f t="shared" si="42"/>
        <v>0</v>
      </c>
      <c r="BT101">
        <f t="shared" si="43"/>
        <v>0</v>
      </c>
      <c r="CB101">
        <v>30</v>
      </c>
      <c r="CC101">
        <v>0</v>
      </c>
      <c r="CD101">
        <f t="shared" si="44"/>
        <v>0</v>
      </c>
      <c r="CE101">
        <f t="shared" si="45"/>
        <v>0</v>
      </c>
      <c r="CM101">
        <v>30</v>
      </c>
      <c r="CN101">
        <v>0</v>
      </c>
      <c r="CO101">
        <f t="shared" si="46"/>
        <v>0</v>
      </c>
      <c r="CP101">
        <f t="shared" si="47"/>
        <v>0</v>
      </c>
      <c r="CX101">
        <v>30</v>
      </c>
      <c r="CY101">
        <v>0</v>
      </c>
      <c r="CZ101">
        <f t="shared" si="48"/>
        <v>0</v>
      </c>
      <c r="DA101">
        <f t="shared" si="49"/>
        <v>0</v>
      </c>
      <c r="DI101">
        <v>30</v>
      </c>
      <c r="DJ101">
        <v>0</v>
      </c>
      <c r="DK101">
        <f t="shared" si="50"/>
        <v>0</v>
      </c>
      <c r="DL101">
        <f t="shared" si="51"/>
        <v>0</v>
      </c>
      <c r="DT101">
        <v>30</v>
      </c>
      <c r="DU101">
        <v>0</v>
      </c>
      <c r="DV101">
        <f t="shared" si="52"/>
        <v>0</v>
      </c>
      <c r="DW101">
        <f t="shared" si="53"/>
        <v>0</v>
      </c>
      <c r="EE101">
        <v>30</v>
      </c>
      <c r="EF101">
        <v>0</v>
      </c>
      <c r="EG101">
        <f t="shared" si="54"/>
        <v>0</v>
      </c>
      <c r="EH101">
        <f t="shared" si="55"/>
        <v>0</v>
      </c>
      <c r="EP101">
        <v>30</v>
      </c>
      <c r="EQ101">
        <v>0</v>
      </c>
      <c r="ER101">
        <f t="shared" si="56"/>
        <v>0</v>
      </c>
      <c r="ES101">
        <f t="shared" si="57"/>
        <v>0</v>
      </c>
      <c r="FA101">
        <v>30</v>
      </c>
      <c r="FB101">
        <v>0</v>
      </c>
      <c r="FC101">
        <f t="shared" si="58"/>
        <v>0</v>
      </c>
      <c r="FD101">
        <f t="shared" si="59"/>
        <v>0</v>
      </c>
      <c r="FL101">
        <v>30</v>
      </c>
      <c r="FM101">
        <v>0</v>
      </c>
      <c r="FN101">
        <f t="shared" si="60"/>
        <v>0</v>
      </c>
      <c r="FO101">
        <f t="shared" si="61"/>
        <v>0</v>
      </c>
    </row>
    <row r="102" spans="1:177" x14ac:dyDescent="0.25">
      <c r="N102" t="s">
        <v>1615</v>
      </c>
      <c r="Y102" t="s">
        <v>1615</v>
      </c>
      <c r="AJ102" t="s">
        <v>1615</v>
      </c>
      <c r="AU102" t="s">
        <v>1615</v>
      </c>
      <c r="BF102" t="s">
        <v>1615</v>
      </c>
      <c r="BQ102" t="s">
        <v>1615</v>
      </c>
      <c r="CB102" t="s">
        <v>1615</v>
      </c>
      <c r="CM102" t="s">
        <v>1615</v>
      </c>
      <c r="CX102" t="s">
        <v>1615</v>
      </c>
      <c r="DI102" t="s">
        <v>1615</v>
      </c>
      <c r="DT102" t="s">
        <v>1615</v>
      </c>
      <c r="EE102" t="s">
        <v>1615</v>
      </c>
      <c r="EP102" t="s">
        <v>1615</v>
      </c>
      <c r="FA102" t="s">
        <v>1615</v>
      </c>
      <c r="FL102" t="s">
        <v>1615</v>
      </c>
    </row>
    <row r="103" spans="1:177" x14ac:dyDescent="0.25">
      <c r="O103">
        <f>SUM(O72:O101)</f>
        <v>846.8</v>
      </c>
      <c r="P103">
        <f t="shared" ref="P103:Q103" si="62">SUM(P72:P101)</f>
        <v>480.77027537012373</v>
      </c>
      <c r="Q103">
        <f t="shared" si="62"/>
        <v>338.11530516182995</v>
      </c>
      <c r="Z103">
        <f>SUM(Z72:Z101)</f>
        <v>1091.5999999999999</v>
      </c>
      <c r="AA103">
        <f t="shared" ref="AA103:AB103" si="63">SUM(AA72:AA101)</f>
        <v>619.75535261458072</v>
      </c>
      <c r="AB103">
        <f t="shared" si="63"/>
        <v>435.86049493936412</v>
      </c>
      <c r="AK103">
        <f>SUM(AK72:AK101)</f>
        <v>2070.8000000000002</v>
      </c>
      <c r="AL103">
        <f t="shared" ref="AL103:AM103" si="64">SUM(AL72:AL101)</f>
        <v>1175.6956615924091</v>
      </c>
      <c r="AM103">
        <f t="shared" si="64"/>
        <v>826.84125404950123</v>
      </c>
      <c r="AV103">
        <f>SUM(AV72:AV101)</f>
        <v>3050</v>
      </c>
      <c r="AW103">
        <f t="shared" ref="AW103:AX103" si="65">SUM(AW72:AW101)</f>
        <v>1731.6359705702375</v>
      </c>
      <c r="AX103">
        <f t="shared" si="65"/>
        <v>1217.8220131596379</v>
      </c>
      <c r="BG103">
        <f>SUM(BG72:BG101)</f>
        <v>5008.3999999999996</v>
      </c>
      <c r="BH103">
        <f t="shared" ref="BH103:BI103" si="66">SUM(BH72:BH101)</f>
        <v>2843.5165885258939</v>
      </c>
      <c r="BI103">
        <f t="shared" si="66"/>
        <v>1999.7835313799114</v>
      </c>
      <c r="BR103">
        <f>SUM(BR72:BR101)</f>
        <v>7456.4</v>
      </c>
      <c r="BS103">
        <f t="shared" ref="BS103:BT103" si="67">SUM(BS72:BS101)</f>
        <v>4233.3673609704656</v>
      </c>
      <c r="BT103">
        <f t="shared" si="67"/>
        <v>2977.2354291552542</v>
      </c>
      <c r="CC103">
        <f>SUM(CC72:CC101)</f>
        <v>9904.3999999999978</v>
      </c>
      <c r="CD103">
        <f t="shared" ref="CD103:CE103" si="68">SUM(CD72:CD101)</f>
        <v>5623.2181334150355</v>
      </c>
      <c r="CE103">
        <f t="shared" si="68"/>
        <v>3954.6873269305952</v>
      </c>
      <c r="CN103">
        <f>SUM(CN72:CN101)</f>
        <v>14800.399999999998</v>
      </c>
      <c r="CO103">
        <f t="shared" ref="CO103:CP103" si="69">SUM(CO72:CO101)</f>
        <v>8402.9196783041771</v>
      </c>
      <c r="CP103">
        <f t="shared" si="69"/>
        <v>5909.5911224812789</v>
      </c>
      <c r="CY103">
        <f>SUM(CY72:CY101)</f>
        <v>19696.399999999998</v>
      </c>
      <c r="CZ103">
        <f t="shared" ref="CZ103:DA103" si="70">SUM(CZ72:CZ101)</f>
        <v>11182.621223193319</v>
      </c>
      <c r="DA103">
        <f t="shared" si="70"/>
        <v>7864.4949180319636</v>
      </c>
      <c r="DJ103">
        <f>SUM(DJ72:DJ101)</f>
        <v>29488.399999999998</v>
      </c>
      <c r="DK103">
        <f t="shared" ref="DK103:DL103" si="71">SUM(DK72:DK101)</f>
        <v>16742.024312971604</v>
      </c>
      <c r="DL103">
        <f t="shared" si="71"/>
        <v>11774.302509133333</v>
      </c>
      <c r="DU103">
        <f>SUM(DU72:DU101)</f>
        <v>39280.400000000001</v>
      </c>
      <c r="DV103">
        <f t="shared" ref="DV103:DW103" si="72">SUM(DV72:DV101)</f>
        <v>22301.42740274989</v>
      </c>
      <c r="DW103">
        <f t="shared" si="72"/>
        <v>15684.110100234702</v>
      </c>
      <c r="EF103">
        <f>SUM(EF72:EF101)</f>
        <v>49072.4</v>
      </c>
      <c r="EG103">
        <f t="shared" ref="EG103:EH103" si="73">SUM(EG72:EG101)</f>
        <v>27860.83049252817</v>
      </c>
      <c r="EH103">
        <f t="shared" si="73"/>
        <v>19593.917691336072</v>
      </c>
      <c r="EQ103">
        <f>SUM(EQ72:EQ101)</f>
        <v>58864.4</v>
      </c>
      <c r="ER103">
        <f t="shared" ref="ER103:ES103" si="74">SUM(ER72:ER101)</f>
        <v>33420.233582306457</v>
      </c>
      <c r="ES103">
        <f t="shared" si="74"/>
        <v>23503.725282437441</v>
      </c>
      <c r="FB103">
        <f>SUM(FB72:FB101)</f>
        <v>78448.399999999994</v>
      </c>
      <c r="FC103">
        <f t="shared" ref="FC103:FD103" si="75">SUM(FC72:FC101)</f>
        <v>44539.03976186303</v>
      </c>
      <c r="FD103">
        <f t="shared" si="75"/>
        <v>31323.340464640172</v>
      </c>
      <c r="FM103">
        <f>SUM(FM72:FM101)</f>
        <v>98032.4</v>
      </c>
      <c r="FN103">
        <f t="shared" ref="FN103:FO103" si="76">SUM(FN72:FN101)</f>
        <v>55657.84594141959</v>
      </c>
      <c r="FO103">
        <f t="shared" si="76"/>
        <v>39142.955646842915</v>
      </c>
    </row>
    <row r="105" spans="1:177" ht="15.75" thickBot="1" x14ac:dyDescent="0.3">
      <c r="FN105">
        <f>FN103/1000</f>
        <v>55.657845941419588</v>
      </c>
    </row>
    <row r="106" spans="1:177" s="88" customFormat="1" ht="15.75" thickBot="1" x14ac:dyDescent="0.3">
      <c r="A106" s="86" t="s">
        <v>1628</v>
      </c>
      <c r="L106" s="90"/>
      <c r="W106" s="90"/>
      <c r="AH106" s="90"/>
      <c r="AS106" s="90"/>
      <c r="BD106" s="90"/>
      <c r="BO106" s="90"/>
      <c r="BZ106" s="90"/>
      <c r="CK106" s="90"/>
      <c r="CV106" s="90"/>
      <c r="DG106" s="90"/>
      <c r="DR106" s="90"/>
      <c r="EC106" s="90"/>
      <c r="EN106" s="90"/>
      <c r="EY106" s="90"/>
      <c r="FJ106" s="90"/>
      <c r="FU106" s="90"/>
    </row>
    <row r="108" spans="1:177" x14ac:dyDescent="0.25">
      <c r="N108" t="s">
        <v>1626</v>
      </c>
      <c r="Y108" t="s">
        <v>1626</v>
      </c>
      <c r="AJ108" t="s">
        <v>1626</v>
      </c>
      <c r="AU108" t="s">
        <v>1626</v>
      </c>
      <c r="BF108" t="s">
        <v>1626</v>
      </c>
      <c r="BQ108" t="s">
        <v>1626</v>
      </c>
      <c r="CB108" t="s">
        <v>1626</v>
      </c>
      <c r="CM108" t="s">
        <v>1626</v>
      </c>
      <c r="CX108" t="s">
        <v>1626</v>
      </c>
      <c r="DI108" t="s">
        <v>1626</v>
      </c>
      <c r="DT108" t="s">
        <v>1626</v>
      </c>
      <c r="EE108" t="s">
        <v>1626</v>
      </c>
      <c r="EP108" t="s">
        <v>1626</v>
      </c>
      <c r="FA108" t="s">
        <v>1626</v>
      </c>
      <c r="FL108" t="s">
        <v>1626</v>
      </c>
    </row>
    <row r="109" spans="1:177" x14ac:dyDescent="0.25">
      <c r="N109" t="s">
        <v>1614</v>
      </c>
      <c r="Y109" t="s">
        <v>1614</v>
      </c>
      <c r="AJ109" t="s">
        <v>1614</v>
      </c>
      <c r="AU109" t="s">
        <v>1614</v>
      </c>
      <c r="BF109" t="s">
        <v>1614</v>
      </c>
      <c r="BQ109" t="s">
        <v>1614</v>
      </c>
      <c r="CB109" t="s">
        <v>1614</v>
      </c>
      <c r="CM109" t="s">
        <v>1614</v>
      </c>
      <c r="CX109" t="s">
        <v>1614</v>
      </c>
      <c r="DI109" t="s">
        <v>1614</v>
      </c>
      <c r="DT109" t="s">
        <v>1614</v>
      </c>
      <c r="EE109" t="s">
        <v>1614</v>
      </c>
      <c r="EP109" t="s">
        <v>1614</v>
      </c>
      <c r="FA109" t="s">
        <v>1614</v>
      </c>
      <c r="FL109" t="s">
        <v>1614</v>
      </c>
    </row>
    <row r="110" spans="1:177" x14ac:dyDescent="0.25">
      <c r="N110">
        <v>0</v>
      </c>
      <c r="O110">
        <f>R$29+O103</f>
        <v>1734.0674078163484</v>
      </c>
      <c r="Y110">
        <v>0</v>
      </c>
      <c r="Z110">
        <f>AC$29+Z103</f>
        <v>2211.896770071583</v>
      </c>
      <c r="AJ110">
        <v>0</v>
      </c>
      <c r="AK110">
        <f>AN$29+AK103</f>
        <v>4022.3323812614044</v>
      </c>
      <c r="AU110">
        <v>0</v>
      </c>
      <c r="AV110">
        <f>AY$29+AV103</f>
        <v>5351.0736941729683</v>
      </c>
      <c r="BF110">
        <v>0</v>
      </c>
      <c r="BG110">
        <f>BJ$29+BG103</f>
        <v>7985.6132553352572</v>
      </c>
      <c r="BQ110">
        <v>0</v>
      </c>
      <c r="BR110">
        <f>BU$29+BR103</f>
        <v>11721.472604470351</v>
      </c>
      <c r="CB110">
        <v>0</v>
      </c>
      <c r="CC110">
        <f>CF$29+CC103</f>
        <v>14978.686635600639</v>
      </c>
      <c r="CM110">
        <v>0</v>
      </c>
      <c r="CN110">
        <f>CQ$29+CN103</f>
        <v>14800.399999999998</v>
      </c>
      <c r="CX110">
        <v>0</v>
      </c>
      <c r="CY110">
        <f>DB$29+CY103</f>
        <v>28405.385383813678</v>
      </c>
      <c r="DI110">
        <v>0</v>
      </c>
      <c r="DJ110">
        <f>DM$29+DJ103</f>
        <v>41778.974077928768</v>
      </c>
      <c r="DT110">
        <v>0</v>
      </c>
      <c r="DU110">
        <f>DX$29+DU103</f>
        <v>54660.171560552088</v>
      </c>
      <c r="EE110">
        <v>0</v>
      </c>
      <c r="EF110">
        <f>EI$29+EF103</f>
        <v>67988.699700808356</v>
      </c>
      <c r="EP110">
        <v>0</v>
      </c>
      <c r="EQ110">
        <f>ET$29+EQ103</f>
        <v>80839.848778486819</v>
      </c>
      <c r="FA110">
        <v>0</v>
      </c>
      <c r="FB110">
        <f>FE$29+FB103</f>
        <v>106980.6467384291</v>
      </c>
      <c r="FL110">
        <v>0</v>
      </c>
      <c r="FM110">
        <f>FP$29+FM103</f>
        <v>133096.59870996865</v>
      </c>
    </row>
    <row r="111" spans="1:177" x14ac:dyDescent="0.25">
      <c r="N111">
        <v>3.5000000000000003E-2</v>
      </c>
      <c r="O111">
        <f>R$29+P103</f>
        <v>1368.0376831864719</v>
      </c>
      <c r="Y111">
        <v>3.5000000000000003E-2</v>
      </c>
      <c r="Z111">
        <f>AC$29+AA103</f>
        <v>1740.0521226861638</v>
      </c>
      <c r="AJ111">
        <v>3.5000000000000003E-2</v>
      </c>
      <c r="AK111">
        <f>AN$29+AL103</f>
        <v>3127.2280428538133</v>
      </c>
      <c r="AU111">
        <v>3.5000000000000003E-2</v>
      </c>
      <c r="AV111">
        <f>AY$29+AW103</f>
        <v>4032.7096647432058</v>
      </c>
      <c r="BF111">
        <v>3.5000000000000003E-2</v>
      </c>
      <c r="BG111">
        <f>BJ$29+BH103</f>
        <v>5820.7298438611515</v>
      </c>
      <c r="BQ111">
        <v>3.5000000000000003E-2</v>
      </c>
      <c r="BR111">
        <f>BU$29+BS103</f>
        <v>8498.4399654408171</v>
      </c>
      <c r="CB111">
        <v>3.5000000000000003E-2</v>
      </c>
      <c r="CC111">
        <f>CF$29+CD103</f>
        <v>10697.504769015675</v>
      </c>
      <c r="CM111">
        <v>3.5000000000000003E-2</v>
      </c>
      <c r="CN111">
        <f>CQ$29+CO103</f>
        <v>8402.9196783041771</v>
      </c>
      <c r="CX111">
        <v>3.5000000000000003E-2</v>
      </c>
      <c r="CY111">
        <f>DB$29+CZ103</f>
        <v>19891.606607006997</v>
      </c>
      <c r="DI111">
        <v>3.5000000000000003E-2</v>
      </c>
      <c r="DJ111">
        <f>DM$29+DK103</f>
        <v>29032.598390900377</v>
      </c>
      <c r="DT111">
        <v>3.5000000000000003E-2</v>
      </c>
      <c r="DU111">
        <f>DX$29+DV103</f>
        <v>37681.198963301984</v>
      </c>
      <c r="EE111">
        <v>3.5000000000000003E-2</v>
      </c>
      <c r="EF111">
        <f>EI$29+EG103</f>
        <v>46777.130193336525</v>
      </c>
      <c r="EP111">
        <v>3.5000000000000003E-2</v>
      </c>
      <c r="EQ111">
        <f>ET$29+ER103</f>
        <v>55395.682360793275</v>
      </c>
      <c r="FA111">
        <v>3.5000000000000003E-2</v>
      </c>
      <c r="FB111">
        <f>FE$29+FC103</f>
        <v>73071.286500292132</v>
      </c>
      <c r="FL111">
        <v>3.5000000000000003E-2</v>
      </c>
      <c r="FM111">
        <f>FP$29+FN103</f>
        <v>90722.044651388234</v>
      </c>
    </row>
    <row r="112" spans="1:177" x14ac:dyDescent="0.25">
      <c r="N112">
        <v>0.06</v>
      </c>
      <c r="O112">
        <f>R$29+Q103</f>
        <v>1225.3827129781782</v>
      </c>
      <c r="Y112">
        <v>0.06</v>
      </c>
      <c r="Z112">
        <f>AC$29+AB103</f>
        <v>1556.1572650109472</v>
      </c>
      <c r="AJ112">
        <v>0.06</v>
      </c>
      <c r="AK112">
        <f>AN$29+AM103</f>
        <v>2778.3736353109052</v>
      </c>
      <c r="AU112">
        <v>0.06</v>
      </c>
      <c r="AV112">
        <f>AY$29+AX103</f>
        <v>3518.8957073326064</v>
      </c>
      <c r="BF112">
        <v>0.06</v>
      </c>
      <c r="BG112">
        <f>BJ$29+BI103</f>
        <v>4976.996786715169</v>
      </c>
      <c r="BQ112">
        <v>0.06</v>
      </c>
      <c r="BR112">
        <f>BU$29+BT103</f>
        <v>7242.3080336256062</v>
      </c>
      <c r="CB112">
        <v>0.06</v>
      </c>
      <c r="CC112">
        <f>CF$29+CE103</f>
        <v>9028.9739625312359</v>
      </c>
      <c r="CM112">
        <v>0.06</v>
      </c>
      <c r="CN112">
        <f>CQ$29+CP103</f>
        <v>5909.5911224812789</v>
      </c>
      <c r="CX112">
        <v>0.06</v>
      </c>
      <c r="CY112">
        <f>DB$29+DA103</f>
        <v>16573.480301845644</v>
      </c>
      <c r="DI112">
        <v>0.06</v>
      </c>
      <c r="DJ112">
        <f>DM$29+DL103</f>
        <v>24064.876587062106</v>
      </c>
      <c r="DT112">
        <v>0.06</v>
      </c>
      <c r="DU112">
        <f>DX$29+DW103</f>
        <v>31063.881660786792</v>
      </c>
      <c r="EE112">
        <v>0.06</v>
      </c>
      <c r="EF112">
        <f>EI$29+EH103</f>
        <v>38510.217392144426</v>
      </c>
      <c r="EP112">
        <v>0.06</v>
      </c>
      <c r="EQ112">
        <f>ET$29+ES103</f>
        <v>45479.174060924255</v>
      </c>
      <c r="FA112">
        <v>0.06</v>
      </c>
      <c r="FB112">
        <f>FE$29+FD103</f>
        <v>59855.587203069284</v>
      </c>
      <c r="FL112">
        <v>0.06</v>
      </c>
      <c r="FM112">
        <f>FP$29+FO103</f>
        <v>74207.154356811559</v>
      </c>
    </row>
  </sheetData>
  <mergeCells count="17">
    <mergeCell ref="A48:L48"/>
    <mergeCell ref="EO1:EY1"/>
    <mergeCell ref="EZ1:FJ1"/>
    <mergeCell ref="FK1:FU1"/>
    <mergeCell ref="A1:L1"/>
    <mergeCell ref="CA1:CK1"/>
    <mergeCell ref="CL1:CV1"/>
    <mergeCell ref="CW1:DG1"/>
    <mergeCell ref="DH1:DR1"/>
    <mergeCell ref="DS1:EC1"/>
    <mergeCell ref="ED1:EN1"/>
    <mergeCell ref="M1:W1"/>
    <mergeCell ref="X1:AH1"/>
    <mergeCell ref="AI1:AS1"/>
    <mergeCell ref="AT1:BD1"/>
    <mergeCell ref="BE1:BO1"/>
    <mergeCell ref="BP1:BZ1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8E570-254F-4D6D-B03D-3FF1B15CFB84}">
  <sheetPr>
    <tabColor theme="7"/>
  </sheetPr>
  <dimension ref="A1:FP660"/>
  <sheetViews>
    <sheetView topLeftCell="BJ1" zoomScale="70" zoomScaleNormal="70" workbookViewId="0">
      <pane ySplit="1" topLeftCell="A168" activePane="bottomLeft" state="frozen"/>
      <selection pane="bottomLeft" activeCell="FJ118" sqref="FJ118"/>
    </sheetView>
  </sheetViews>
  <sheetFormatPr defaultRowHeight="15" x14ac:dyDescent="0.25"/>
  <cols>
    <col min="7" max="7" width="9.140625" style="18"/>
    <col min="18" max="18" width="9.140625" style="18"/>
    <col min="29" max="29" width="9.140625" style="18"/>
    <col min="32" max="32" width="9.140625" style="18"/>
    <col min="40" max="40" width="9.140625" style="18"/>
    <col min="46" max="46" width="9.140625" style="18"/>
    <col min="51" max="51" width="9.140625" style="18"/>
    <col min="57" max="57" width="13.5703125" customWidth="1"/>
    <col min="59" max="59" width="9.140625" style="18"/>
    <col min="62" max="62" width="9.140625" style="18"/>
    <col min="73" max="73" width="9.140625" style="18"/>
    <col min="84" max="84" width="9.140625" style="18"/>
    <col min="87" max="87" width="10.5703125" customWidth="1"/>
    <col min="90" max="90" width="11.85546875" customWidth="1"/>
    <col min="95" max="95" width="9.140625" style="18"/>
    <col min="98" max="98" width="12.140625" customWidth="1"/>
    <col min="101" max="101" width="12.5703125" customWidth="1"/>
    <col min="106" max="106" width="9.140625" style="18"/>
    <col min="109" max="109" width="11.5703125" customWidth="1"/>
    <col min="112" max="112" width="14.28515625" customWidth="1"/>
    <col min="117" max="117" width="9.140625" style="18"/>
    <col min="120" max="120" width="19.5703125" bestFit="1" customWidth="1"/>
    <col min="123" max="123" width="14" customWidth="1"/>
    <col min="128" max="128" width="9.140625" style="18"/>
    <col min="131" max="131" width="19.5703125" bestFit="1" customWidth="1"/>
    <col min="134" max="134" width="12.140625" customWidth="1"/>
    <col min="139" max="139" width="9.140625" style="18"/>
    <col min="145" max="145" width="15.7109375" customWidth="1"/>
    <col min="150" max="150" width="9.140625" style="18"/>
    <col min="156" max="156" width="14.42578125" customWidth="1"/>
    <col min="161" max="161" width="9.140625" style="18"/>
    <col min="165" max="165" width="19.5703125" bestFit="1" customWidth="1"/>
    <col min="168" max="168" width="12.42578125" customWidth="1"/>
    <col min="172" max="172" width="9.140625" style="18"/>
  </cols>
  <sheetData>
    <row r="1" spans="1:172" s="88" customFormat="1" ht="19.5" thickBot="1" x14ac:dyDescent="0.35">
      <c r="A1" s="86"/>
      <c r="B1" s="89" t="s">
        <v>854</v>
      </c>
      <c r="G1" s="90"/>
      <c r="H1" s="135" t="s">
        <v>55</v>
      </c>
      <c r="I1" s="135"/>
      <c r="J1" s="135"/>
      <c r="K1" s="135"/>
      <c r="L1" s="135"/>
      <c r="M1" s="135"/>
      <c r="N1" s="135"/>
      <c r="O1" s="135"/>
      <c r="P1" s="135"/>
      <c r="Q1" s="135"/>
      <c r="R1" s="136"/>
      <c r="S1" s="134" t="s">
        <v>135</v>
      </c>
      <c r="T1" s="135"/>
      <c r="U1" s="135"/>
      <c r="V1" s="135"/>
      <c r="W1" s="135"/>
      <c r="X1" s="135"/>
      <c r="Y1" s="135"/>
      <c r="Z1" s="135"/>
      <c r="AA1" s="135"/>
      <c r="AB1" s="135"/>
      <c r="AC1" s="136"/>
      <c r="AD1" s="134" t="s">
        <v>165</v>
      </c>
      <c r="AE1" s="135"/>
      <c r="AF1" s="135"/>
      <c r="AG1" s="135"/>
      <c r="AH1" s="135"/>
      <c r="AI1" s="135"/>
      <c r="AJ1" s="135"/>
      <c r="AK1" s="135"/>
      <c r="AL1" s="135"/>
      <c r="AM1" s="135"/>
      <c r="AN1" s="136"/>
      <c r="AO1" s="134" t="s">
        <v>275</v>
      </c>
      <c r="AP1" s="135"/>
      <c r="AQ1" s="135"/>
      <c r="AR1" s="135"/>
      <c r="AS1" s="135"/>
      <c r="AT1" s="135"/>
      <c r="AU1" s="135"/>
      <c r="AV1" s="135"/>
      <c r="AW1" s="135"/>
      <c r="AX1" s="135"/>
      <c r="AY1" s="136"/>
      <c r="AZ1" s="134" t="s">
        <v>294</v>
      </c>
      <c r="BA1" s="135"/>
      <c r="BB1" s="135"/>
      <c r="BC1" s="135"/>
      <c r="BD1" s="135"/>
      <c r="BE1" s="135"/>
      <c r="BF1" s="135"/>
      <c r="BG1" s="135"/>
      <c r="BH1" s="135"/>
      <c r="BI1" s="135"/>
      <c r="BJ1" s="136"/>
      <c r="BK1" s="134" t="s">
        <v>303</v>
      </c>
      <c r="BL1" s="135"/>
      <c r="BM1" s="135"/>
      <c r="BN1" s="135"/>
      <c r="BO1" s="135"/>
      <c r="BP1" s="135"/>
      <c r="BQ1" s="135"/>
      <c r="BR1" s="135"/>
      <c r="BS1" s="135"/>
      <c r="BT1" s="135"/>
      <c r="BU1" s="136"/>
      <c r="BV1" s="134" t="s">
        <v>311</v>
      </c>
      <c r="BW1" s="135"/>
      <c r="BX1" s="135"/>
      <c r="BY1" s="135"/>
      <c r="BZ1" s="135"/>
      <c r="CA1" s="135"/>
      <c r="CB1" s="135"/>
      <c r="CC1" s="135"/>
      <c r="CD1" s="135"/>
      <c r="CE1" s="135"/>
      <c r="CF1" s="136"/>
      <c r="CG1" s="134" t="s">
        <v>740</v>
      </c>
      <c r="CH1" s="135"/>
      <c r="CI1" s="135"/>
      <c r="CJ1" s="135"/>
      <c r="CK1" s="135"/>
      <c r="CL1" s="135"/>
      <c r="CM1" s="135"/>
      <c r="CN1" s="135"/>
      <c r="CO1" s="135"/>
      <c r="CP1" s="135"/>
      <c r="CQ1" s="136"/>
      <c r="CR1" s="134" t="s">
        <v>741</v>
      </c>
      <c r="CS1" s="135"/>
      <c r="CT1" s="135"/>
      <c r="CU1" s="135"/>
      <c r="CV1" s="135"/>
      <c r="CW1" s="135"/>
      <c r="CX1" s="135"/>
      <c r="CY1" s="135"/>
      <c r="CZ1" s="135"/>
      <c r="DA1" s="135"/>
      <c r="DB1" s="136"/>
      <c r="DC1" s="134" t="s">
        <v>742</v>
      </c>
      <c r="DD1" s="135"/>
      <c r="DE1" s="135"/>
      <c r="DF1" s="135"/>
      <c r="DG1" s="135"/>
      <c r="DH1" s="135"/>
      <c r="DI1" s="135"/>
      <c r="DJ1" s="135"/>
      <c r="DK1" s="135"/>
      <c r="DL1" s="135"/>
      <c r="DM1" s="136"/>
      <c r="DN1" s="134" t="s">
        <v>743</v>
      </c>
      <c r="DO1" s="135"/>
      <c r="DP1" s="135"/>
      <c r="DQ1" s="135"/>
      <c r="DR1" s="135"/>
      <c r="DS1" s="135"/>
      <c r="DT1" s="135"/>
      <c r="DU1" s="135"/>
      <c r="DV1" s="135"/>
      <c r="DW1" s="135"/>
      <c r="DX1" s="136"/>
      <c r="DY1" s="134" t="s">
        <v>744</v>
      </c>
      <c r="DZ1" s="135"/>
      <c r="EA1" s="135"/>
      <c r="EB1" s="135"/>
      <c r="EC1" s="135"/>
      <c r="ED1" s="135"/>
      <c r="EE1" s="135"/>
      <c r="EF1" s="135"/>
      <c r="EG1" s="135"/>
      <c r="EH1" s="135"/>
      <c r="EI1" s="136"/>
      <c r="EJ1" s="134" t="s">
        <v>745</v>
      </c>
      <c r="EK1" s="135"/>
      <c r="EL1" s="135"/>
      <c r="EM1" s="135"/>
      <c r="EN1" s="135"/>
      <c r="EO1" s="135"/>
      <c r="EP1" s="135"/>
      <c r="EQ1" s="135"/>
      <c r="ER1" s="135"/>
      <c r="ES1" s="135"/>
      <c r="ET1" s="136"/>
      <c r="EU1" s="134" t="s">
        <v>746</v>
      </c>
      <c r="EV1" s="135"/>
      <c r="EW1" s="135"/>
      <c r="EX1" s="135"/>
      <c r="EY1" s="135"/>
      <c r="EZ1" s="135"/>
      <c r="FA1" s="135"/>
      <c r="FB1" s="135"/>
      <c r="FC1" s="135"/>
      <c r="FD1" s="135"/>
      <c r="FE1" s="136"/>
      <c r="FF1" s="134" t="s">
        <v>747</v>
      </c>
      <c r="FG1" s="135"/>
      <c r="FH1" s="135"/>
      <c r="FI1" s="135"/>
      <c r="FJ1" s="135"/>
      <c r="FK1" s="135"/>
      <c r="FL1" s="135"/>
      <c r="FM1" s="135"/>
      <c r="FN1" s="135"/>
      <c r="FO1" s="135"/>
      <c r="FP1" s="136"/>
    </row>
    <row r="2" spans="1:172" x14ac:dyDescent="0.25">
      <c r="AF2"/>
      <c r="AT2"/>
      <c r="BG2"/>
    </row>
    <row r="3" spans="1:172" x14ac:dyDescent="0.25">
      <c r="B3" t="s">
        <v>156</v>
      </c>
      <c r="C3" t="s">
        <v>150</v>
      </c>
      <c r="D3" t="s">
        <v>116</v>
      </c>
      <c r="E3" t="s">
        <v>63</v>
      </c>
      <c r="F3" t="s">
        <v>607</v>
      </c>
      <c r="I3" s="10" t="s">
        <v>732</v>
      </c>
      <c r="O3" t="s">
        <v>61</v>
      </c>
      <c r="T3" s="10" t="s">
        <v>732</v>
      </c>
      <c r="Z3" t="s">
        <v>61</v>
      </c>
      <c r="AE3" s="10" t="s">
        <v>732</v>
      </c>
      <c r="AF3"/>
      <c r="AK3" t="s">
        <v>61</v>
      </c>
      <c r="AP3" s="10" t="s">
        <v>732</v>
      </c>
      <c r="AT3"/>
      <c r="AV3" t="s">
        <v>61</v>
      </c>
      <c r="BA3" s="10" t="s">
        <v>732</v>
      </c>
      <c r="BG3" t="s">
        <v>61</v>
      </c>
      <c r="BL3" s="10" t="s">
        <v>732</v>
      </c>
      <c r="BR3" t="s">
        <v>61</v>
      </c>
      <c r="BW3" s="10" t="s">
        <v>732</v>
      </c>
      <c r="CC3" t="s">
        <v>61</v>
      </c>
    </row>
    <row r="4" spans="1:172" x14ac:dyDescent="0.25">
      <c r="B4">
        <v>5</v>
      </c>
      <c r="C4">
        <f>ROUNDUP('Wetland Design'!C102,1)</f>
        <v>5</v>
      </c>
      <c r="D4">
        <f>C4</f>
        <v>5</v>
      </c>
      <c r="E4">
        <f>'Wetland Design'!E102</f>
        <v>0.8</v>
      </c>
      <c r="F4">
        <f>'Wetland Design'!F102</f>
        <v>0.3</v>
      </c>
      <c r="I4" t="s">
        <v>80</v>
      </c>
      <c r="J4" t="s">
        <v>2</v>
      </c>
      <c r="K4" t="s">
        <v>81</v>
      </c>
      <c r="L4" t="s">
        <v>82</v>
      </c>
      <c r="M4" t="s">
        <v>59</v>
      </c>
      <c r="T4" t="s">
        <v>80</v>
      </c>
      <c r="U4" t="s">
        <v>2</v>
      </c>
      <c r="V4" t="s">
        <v>81</v>
      </c>
      <c r="W4" t="s">
        <v>82</v>
      </c>
      <c r="X4" t="s">
        <v>59</v>
      </c>
      <c r="AE4" t="s">
        <v>80</v>
      </c>
      <c r="AF4" t="s">
        <v>2</v>
      </c>
      <c r="AG4" t="s">
        <v>81</v>
      </c>
      <c r="AH4" t="s">
        <v>82</v>
      </c>
      <c r="AI4" t="s">
        <v>59</v>
      </c>
      <c r="AT4"/>
      <c r="BG4"/>
    </row>
    <row r="5" spans="1:172" x14ac:dyDescent="0.25">
      <c r="B5">
        <v>10</v>
      </c>
      <c r="C5">
        <f>ROUNDUP('Wetland Design'!C103,1)</f>
        <v>7.1</v>
      </c>
      <c r="D5">
        <f t="shared" ref="D5:D19" si="0">C5</f>
        <v>7.1</v>
      </c>
      <c r="E5">
        <f>'Wetland Design'!E103</f>
        <v>0.8</v>
      </c>
      <c r="F5">
        <f>'Wetland Design'!F103</f>
        <v>0.3</v>
      </c>
      <c r="I5" t="s">
        <v>14</v>
      </c>
      <c r="J5">
        <f>P13</f>
        <v>27.500000000000004</v>
      </c>
      <c r="K5">
        <f>Index!$C$69</f>
        <v>11.9580460758</v>
      </c>
      <c r="L5">
        <f t="shared" ref="L5:L11" si="1">K5</f>
        <v>11.9580460758</v>
      </c>
      <c r="M5">
        <f t="shared" ref="M5:M11" si="2">L5*J5</f>
        <v>328.84626708450003</v>
      </c>
      <c r="T5" t="s">
        <v>14</v>
      </c>
      <c r="U5">
        <f>AA13</f>
        <v>55.451000000000001</v>
      </c>
      <c r="V5">
        <f>Index!$C$69</f>
        <v>11.9580460758</v>
      </c>
      <c r="W5">
        <f t="shared" ref="W5:W11" si="3">V5</f>
        <v>11.9580460758</v>
      </c>
      <c r="X5">
        <f t="shared" ref="X5:X11" si="4">W5*U5</f>
        <v>663.08561294918582</v>
      </c>
      <c r="AE5" t="s">
        <v>14</v>
      </c>
      <c r="AF5">
        <f>AL13</f>
        <v>110.00000000000001</v>
      </c>
      <c r="AG5">
        <f>Index!$C$69</f>
        <v>11.9580460758</v>
      </c>
      <c r="AH5">
        <f t="shared" ref="AH5:AH11" si="5">AG5</f>
        <v>11.9580460758</v>
      </c>
      <c r="AI5">
        <f t="shared" ref="AI5:AI11" si="6">AH5*AF5</f>
        <v>1315.3850683380001</v>
      </c>
      <c r="AP5" t="s">
        <v>14</v>
      </c>
      <c r="AQ5">
        <f>AW13</f>
        <v>166.41899999999998</v>
      </c>
      <c r="AR5">
        <f>Index!$C$69</f>
        <v>11.9580460758</v>
      </c>
      <c r="AS5">
        <f t="shared" ref="AS5:AS11" si="7">AR5</f>
        <v>11.9580460758</v>
      </c>
      <c r="AT5">
        <f t="shared" ref="AT5:AT11" si="8">AS5*AQ5</f>
        <v>1990.0460698885602</v>
      </c>
      <c r="BA5" t="s">
        <v>14</v>
      </c>
      <c r="BB5">
        <f>BH13</f>
        <v>278.09100000000001</v>
      </c>
      <c r="BC5">
        <f>Index!$C$69</f>
        <v>11.9580460758</v>
      </c>
      <c r="BD5">
        <f t="shared" ref="BD5:BD11" si="9">BC5</f>
        <v>11.9580460758</v>
      </c>
      <c r="BE5">
        <f t="shared" ref="BE5:BE11" si="10">BD5*BB5</f>
        <v>3325.4249912652981</v>
      </c>
      <c r="BG5"/>
      <c r="BL5" t="s">
        <v>14</v>
      </c>
      <c r="BM5">
        <f>BS13</f>
        <v>413.99600000000009</v>
      </c>
      <c r="BN5">
        <f>Index!$C$69</f>
        <v>11.9580460758</v>
      </c>
      <c r="BO5">
        <f t="shared" ref="BO5:BO11" si="11">BN5</f>
        <v>11.9580460758</v>
      </c>
      <c r="BP5">
        <f t="shared" ref="BP5:BP11" si="12">BO5*BM5</f>
        <v>4950.5832431968984</v>
      </c>
      <c r="BW5" t="s">
        <v>14</v>
      </c>
      <c r="BX5">
        <f>CD13</f>
        <v>551.93600000000015</v>
      </c>
      <c r="BY5">
        <f>Index!$C$69</f>
        <v>11.9580460758</v>
      </c>
      <c r="BZ5">
        <f t="shared" ref="BZ5:BZ11" si="13">BY5</f>
        <v>11.9580460758</v>
      </c>
      <c r="CA5">
        <f t="shared" ref="CA5:CA11" si="14">BZ5*BX5</f>
        <v>6600.0761188927509</v>
      </c>
    </row>
    <row r="6" spans="1:172" ht="21" customHeight="1" x14ac:dyDescent="0.25">
      <c r="B6">
        <v>20</v>
      </c>
      <c r="C6">
        <f>ROUNDUP('Wetland Design'!C104,1)</f>
        <v>10</v>
      </c>
      <c r="D6">
        <f t="shared" si="0"/>
        <v>10</v>
      </c>
      <c r="E6">
        <f>'Wetland Design'!E104</f>
        <v>0.8</v>
      </c>
      <c r="F6">
        <f>'Wetland Design'!F104</f>
        <v>0.3</v>
      </c>
      <c r="I6" t="s">
        <v>112</v>
      </c>
      <c r="J6">
        <f>$D$28</f>
        <v>33.5</v>
      </c>
      <c r="K6">
        <f>Index!$C$57</f>
        <v>2.0490500744999993</v>
      </c>
      <c r="L6">
        <f t="shared" si="1"/>
        <v>2.0490500744999993</v>
      </c>
      <c r="M6">
        <f t="shared" si="2"/>
        <v>68.643177495749981</v>
      </c>
      <c r="O6" t="s">
        <v>678</v>
      </c>
      <c r="P6" t="s">
        <v>191</v>
      </c>
      <c r="T6" t="s">
        <v>112</v>
      </c>
      <c r="U6">
        <f>$D$29</f>
        <v>63.5</v>
      </c>
      <c r="V6">
        <f>Index!$C$57</f>
        <v>2.0490500744999993</v>
      </c>
      <c r="W6">
        <f t="shared" si="3"/>
        <v>2.0490500744999993</v>
      </c>
      <c r="X6">
        <f t="shared" si="4"/>
        <v>130.11467973074997</v>
      </c>
      <c r="Z6" t="s">
        <v>678</v>
      </c>
      <c r="AA6" t="s">
        <v>191</v>
      </c>
      <c r="AE6" t="s">
        <v>112</v>
      </c>
      <c r="AF6">
        <f>$D$30</f>
        <v>122</v>
      </c>
      <c r="AG6">
        <f>Index!$C$57</f>
        <v>2.0490500744999993</v>
      </c>
      <c r="AH6">
        <f t="shared" si="5"/>
        <v>2.0490500744999993</v>
      </c>
      <c r="AI6">
        <f t="shared" si="6"/>
        <v>249.98410908899993</v>
      </c>
      <c r="AK6" t="s">
        <v>678</v>
      </c>
      <c r="AL6" t="s">
        <v>191</v>
      </c>
      <c r="AP6" t="s">
        <v>112</v>
      </c>
      <c r="AQ6">
        <f>$D$31</f>
        <v>179.7</v>
      </c>
      <c r="AR6">
        <f>Index!$C$57</f>
        <v>2.0490500744999993</v>
      </c>
      <c r="AS6">
        <f t="shared" si="7"/>
        <v>2.0490500744999993</v>
      </c>
      <c r="AT6">
        <f t="shared" si="8"/>
        <v>368.21429838764988</v>
      </c>
      <c r="AV6" t="s">
        <v>678</v>
      </c>
      <c r="AW6" t="s">
        <v>191</v>
      </c>
      <c r="BA6" t="s">
        <v>112</v>
      </c>
      <c r="BB6">
        <f>$D$32</f>
        <v>294</v>
      </c>
      <c r="BC6">
        <f>Index!$C$57</f>
        <v>2.0490500744999993</v>
      </c>
      <c r="BD6">
        <f t="shared" si="9"/>
        <v>2.0490500744999993</v>
      </c>
      <c r="BE6">
        <f t="shared" si="10"/>
        <v>602.42072190299984</v>
      </c>
      <c r="BG6" t="s">
        <v>678</v>
      </c>
      <c r="BH6" t="s">
        <v>191</v>
      </c>
      <c r="BL6" t="s">
        <v>112</v>
      </c>
      <c r="BM6">
        <f>$D$33</f>
        <v>435.8</v>
      </c>
      <c r="BN6">
        <f>Index!$C$57</f>
        <v>2.0490500744999993</v>
      </c>
      <c r="BO6">
        <f t="shared" si="11"/>
        <v>2.0490500744999993</v>
      </c>
      <c r="BP6">
        <f t="shared" si="12"/>
        <v>892.97602246709971</v>
      </c>
      <c r="BR6" t="s">
        <v>678</v>
      </c>
      <c r="BS6" t="s">
        <v>191</v>
      </c>
      <c r="BW6" t="s">
        <v>112</v>
      </c>
      <c r="BX6">
        <f>$D$34</f>
        <v>576.9</v>
      </c>
      <c r="BY6">
        <f>Index!$C$57</f>
        <v>2.0490500744999993</v>
      </c>
      <c r="BZ6">
        <f t="shared" si="13"/>
        <v>2.0490500744999993</v>
      </c>
      <c r="CA6">
        <f t="shared" si="14"/>
        <v>1182.0969879790496</v>
      </c>
      <c r="CC6" t="s">
        <v>678</v>
      </c>
      <c r="CD6" t="s">
        <v>191</v>
      </c>
    </row>
    <row r="7" spans="1:172" x14ac:dyDescent="0.25">
      <c r="B7">
        <v>30</v>
      </c>
      <c r="C7">
        <f>ROUNDUP('Wetland Design'!C105,1)</f>
        <v>12.299999999999999</v>
      </c>
      <c r="D7">
        <f t="shared" si="0"/>
        <v>12.299999999999999</v>
      </c>
      <c r="E7">
        <f>'Wetland Design'!E105</f>
        <v>0.8</v>
      </c>
      <c r="F7">
        <f>'Wetland Design'!F105</f>
        <v>0.3</v>
      </c>
      <c r="I7" t="s">
        <v>775</v>
      </c>
      <c r="J7">
        <f>J6</f>
        <v>33.5</v>
      </c>
      <c r="K7">
        <f>Index!$C$59</f>
        <v>5.201434804499999</v>
      </c>
      <c r="L7">
        <f t="shared" si="1"/>
        <v>5.201434804499999</v>
      </c>
      <c r="M7">
        <f t="shared" si="2"/>
        <v>174.24806595074998</v>
      </c>
      <c r="O7" t="s">
        <v>150</v>
      </c>
      <c r="P7" s="7">
        <f>$C$4</f>
        <v>5</v>
      </c>
      <c r="Q7" t="s">
        <v>191</v>
      </c>
      <c r="T7" t="s">
        <v>775</v>
      </c>
      <c r="U7">
        <f>U6</f>
        <v>63.5</v>
      </c>
      <c r="V7">
        <f>Index!$C$59</f>
        <v>5.201434804499999</v>
      </c>
      <c r="W7">
        <f t="shared" si="3"/>
        <v>5.201434804499999</v>
      </c>
      <c r="X7">
        <f t="shared" si="4"/>
        <v>330.29111008574995</v>
      </c>
      <c r="Z7" t="s">
        <v>150</v>
      </c>
      <c r="AA7" s="7">
        <f>$C$5</f>
        <v>7.1</v>
      </c>
      <c r="AB7" t="s">
        <v>191</v>
      </c>
      <c r="AE7" t="s">
        <v>775</v>
      </c>
      <c r="AF7">
        <f>AF6</f>
        <v>122</v>
      </c>
      <c r="AG7">
        <f>Index!$C$59</f>
        <v>5.201434804499999</v>
      </c>
      <c r="AH7">
        <f t="shared" si="5"/>
        <v>5.201434804499999</v>
      </c>
      <c r="AI7">
        <f t="shared" si="6"/>
        <v>634.57504614899983</v>
      </c>
      <c r="AK7" t="s">
        <v>150</v>
      </c>
      <c r="AL7" s="7">
        <f>$C$6</f>
        <v>10</v>
      </c>
      <c r="AM7" t="s">
        <v>191</v>
      </c>
      <c r="AP7" t="s">
        <v>775</v>
      </c>
      <c r="AQ7">
        <f>AQ6</f>
        <v>179.7</v>
      </c>
      <c r="AR7">
        <f>Index!$C$59</f>
        <v>5.201434804499999</v>
      </c>
      <c r="AS7">
        <f t="shared" si="7"/>
        <v>5.201434804499999</v>
      </c>
      <c r="AT7">
        <f t="shared" si="8"/>
        <v>934.69783436864975</v>
      </c>
      <c r="AV7" t="s">
        <v>150</v>
      </c>
      <c r="AW7" s="7">
        <f>$C$7</f>
        <v>12.299999999999999</v>
      </c>
      <c r="AX7" t="s">
        <v>191</v>
      </c>
      <c r="BA7" t="s">
        <v>775</v>
      </c>
      <c r="BB7">
        <f>BB6</f>
        <v>294</v>
      </c>
      <c r="BC7">
        <f>Index!$C$59</f>
        <v>5.201434804499999</v>
      </c>
      <c r="BD7">
        <f t="shared" si="9"/>
        <v>5.201434804499999</v>
      </c>
      <c r="BE7">
        <f t="shared" si="10"/>
        <v>1529.2218325229996</v>
      </c>
      <c r="BG7" t="s">
        <v>150</v>
      </c>
      <c r="BH7" s="7">
        <f>$C$8</f>
        <v>15.9</v>
      </c>
      <c r="BI7" t="s">
        <v>191</v>
      </c>
      <c r="BL7" t="s">
        <v>775</v>
      </c>
      <c r="BM7">
        <f>BM6</f>
        <v>435.8</v>
      </c>
      <c r="BN7">
        <f>Index!$C$59</f>
        <v>5.201434804499999</v>
      </c>
      <c r="BO7">
        <f t="shared" si="11"/>
        <v>5.201434804499999</v>
      </c>
      <c r="BP7">
        <f t="shared" si="12"/>
        <v>2266.7852878010995</v>
      </c>
      <c r="BR7" t="s">
        <v>150</v>
      </c>
      <c r="BS7" s="7">
        <f>$C$9</f>
        <v>19.400000000000002</v>
      </c>
      <c r="BT7" t="s">
        <v>191</v>
      </c>
      <c r="BW7" t="s">
        <v>775</v>
      </c>
      <c r="BX7">
        <f>BX6</f>
        <v>576.9</v>
      </c>
      <c r="BY7">
        <f>Index!$C$59</f>
        <v>5.201434804499999</v>
      </c>
      <c r="BZ7">
        <f t="shared" si="13"/>
        <v>5.201434804499999</v>
      </c>
      <c r="CA7">
        <f t="shared" si="14"/>
        <v>3000.7077387160493</v>
      </c>
      <c r="CC7" t="s">
        <v>150</v>
      </c>
      <c r="CD7" s="7">
        <f>$C$10</f>
        <v>22.400000000000002</v>
      </c>
      <c r="CE7" t="s">
        <v>191</v>
      </c>
    </row>
    <row r="8" spans="1:172" ht="15.75" x14ac:dyDescent="0.25">
      <c r="B8">
        <v>50</v>
      </c>
      <c r="C8">
        <f>ROUNDUP('Wetland Design'!C106,1)</f>
        <v>15.9</v>
      </c>
      <c r="D8">
        <f t="shared" si="0"/>
        <v>15.9</v>
      </c>
      <c r="E8">
        <f>'Wetland Design'!E106</f>
        <v>0.8</v>
      </c>
      <c r="F8">
        <f>'Wetland Design'!F106</f>
        <v>0.3</v>
      </c>
      <c r="I8" s="84" t="s">
        <v>102</v>
      </c>
      <c r="J8">
        <f>P12*$C$23</f>
        <v>5.6666666666666661</v>
      </c>
      <c r="K8">
        <f>Index!$C$37</f>
        <v>38.583746796374072</v>
      </c>
      <c r="L8">
        <f t="shared" si="1"/>
        <v>38.583746796374072</v>
      </c>
      <c r="M8">
        <f t="shared" si="2"/>
        <v>218.64123184611972</v>
      </c>
      <c r="O8" t="s">
        <v>116</v>
      </c>
      <c r="P8" s="7">
        <f>$D$4</f>
        <v>5</v>
      </c>
      <c r="Q8" t="s">
        <v>191</v>
      </c>
      <c r="T8" s="84" t="s">
        <v>102</v>
      </c>
      <c r="U8">
        <f>AA12*$C$23</f>
        <v>11.426266666666667</v>
      </c>
      <c r="V8">
        <f>Index!$C$37</f>
        <v>38.583746796374072</v>
      </c>
      <c r="W8">
        <f t="shared" si="3"/>
        <v>38.583746796374072</v>
      </c>
      <c r="X8">
        <f t="shared" si="4"/>
        <v>440.86817989451583</v>
      </c>
      <c r="Z8" t="s">
        <v>116</v>
      </c>
      <c r="AA8" s="7">
        <f>$D$5</f>
        <v>7.1</v>
      </c>
      <c r="AB8" t="s">
        <v>191</v>
      </c>
      <c r="AE8" s="84" t="s">
        <v>102</v>
      </c>
      <c r="AF8">
        <f>AL12*$C$23</f>
        <v>22.666666666666664</v>
      </c>
      <c r="AG8">
        <f>Index!$C$37</f>
        <v>38.583746796374072</v>
      </c>
      <c r="AH8">
        <f t="shared" si="5"/>
        <v>38.583746796374072</v>
      </c>
      <c r="AI8">
        <f t="shared" si="6"/>
        <v>874.56492738447889</v>
      </c>
      <c r="AK8" t="s">
        <v>116</v>
      </c>
      <c r="AL8" s="7">
        <f>$D$6</f>
        <v>10</v>
      </c>
      <c r="AM8" t="s">
        <v>191</v>
      </c>
      <c r="AP8" s="84" t="s">
        <v>102</v>
      </c>
      <c r="AQ8">
        <f>AW12*$C$23</f>
        <v>34.292399999999994</v>
      </c>
      <c r="AR8">
        <f>Index!$C$37</f>
        <v>38.583746796374072</v>
      </c>
      <c r="AS8">
        <f t="shared" si="7"/>
        <v>38.583746796374072</v>
      </c>
      <c r="AT8">
        <f t="shared" si="8"/>
        <v>1323.1292786399779</v>
      </c>
      <c r="AV8" t="s">
        <v>116</v>
      </c>
      <c r="AW8" s="7">
        <f>$D$7</f>
        <v>12.299999999999999</v>
      </c>
      <c r="AX8" t="s">
        <v>191</v>
      </c>
      <c r="BA8" s="84" t="s">
        <v>102</v>
      </c>
      <c r="BB8">
        <f>BH12*$C$23</f>
        <v>57.303600000000003</v>
      </c>
      <c r="BC8">
        <f>Index!$C$37</f>
        <v>38.583746796374072</v>
      </c>
      <c r="BD8">
        <f t="shared" si="9"/>
        <v>38.583746796374072</v>
      </c>
      <c r="BE8">
        <f t="shared" si="10"/>
        <v>2210.9875929207014</v>
      </c>
      <c r="BG8" t="s">
        <v>116</v>
      </c>
      <c r="BH8" s="7">
        <f>$D$8</f>
        <v>15.9</v>
      </c>
      <c r="BI8" t="s">
        <v>191</v>
      </c>
      <c r="BL8" s="84" t="s">
        <v>102</v>
      </c>
      <c r="BM8">
        <f>BS12*$C$23</f>
        <v>85.308266666666682</v>
      </c>
      <c r="BN8">
        <f>Index!$C$37</f>
        <v>38.583746796374072</v>
      </c>
      <c r="BO8">
        <f t="shared" si="11"/>
        <v>38.583746796374072</v>
      </c>
      <c r="BP8">
        <f t="shared" si="12"/>
        <v>3291.5125607042255</v>
      </c>
      <c r="BR8" t="s">
        <v>116</v>
      </c>
      <c r="BS8" s="7">
        <f>$D$9</f>
        <v>19.400000000000002</v>
      </c>
      <c r="BT8" t="s">
        <v>191</v>
      </c>
      <c r="BW8" s="84" t="s">
        <v>102</v>
      </c>
      <c r="BX8">
        <f>CD12*$C$23</f>
        <v>113.7322666666667</v>
      </c>
      <c r="BY8">
        <f>Index!$C$37</f>
        <v>38.583746796374072</v>
      </c>
      <c r="BZ8">
        <f t="shared" si="13"/>
        <v>38.583746796374072</v>
      </c>
      <c r="CA8">
        <f t="shared" si="14"/>
        <v>4388.2169796443632</v>
      </c>
      <c r="CC8" t="s">
        <v>116</v>
      </c>
      <c r="CD8" s="7">
        <f>$D$10</f>
        <v>22.400000000000002</v>
      </c>
      <c r="CE8" t="s">
        <v>191</v>
      </c>
    </row>
    <row r="9" spans="1:172" x14ac:dyDescent="0.25">
      <c r="B9">
        <v>75</v>
      </c>
      <c r="C9">
        <f>ROUNDUP('Wetland Design'!C107,1)</f>
        <v>19.400000000000002</v>
      </c>
      <c r="D9">
        <f t="shared" si="0"/>
        <v>19.400000000000002</v>
      </c>
      <c r="E9">
        <f>'Wetland Design'!E107</f>
        <v>0.8</v>
      </c>
      <c r="F9">
        <f>'Wetland Design'!F107</f>
        <v>0.3</v>
      </c>
      <c r="I9" t="s">
        <v>89</v>
      </c>
      <c r="J9">
        <f>P12*$C$22</f>
        <v>7.3333333333333339</v>
      </c>
      <c r="K9">
        <f>Index!$C$47</f>
        <v>76</v>
      </c>
      <c r="L9">
        <f t="shared" si="1"/>
        <v>76</v>
      </c>
      <c r="M9">
        <f t="shared" si="2"/>
        <v>557.33333333333337</v>
      </c>
      <c r="T9" t="s">
        <v>89</v>
      </c>
      <c r="U9">
        <f>AA12*$C$22</f>
        <v>14.786933333333335</v>
      </c>
      <c r="V9">
        <f>Index!$C$47</f>
        <v>76</v>
      </c>
      <c r="W9">
        <f t="shared" si="3"/>
        <v>76</v>
      </c>
      <c r="X9">
        <f t="shared" si="4"/>
        <v>1123.8069333333335</v>
      </c>
      <c r="AE9" t="s">
        <v>89</v>
      </c>
      <c r="AF9">
        <f>AL12*$C$22</f>
        <v>29.333333333333336</v>
      </c>
      <c r="AG9">
        <f>Index!$C$47</f>
        <v>76</v>
      </c>
      <c r="AH9">
        <f t="shared" si="5"/>
        <v>76</v>
      </c>
      <c r="AI9">
        <f t="shared" si="6"/>
        <v>2229.3333333333335</v>
      </c>
      <c r="AP9" t="s">
        <v>89</v>
      </c>
      <c r="AQ9">
        <f>AW12*$C$22</f>
        <v>44.378399999999999</v>
      </c>
      <c r="AR9">
        <f>Index!$C$47</f>
        <v>76</v>
      </c>
      <c r="AS9">
        <f t="shared" si="7"/>
        <v>76</v>
      </c>
      <c r="AT9">
        <f t="shared" si="8"/>
        <v>3372.7583999999997</v>
      </c>
      <c r="BA9" t="s">
        <v>89</v>
      </c>
      <c r="BB9">
        <f>BH12*$C$22</f>
        <v>74.157600000000016</v>
      </c>
      <c r="BC9">
        <f>Index!$C$47</f>
        <v>76</v>
      </c>
      <c r="BD9">
        <f t="shared" si="9"/>
        <v>76</v>
      </c>
      <c r="BE9">
        <f t="shared" si="10"/>
        <v>5635.9776000000011</v>
      </c>
      <c r="BG9"/>
      <c r="BL9" t="s">
        <v>89</v>
      </c>
      <c r="BM9">
        <f>BS12*$C$22</f>
        <v>110.39893333333337</v>
      </c>
      <c r="BN9">
        <f>Index!$C$47</f>
        <v>76</v>
      </c>
      <c r="BO9">
        <f t="shared" si="11"/>
        <v>76</v>
      </c>
      <c r="BP9">
        <f t="shared" si="12"/>
        <v>8390.3189333333357</v>
      </c>
      <c r="BW9" t="s">
        <v>89</v>
      </c>
      <c r="BX9">
        <f>CD12*$C$22</f>
        <v>147.18293333333338</v>
      </c>
      <c r="BY9">
        <f>Index!$C$47</f>
        <v>76</v>
      </c>
      <c r="BZ9">
        <f t="shared" si="13"/>
        <v>76</v>
      </c>
      <c r="CA9">
        <f t="shared" si="14"/>
        <v>11185.902933333336</v>
      </c>
    </row>
    <row r="10" spans="1:172" x14ac:dyDescent="0.25">
      <c r="B10">
        <v>100</v>
      </c>
      <c r="C10">
        <f>ROUNDUP('Wetland Design'!C108,1)</f>
        <v>22.400000000000002</v>
      </c>
      <c r="D10">
        <f t="shared" si="0"/>
        <v>22.400000000000002</v>
      </c>
      <c r="E10">
        <f>'Wetland Design'!E108</f>
        <v>0.8</v>
      </c>
      <c r="F10">
        <f>'Wetland Design'!F108</f>
        <v>0.3</v>
      </c>
      <c r="I10" t="s">
        <v>866</v>
      </c>
      <c r="J10">
        <f>P12*$C$21</f>
        <v>3</v>
      </c>
      <c r="K10">
        <f>Index!$C$41</f>
        <v>44.710077971194551</v>
      </c>
      <c r="L10">
        <f t="shared" si="1"/>
        <v>44.710077971194551</v>
      </c>
      <c r="M10">
        <f t="shared" si="2"/>
        <v>134.13023391358365</v>
      </c>
      <c r="O10" t="s">
        <v>63</v>
      </c>
      <c r="P10">
        <f>$E$4+$F$4</f>
        <v>1.1000000000000001</v>
      </c>
      <c r="Q10" t="s">
        <v>191</v>
      </c>
      <c r="T10" t="s">
        <v>866</v>
      </c>
      <c r="U10">
        <f>AA12*$C$21</f>
        <v>6.0491999999999999</v>
      </c>
      <c r="V10">
        <f>Index!$C$41</f>
        <v>44.710077971194551</v>
      </c>
      <c r="W10">
        <f t="shared" si="3"/>
        <v>44.710077971194551</v>
      </c>
      <c r="X10">
        <f t="shared" si="4"/>
        <v>270.46020366335006</v>
      </c>
      <c r="Z10" t="s">
        <v>63</v>
      </c>
      <c r="AA10">
        <f>$E$4+$F$4</f>
        <v>1.1000000000000001</v>
      </c>
      <c r="AB10" t="s">
        <v>191</v>
      </c>
      <c r="AE10" t="s">
        <v>866</v>
      </c>
      <c r="AF10">
        <f>AL12*$C$21</f>
        <v>12</v>
      </c>
      <c r="AG10">
        <f>Index!$C$41</f>
        <v>44.710077971194551</v>
      </c>
      <c r="AH10">
        <f t="shared" si="5"/>
        <v>44.710077971194551</v>
      </c>
      <c r="AI10">
        <f t="shared" si="6"/>
        <v>536.52093565433461</v>
      </c>
      <c r="AK10" t="s">
        <v>63</v>
      </c>
      <c r="AL10">
        <f>$E$4+$F$4</f>
        <v>1.1000000000000001</v>
      </c>
      <c r="AM10" t="s">
        <v>191</v>
      </c>
      <c r="AP10" t="s">
        <v>866</v>
      </c>
      <c r="AQ10">
        <f>AW12*$C$21</f>
        <v>18.154799999999998</v>
      </c>
      <c r="AR10">
        <f>Index!$C$41</f>
        <v>44.710077971194551</v>
      </c>
      <c r="AS10">
        <f t="shared" si="7"/>
        <v>44.710077971194551</v>
      </c>
      <c r="AT10">
        <f t="shared" si="8"/>
        <v>811.70252355144271</v>
      </c>
      <c r="AV10" t="s">
        <v>63</v>
      </c>
      <c r="AW10">
        <f>$E$4+$F$4</f>
        <v>1.1000000000000001</v>
      </c>
      <c r="AX10" t="s">
        <v>191</v>
      </c>
      <c r="BA10" t="s">
        <v>866</v>
      </c>
      <c r="BB10">
        <f>BH12*$C$21</f>
        <v>30.337200000000003</v>
      </c>
      <c r="BC10">
        <f>Index!$C$41</f>
        <v>44.710077971194551</v>
      </c>
      <c r="BD10">
        <f t="shared" si="9"/>
        <v>44.710077971194551</v>
      </c>
      <c r="BE10">
        <f t="shared" si="10"/>
        <v>1356.3785774277235</v>
      </c>
      <c r="BG10" t="s">
        <v>63</v>
      </c>
      <c r="BH10">
        <f>$E$4+$F$4</f>
        <v>1.1000000000000001</v>
      </c>
      <c r="BI10" t="s">
        <v>191</v>
      </c>
      <c r="BL10" t="s">
        <v>866</v>
      </c>
      <c r="BM10">
        <f>BS12*$C$21</f>
        <v>45.16320000000001</v>
      </c>
      <c r="BN10">
        <f>Index!$C$41</f>
        <v>44.710077971194551</v>
      </c>
      <c r="BO10">
        <f t="shared" si="11"/>
        <v>44.710077971194551</v>
      </c>
      <c r="BP10">
        <f t="shared" si="12"/>
        <v>2019.2501934286543</v>
      </c>
      <c r="BR10" t="s">
        <v>63</v>
      </c>
      <c r="BS10">
        <f>$E$4+$F$4</f>
        <v>1.1000000000000001</v>
      </c>
      <c r="BT10" t="s">
        <v>191</v>
      </c>
      <c r="BW10" t="s">
        <v>866</v>
      </c>
      <c r="BX10">
        <f>CD12*$C$21</f>
        <v>60.211200000000019</v>
      </c>
      <c r="BY10">
        <f>Index!$C$41</f>
        <v>44.710077971194551</v>
      </c>
      <c r="BZ10">
        <f t="shared" si="13"/>
        <v>44.710077971194551</v>
      </c>
      <c r="CA10">
        <f t="shared" si="14"/>
        <v>2692.04744673919</v>
      </c>
      <c r="CC10" t="s">
        <v>63</v>
      </c>
      <c r="CD10">
        <f>$E$4+$F$4</f>
        <v>1.1000000000000001</v>
      </c>
      <c r="CE10" t="s">
        <v>191</v>
      </c>
    </row>
    <row r="11" spans="1:172" x14ac:dyDescent="0.25">
      <c r="B11">
        <v>150</v>
      </c>
      <c r="C11">
        <f>ROUNDUP('Wetland Design'!C109,1)</f>
        <v>27.400000000000002</v>
      </c>
      <c r="D11">
        <f t="shared" si="0"/>
        <v>27.400000000000002</v>
      </c>
      <c r="E11">
        <f>'Wetland Design'!E109</f>
        <v>0.8</v>
      </c>
      <c r="F11">
        <f>'Wetland Design'!F109</f>
        <v>0.3</v>
      </c>
      <c r="I11" t="s">
        <v>847</v>
      </c>
      <c r="J11">
        <f>ROUNDUP(P8*P7*4,0)</f>
        <v>100</v>
      </c>
      <c r="K11">
        <f>Index!$C$132</f>
        <v>1.3476444720749998</v>
      </c>
      <c r="L11">
        <f t="shared" si="1"/>
        <v>1.3476444720749998</v>
      </c>
      <c r="M11">
        <f t="shared" si="2"/>
        <v>134.76444720749998</v>
      </c>
      <c r="T11" t="s">
        <v>847</v>
      </c>
      <c r="U11">
        <f>ROUNDUP(AA8*AA7*4,0)</f>
        <v>202</v>
      </c>
      <c r="V11">
        <f>Index!$C$132</f>
        <v>1.3476444720749998</v>
      </c>
      <c r="W11">
        <f t="shared" si="3"/>
        <v>1.3476444720749998</v>
      </c>
      <c r="X11">
        <f t="shared" si="4"/>
        <v>272.22418335914995</v>
      </c>
      <c r="AE11" t="s">
        <v>847</v>
      </c>
      <c r="AF11">
        <f>ROUNDUP(AL8*AL7*4,0)</f>
        <v>400</v>
      </c>
      <c r="AG11">
        <f>Index!$C$132</f>
        <v>1.3476444720749998</v>
      </c>
      <c r="AH11">
        <f t="shared" si="5"/>
        <v>1.3476444720749998</v>
      </c>
      <c r="AI11">
        <f t="shared" si="6"/>
        <v>539.05778882999994</v>
      </c>
      <c r="AP11" t="s">
        <v>847</v>
      </c>
      <c r="AQ11">
        <f>ROUNDUP(AW8*AW7*4,0)</f>
        <v>606</v>
      </c>
      <c r="AR11">
        <f>Index!$C$132</f>
        <v>1.3476444720749998</v>
      </c>
      <c r="AS11">
        <f t="shared" si="7"/>
        <v>1.3476444720749998</v>
      </c>
      <c r="AT11">
        <f t="shared" si="8"/>
        <v>816.67255007744984</v>
      </c>
      <c r="BA11" t="s">
        <v>847</v>
      </c>
      <c r="BB11">
        <f>ROUNDUP(BH8*BH7*4,0)</f>
        <v>1012</v>
      </c>
      <c r="BC11">
        <f>Index!$C$132</f>
        <v>1.3476444720749998</v>
      </c>
      <c r="BD11">
        <f t="shared" si="9"/>
        <v>1.3476444720749998</v>
      </c>
      <c r="BE11">
        <f t="shared" si="10"/>
        <v>1363.8162057398997</v>
      </c>
      <c r="BG11"/>
      <c r="BL11" t="s">
        <v>847</v>
      </c>
      <c r="BM11">
        <f>ROUNDUP(BS8*BS7*4,0)</f>
        <v>1506</v>
      </c>
      <c r="BN11">
        <f>Index!$C$132</f>
        <v>1.3476444720749998</v>
      </c>
      <c r="BO11">
        <f t="shared" si="11"/>
        <v>1.3476444720749998</v>
      </c>
      <c r="BP11">
        <f t="shared" si="12"/>
        <v>2029.5525749449498</v>
      </c>
      <c r="BW11" t="s">
        <v>847</v>
      </c>
      <c r="BX11">
        <f>ROUNDUP(CD8*CD7*4,0)</f>
        <v>2008</v>
      </c>
      <c r="BY11">
        <f>Index!$C$132</f>
        <v>1.3476444720749998</v>
      </c>
      <c r="BZ11">
        <f t="shared" si="13"/>
        <v>1.3476444720749998</v>
      </c>
      <c r="CA11">
        <f t="shared" si="14"/>
        <v>2706.0700999265996</v>
      </c>
    </row>
    <row r="12" spans="1:172" x14ac:dyDescent="0.25">
      <c r="B12">
        <v>200</v>
      </c>
      <c r="C12">
        <f>ROUNDUP('Wetland Design'!C110,1)</f>
        <v>31.700000000000003</v>
      </c>
      <c r="D12">
        <f t="shared" si="0"/>
        <v>31.700000000000003</v>
      </c>
      <c r="E12">
        <f>'Wetland Design'!E110</f>
        <v>0.8</v>
      </c>
      <c r="F12">
        <f>'Wetland Design'!F110</f>
        <v>0.3</v>
      </c>
      <c r="I12" s="10" t="s">
        <v>736</v>
      </c>
      <c r="J12" s="10"/>
      <c r="K12" s="10"/>
      <c r="L12" s="10"/>
      <c r="M12" s="10">
        <f>SUM(M5:M11)</f>
        <v>1616.6067568315366</v>
      </c>
      <c r="O12" t="s">
        <v>694</v>
      </c>
      <c r="P12">
        <f>P7*P8*$E$4</f>
        <v>20</v>
      </c>
      <c r="T12" s="10" t="s">
        <v>736</v>
      </c>
      <c r="U12" s="10"/>
      <c r="V12" s="10"/>
      <c r="W12" s="10"/>
      <c r="X12" s="10">
        <f>SUM(X5:X11)</f>
        <v>3230.8509030160349</v>
      </c>
      <c r="Z12" t="s">
        <v>694</v>
      </c>
      <c r="AA12">
        <f>AA7*AA8*$E$4</f>
        <v>40.328000000000003</v>
      </c>
      <c r="AE12" s="10" t="s">
        <v>736</v>
      </c>
      <c r="AF12" s="10"/>
      <c r="AG12" s="10"/>
      <c r="AH12" s="10"/>
      <c r="AI12" s="10">
        <f>SUM(AI5:AI11)</f>
        <v>6379.421208778147</v>
      </c>
      <c r="AK12" t="s">
        <v>694</v>
      </c>
      <c r="AL12">
        <f>AL7*AL8*$E$4</f>
        <v>80</v>
      </c>
      <c r="AP12" s="10" t="s">
        <v>736</v>
      </c>
      <c r="AQ12" s="10"/>
      <c r="AR12" s="10"/>
      <c r="AS12" s="10"/>
      <c r="AT12" s="10">
        <f>SUM(AT5:AT11)</f>
        <v>9617.2209549137297</v>
      </c>
      <c r="AV12" t="s">
        <v>694</v>
      </c>
      <c r="AW12">
        <f>AW7*AW8*$E$4</f>
        <v>121.03199999999998</v>
      </c>
      <c r="BA12" s="10" t="s">
        <v>736</v>
      </c>
      <c r="BB12" s="10"/>
      <c r="BC12" s="10"/>
      <c r="BD12" s="10"/>
      <c r="BE12" s="10">
        <f>SUM(BE5:BE11)</f>
        <v>16024.227521779625</v>
      </c>
      <c r="BG12" t="s">
        <v>694</v>
      </c>
      <c r="BH12">
        <f>BH7*BH8*$E$4</f>
        <v>202.24800000000002</v>
      </c>
      <c r="BL12" s="10" t="s">
        <v>736</v>
      </c>
      <c r="BM12" s="10"/>
      <c r="BN12" s="10"/>
      <c r="BO12" s="10"/>
      <c r="BP12" s="10">
        <f>SUM(BP5:BP11)</f>
        <v>23840.978815876268</v>
      </c>
      <c r="BR12" t="s">
        <v>694</v>
      </c>
      <c r="BS12">
        <f>BS7*BS8*$E$4</f>
        <v>301.08800000000008</v>
      </c>
      <c r="BW12" s="10" t="s">
        <v>736</v>
      </c>
      <c r="BX12" s="10"/>
      <c r="BY12" s="10"/>
      <c r="BZ12" s="10"/>
      <c r="CA12" s="10">
        <f>SUM(CA5:CA11)</f>
        <v>31755.118305231339</v>
      </c>
      <c r="CC12" t="s">
        <v>694</v>
      </c>
      <c r="CD12">
        <f>CD7*CD8*$E$4</f>
        <v>401.40800000000013</v>
      </c>
    </row>
    <row r="13" spans="1:172" x14ac:dyDescent="0.25">
      <c r="B13">
        <v>300</v>
      </c>
      <c r="C13">
        <f>ROUNDUP('Wetland Design'!C111,1)</f>
        <v>38.800000000000004</v>
      </c>
      <c r="D13">
        <f t="shared" si="0"/>
        <v>38.800000000000004</v>
      </c>
      <c r="E13">
        <f>'Wetland Design'!E111</f>
        <v>0.8</v>
      </c>
      <c r="F13">
        <f>'Wetland Design'!F111</f>
        <v>0.3</v>
      </c>
      <c r="O13" t="s">
        <v>680</v>
      </c>
      <c r="P13">
        <f>P7*P8*P10</f>
        <v>27.500000000000004</v>
      </c>
      <c r="Q13" t="s">
        <v>71</v>
      </c>
      <c r="Z13" t="s">
        <v>680</v>
      </c>
      <c r="AA13">
        <f>AA7*AA8*AA10</f>
        <v>55.451000000000001</v>
      </c>
      <c r="AB13" t="s">
        <v>71</v>
      </c>
      <c r="AF13"/>
      <c r="AK13" t="s">
        <v>680</v>
      </c>
      <c r="AL13">
        <f>AL7*AL8*AL10</f>
        <v>110.00000000000001</v>
      </c>
      <c r="AM13" t="s">
        <v>71</v>
      </c>
      <c r="AT13"/>
      <c r="AV13" t="s">
        <v>680</v>
      </c>
      <c r="AW13">
        <f>AW7*AW8*AW10</f>
        <v>166.41899999999998</v>
      </c>
      <c r="AX13" t="s">
        <v>71</v>
      </c>
      <c r="BG13" t="s">
        <v>680</v>
      </c>
      <c r="BH13">
        <f>BH7*BH8*BH10</f>
        <v>278.09100000000001</v>
      </c>
      <c r="BI13" t="s">
        <v>71</v>
      </c>
      <c r="BR13" t="s">
        <v>680</v>
      </c>
      <c r="BS13">
        <f>BS7*BS8*BS10</f>
        <v>413.99600000000009</v>
      </c>
      <c r="BT13" t="s">
        <v>71</v>
      </c>
      <c r="CC13" t="s">
        <v>680</v>
      </c>
      <c r="CD13">
        <f>CD7*CD8*CD10</f>
        <v>551.93600000000015</v>
      </c>
      <c r="CE13" t="s">
        <v>71</v>
      </c>
    </row>
    <row r="14" spans="1:172" x14ac:dyDescent="0.25">
      <c r="B14">
        <v>400</v>
      </c>
      <c r="C14">
        <f>ROUNDUP('Wetland Design'!C112,1)</f>
        <v>44.800000000000004</v>
      </c>
      <c r="D14">
        <f t="shared" si="0"/>
        <v>44.800000000000004</v>
      </c>
      <c r="E14">
        <f>'Wetland Design'!E112</f>
        <v>0.8</v>
      </c>
      <c r="F14">
        <f>'Wetland Design'!F112</f>
        <v>0.3</v>
      </c>
      <c r="AF14"/>
      <c r="AT14"/>
      <c r="BG14"/>
    </row>
    <row r="15" spans="1:172" x14ac:dyDescent="0.25">
      <c r="B15">
        <v>500</v>
      </c>
      <c r="C15">
        <f>ROUNDUP('Wetland Design'!C113,1)</f>
        <v>50</v>
      </c>
      <c r="D15">
        <f t="shared" si="0"/>
        <v>50</v>
      </c>
      <c r="E15">
        <f>'Wetland Design'!E113</f>
        <v>0.8</v>
      </c>
      <c r="F15">
        <f>'Wetland Design'!F113</f>
        <v>0.3</v>
      </c>
      <c r="I15" s="10" t="s">
        <v>110</v>
      </c>
      <c r="T15" s="10" t="s">
        <v>110</v>
      </c>
      <c r="AE15" s="10" t="s">
        <v>110</v>
      </c>
      <c r="AF15"/>
      <c r="AP15" s="10" t="s">
        <v>110</v>
      </c>
      <c r="AT15"/>
      <c r="BA15" s="10" t="s">
        <v>110</v>
      </c>
      <c r="BG15"/>
      <c r="BL15" s="10" t="s">
        <v>110</v>
      </c>
      <c r="BW15" s="10" t="s">
        <v>110</v>
      </c>
    </row>
    <row r="16" spans="1:172" x14ac:dyDescent="0.25">
      <c r="B16">
        <v>600</v>
      </c>
      <c r="C16">
        <f>ROUNDUP('Wetland Design'!C114,1)</f>
        <v>54.800000000000004</v>
      </c>
      <c r="D16">
        <f t="shared" si="0"/>
        <v>54.800000000000004</v>
      </c>
      <c r="E16">
        <f>'Wetland Design'!E114</f>
        <v>0.8</v>
      </c>
      <c r="F16">
        <f>'Wetland Design'!F114</f>
        <v>0.3</v>
      </c>
      <c r="I16" t="s">
        <v>904</v>
      </c>
      <c r="T16" t="s">
        <v>904</v>
      </c>
      <c r="AE16" t="s">
        <v>904</v>
      </c>
      <c r="AF16"/>
      <c r="AP16" t="s">
        <v>904</v>
      </c>
      <c r="AT16"/>
      <c r="BA16" t="s">
        <v>904</v>
      </c>
      <c r="BG16"/>
      <c r="BL16" t="s">
        <v>904</v>
      </c>
      <c r="BW16" t="s">
        <v>904</v>
      </c>
    </row>
    <row r="17" spans="2:79" x14ac:dyDescent="0.25">
      <c r="B17">
        <v>700</v>
      </c>
      <c r="C17">
        <f>ROUNDUP('Wetland Design'!C115,1)</f>
        <v>59.2</v>
      </c>
      <c r="D17">
        <f t="shared" si="0"/>
        <v>59.2</v>
      </c>
      <c r="E17">
        <f>'Wetland Design'!E115</f>
        <v>0.8</v>
      </c>
      <c r="F17">
        <f>'Wetland Design'!F115</f>
        <v>0.3</v>
      </c>
      <c r="I17" t="s">
        <v>761</v>
      </c>
      <c r="J17">
        <f>$B$46</f>
        <v>30.5</v>
      </c>
      <c r="L17">
        <f>Index!$C$108</f>
        <v>2.0539999999999998</v>
      </c>
      <c r="M17">
        <f t="shared" ref="M17:M19" si="15">L17*J17</f>
        <v>62.646999999999991</v>
      </c>
      <c r="T17" t="s">
        <v>761</v>
      </c>
      <c r="U17">
        <f>$B$47</f>
        <v>57.068542494923804</v>
      </c>
      <c r="W17">
        <f>Index!$C$108</f>
        <v>2.0539999999999998</v>
      </c>
      <c r="X17">
        <f t="shared" ref="X17:X19" si="16">W17*U17</f>
        <v>117.21878628457348</v>
      </c>
      <c r="AE17" t="s">
        <v>761</v>
      </c>
      <c r="AF17">
        <f>$B$48</f>
        <v>100.5</v>
      </c>
      <c r="AH17">
        <f>Index!$C$108</f>
        <v>2.0539999999999998</v>
      </c>
      <c r="AI17">
        <f t="shared" ref="AI17:AI19" si="17">AH17*AF17</f>
        <v>206.42699999999999</v>
      </c>
      <c r="AP17" t="s">
        <v>761</v>
      </c>
      <c r="AQ17">
        <f>$B$49</f>
        <v>147.46938456699067</v>
      </c>
      <c r="AS17">
        <f>Index!$C$108</f>
        <v>2.0539999999999998</v>
      </c>
      <c r="AT17">
        <f t="shared" ref="AT17:AT19" si="18">AS17*AQ17</f>
        <v>302.9021159005988</v>
      </c>
      <c r="BA17" t="s">
        <v>761</v>
      </c>
      <c r="BB17">
        <f>$B$50</f>
        <v>237.67082451262846</v>
      </c>
      <c r="BD17">
        <f>Index!$C$108</f>
        <v>2.0539999999999998</v>
      </c>
      <c r="BE17">
        <f t="shared" ref="BE17:BE19" si="19">BD17*BB17</f>
        <v>488.1758735489388</v>
      </c>
      <c r="BG17"/>
      <c r="BL17" t="s">
        <v>761</v>
      </c>
      <c r="BM17">
        <f>$B$51</f>
        <v>349.06850115866752</v>
      </c>
      <c r="BO17">
        <f>Index!$C$108</f>
        <v>2.0539999999999998</v>
      </c>
      <c r="BP17">
        <f t="shared" ref="BP17:BP19" si="20">BO17*BM17</f>
        <v>716.98670137990302</v>
      </c>
      <c r="BW17" t="s">
        <v>761</v>
      </c>
      <c r="BX17">
        <f>$B$52</f>
        <v>447.71359549995793</v>
      </c>
      <c r="BZ17">
        <f>Index!$C$108</f>
        <v>2.0539999999999998</v>
      </c>
      <c r="CA17">
        <f t="shared" ref="CA17:CA19" si="21">BZ17*BX17</f>
        <v>919.60372515691347</v>
      </c>
    </row>
    <row r="18" spans="2:79" x14ac:dyDescent="0.25">
      <c r="B18">
        <v>800</v>
      </c>
      <c r="C18">
        <f>ROUNDUP('Wetland Design'!C116,1)</f>
        <v>63.300000000000004</v>
      </c>
      <c r="D18">
        <f t="shared" si="0"/>
        <v>63.300000000000004</v>
      </c>
      <c r="E18">
        <f>'Wetland Design'!E116</f>
        <v>0.8</v>
      </c>
      <c r="F18">
        <f>'Wetland Design'!F116</f>
        <v>0.3</v>
      </c>
      <c r="I18" t="s">
        <v>885</v>
      </c>
      <c r="J18">
        <f>$C$46</f>
        <v>5</v>
      </c>
      <c r="L18">
        <f>Index!$C$110</f>
        <v>2.38</v>
      </c>
      <c r="M18">
        <f t="shared" si="15"/>
        <v>11.899999999999999</v>
      </c>
      <c r="T18" t="s">
        <v>885</v>
      </c>
      <c r="U18">
        <f>$C$47</f>
        <v>9</v>
      </c>
      <c r="W18">
        <f>Index!$C$110</f>
        <v>2.38</v>
      </c>
      <c r="X18">
        <f t="shared" si="16"/>
        <v>21.419999999999998</v>
      </c>
      <c r="AE18" t="s">
        <v>885</v>
      </c>
      <c r="AF18">
        <f>$C$48</f>
        <v>13</v>
      </c>
      <c r="AH18">
        <f>Index!$C$110</f>
        <v>2.38</v>
      </c>
      <c r="AI18">
        <f t="shared" si="17"/>
        <v>30.939999999999998</v>
      </c>
      <c r="AP18" t="s">
        <v>885</v>
      </c>
      <c r="AQ18">
        <f>$C$49</f>
        <v>17</v>
      </c>
      <c r="AS18">
        <f>Index!$C$110</f>
        <v>2.38</v>
      </c>
      <c r="AT18">
        <f t="shared" si="18"/>
        <v>40.46</v>
      </c>
      <c r="BA18" t="s">
        <v>885</v>
      </c>
      <c r="BB18">
        <f>$C$50</f>
        <v>23</v>
      </c>
      <c r="BD18">
        <f>Index!$C$110</f>
        <v>2.38</v>
      </c>
      <c r="BE18">
        <f t="shared" si="19"/>
        <v>54.739999999999995</v>
      </c>
      <c r="BG18"/>
      <c r="BL18" t="s">
        <v>885</v>
      </c>
      <c r="BM18">
        <f>$C$51</f>
        <v>29</v>
      </c>
      <c r="BO18">
        <f>Index!$C$110</f>
        <v>2.38</v>
      </c>
      <c r="BP18">
        <f t="shared" si="20"/>
        <v>69.02</v>
      </c>
      <c r="BW18" t="s">
        <v>885</v>
      </c>
      <c r="BX18">
        <f>$C$52</f>
        <v>33</v>
      </c>
      <c r="BZ18">
        <f>Index!$C$110</f>
        <v>2.38</v>
      </c>
      <c r="CA18">
        <f t="shared" si="21"/>
        <v>78.539999999999992</v>
      </c>
    </row>
    <row r="19" spans="2:79" x14ac:dyDescent="0.25">
      <c r="B19">
        <v>1000</v>
      </c>
      <c r="C19">
        <f>ROUNDUP('Wetland Design'!C117,1)</f>
        <v>70.8</v>
      </c>
      <c r="D19">
        <f t="shared" si="0"/>
        <v>70.8</v>
      </c>
      <c r="E19">
        <f>'Wetland Design'!E117</f>
        <v>0.8</v>
      </c>
      <c r="F19">
        <f>'Wetland Design'!F117</f>
        <v>0.3</v>
      </c>
      <c r="I19" t="s">
        <v>886</v>
      </c>
      <c r="J19">
        <f>$D$46</f>
        <v>5</v>
      </c>
      <c r="L19">
        <f>Index!$C$111</f>
        <v>1.81</v>
      </c>
      <c r="M19">
        <f t="shared" si="15"/>
        <v>9.0500000000000007</v>
      </c>
      <c r="T19" t="s">
        <v>886</v>
      </c>
      <c r="U19">
        <f>$D$47</f>
        <v>5</v>
      </c>
      <c r="W19">
        <f>Index!$C$111</f>
        <v>1.81</v>
      </c>
      <c r="X19">
        <f t="shared" si="16"/>
        <v>9.0500000000000007</v>
      </c>
      <c r="AE19" t="s">
        <v>886</v>
      </c>
      <c r="AF19">
        <f>$D$48</f>
        <v>5</v>
      </c>
      <c r="AH19">
        <f>Index!$C$111</f>
        <v>1.81</v>
      </c>
      <c r="AI19">
        <f t="shared" si="17"/>
        <v>9.0500000000000007</v>
      </c>
      <c r="AP19" t="s">
        <v>886</v>
      </c>
      <c r="AQ19">
        <f>$D$49</f>
        <v>5</v>
      </c>
      <c r="AS19">
        <f>Index!$C$111</f>
        <v>1.81</v>
      </c>
      <c r="AT19">
        <f t="shared" si="18"/>
        <v>9.0500000000000007</v>
      </c>
      <c r="BA19" t="s">
        <v>886</v>
      </c>
      <c r="BB19">
        <f>$D$50</f>
        <v>5</v>
      </c>
      <c r="BD19">
        <f>Index!$C$111</f>
        <v>1.81</v>
      </c>
      <c r="BE19">
        <f t="shared" si="19"/>
        <v>9.0500000000000007</v>
      </c>
      <c r="BG19"/>
      <c r="BL19" t="s">
        <v>886</v>
      </c>
      <c r="BM19">
        <f>$D$51</f>
        <v>5</v>
      </c>
      <c r="BO19">
        <f>Index!$C$111</f>
        <v>1.81</v>
      </c>
      <c r="BP19">
        <f t="shared" si="20"/>
        <v>9.0500000000000007</v>
      </c>
      <c r="BW19" t="s">
        <v>886</v>
      </c>
      <c r="BX19">
        <f>$D$52</f>
        <v>5</v>
      </c>
      <c r="BZ19">
        <f>Index!$C$111</f>
        <v>1.81</v>
      </c>
      <c r="CA19">
        <f t="shared" si="21"/>
        <v>9.0500000000000007</v>
      </c>
    </row>
    <row r="20" spans="2:79" x14ac:dyDescent="0.25">
      <c r="I20" t="s">
        <v>905</v>
      </c>
      <c r="T20" t="s">
        <v>905</v>
      </c>
      <c r="AE20" t="s">
        <v>905</v>
      </c>
      <c r="AF20"/>
      <c r="AP20" t="s">
        <v>905</v>
      </c>
      <c r="AT20"/>
      <c r="BA20" t="s">
        <v>905</v>
      </c>
      <c r="BG20"/>
      <c r="BL20" t="s">
        <v>905</v>
      </c>
      <c r="BW20" t="s">
        <v>905</v>
      </c>
    </row>
    <row r="21" spans="2:79" x14ac:dyDescent="0.25">
      <c r="B21" t="str">
        <f>'Wetland Design'!F123</f>
        <v>20-40mm</v>
      </c>
      <c r="C21">
        <f>'Wetland Design'!G123</f>
        <v>0.15</v>
      </c>
      <c r="I21" t="s">
        <v>761</v>
      </c>
      <c r="J21">
        <f>$B$65</f>
        <v>28.6</v>
      </c>
      <c r="L21">
        <f>Index!$C$101</f>
        <v>8.581999999999999</v>
      </c>
      <c r="M21">
        <f t="shared" ref="M21:M25" si="22">L21*J21</f>
        <v>245.44519999999997</v>
      </c>
      <c r="T21" t="s">
        <v>761</v>
      </c>
      <c r="U21">
        <f>$B$66</f>
        <v>54.897474683058327</v>
      </c>
      <c r="W21">
        <f>Index!$C$101</f>
        <v>8.581999999999999</v>
      </c>
      <c r="X21">
        <f t="shared" ref="X21:X25" si="23">W21*U21</f>
        <v>471.13012773000651</v>
      </c>
      <c r="AE21" t="s">
        <v>761</v>
      </c>
      <c r="AF21">
        <f>$B$67</f>
        <v>97.2</v>
      </c>
      <c r="AH21">
        <f>Index!$C$101</f>
        <v>8.581999999999999</v>
      </c>
      <c r="AI21">
        <f t="shared" ref="AI21:AI25" si="24">AH21*AF21</f>
        <v>834.17039999999997</v>
      </c>
      <c r="AP21" t="s">
        <v>761</v>
      </c>
      <c r="AQ21">
        <f>$B$68</f>
        <v>143.7219358530748</v>
      </c>
      <c r="AS21">
        <f>Index!$C$101</f>
        <v>8.581999999999999</v>
      </c>
      <c r="AT21">
        <f t="shared" ref="AT21:AT25" si="25">AS21*AQ21</f>
        <v>1233.4216534910877</v>
      </c>
      <c r="BA21" t="s">
        <v>761</v>
      </c>
      <c r="BB21">
        <f>$B$69</f>
        <v>233.05943621178653</v>
      </c>
      <c r="BD21">
        <f>Index!$C$101</f>
        <v>8.581999999999999</v>
      </c>
      <c r="BE21">
        <f t="shared" ref="BE21:BE25" si="26">BD21*BB21</f>
        <v>2000.1160815695519</v>
      </c>
      <c r="BG21"/>
      <c r="BL21" t="s">
        <v>761</v>
      </c>
      <c r="BM21">
        <f>$B$70</f>
        <v>343.60358442763038</v>
      </c>
      <c r="BO21">
        <f>Index!$C$101</f>
        <v>8.581999999999999</v>
      </c>
      <c r="BP21">
        <f t="shared" ref="BP21:BP25" si="27">BO21*BM21</f>
        <v>2948.8059615579236</v>
      </c>
      <c r="BW21" t="s">
        <v>761</v>
      </c>
      <c r="BX21">
        <f>$B$71</f>
        <v>441.05291572496003</v>
      </c>
      <c r="BZ21">
        <f>Index!$C$101</f>
        <v>8.581999999999999</v>
      </c>
      <c r="CA21">
        <f t="shared" ref="CA21:CA25" si="28">BZ21*BX21</f>
        <v>3785.1161227516063</v>
      </c>
    </row>
    <row r="22" spans="2:79" x14ac:dyDescent="0.25">
      <c r="B22" t="str">
        <f>'Wetland Design'!F124</f>
        <v xml:space="preserve">Sand </v>
      </c>
      <c r="C22">
        <f>'Wetland Design'!G124</f>
        <v>0.3666666666666667</v>
      </c>
      <c r="I22" t="s">
        <v>885</v>
      </c>
      <c r="J22">
        <f>$C$65</f>
        <v>2</v>
      </c>
      <c r="L22">
        <f>Index!$C$103</f>
        <v>17.61</v>
      </c>
      <c r="M22">
        <f t="shared" si="22"/>
        <v>35.22</v>
      </c>
      <c r="T22" t="s">
        <v>885</v>
      </c>
      <c r="U22">
        <f>$C$66</f>
        <v>4</v>
      </c>
      <c r="W22">
        <f>Index!$C$103</f>
        <v>17.61</v>
      </c>
      <c r="X22">
        <f t="shared" si="23"/>
        <v>70.44</v>
      </c>
      <c r="AE22" t="s">
        <v>885</v>
      </c>
      <c r="AF22">
        <f>$C$67</f>
        <v>6</v>
      </c>
      <c r="AH22">
        <f>Index!$C$103</f>
        <v>17.61</v>
      </c>
      <c r="AI22">
        <f t="shared" si="24"/>
        <v>105.66</v>
      </c>
      <c r="AP22" t="s">
        <v>885</v>
      </c>
      <c r="AQ22">
        <f>$C$68</f>
        <v>8</v>
      </c>
      <c r="AS22">
        <f>Index!$C$103</f>
        <v>17.61</v>
      </c>
      <c r="AT22">
        <f t="shared" si="25"/>
        <v>140.88</v>
      </c>
      <c r="BA22" t="s">
        <v>885</v>
      </c>
      <c r="BB22">
        <f>$C$69</f>
        <v>11</v>
      </c>
      <c r="BD22">
        <f>Index!$C$103</f>
        <v>17.61</v>
      </c>
      <c r="BE22">
        <f t="shared" si="26"/>
        <v>193.70999999999998</v>
      </c>
      <c r="BG22"/>
      <c r="BL22" t="s">
        <v>885</v>
      </c>
      <c r="BM22">
        <f>$C$70</f>
        <v>14</v>
      </c>
      <c r="BO22">
        <f>Index!$C$103</f>
        <v>17.61</v>
      </c>
      <c r="BP22">
        <f t="shared" si="27"/>
        <v>246.54</v>
      </c>
      <c r="BW22" t="s">
        <v>885</v>
      </c>
      <c r="BX22">
        <f>$C$71</f>
        <v>16</v>
      </c>
      <c r="BZ22">
        <f>Index!$C$103</f>
        <v>17.61</v>
      </c>
      <c r="CA22">
        <f t="shared" si="28"/>
        <v>281.76</v>
      </c>
    </row>
    <row r="23" spans="2:79" x14ac:dyDescent="0.25">
      <c r="B23" t="str">
        <f>'Wetland Design'!F125</f>
        <v>10mm</v>
      </c>
      <c r="C23">
        <f>'Wetland Design'!G125</f>
        <v>0.28333333333333333</v>
      </c>
      <c r="I23" t="s">
        <v>886</v>
      </c>
      <c r="J23">
        <f>$D$65</f>
        <v>6</v>
      </c>
      <c r="L23">
        <f>Index!$C$104</f>
        <v>13.67</v>
      </c>
      <c r="M23">
        <f t="shared" si="22"/>
        <v>82.02</v>
      </c>
      <c r="T23" t="s">
        <v>886</v>
      </c>
      <c r="U23">
        <f>$D$66</f>
        <v>8</v>
      </c>
      <c r="W23">
        <f>Index!$C$104</f>
        <v>13.67</v>
      </c>
      <c r="X23">
        <f t="shared" si="23"/>
        <v>109.36</v>
      </c>
      <c r="AE23" t="s">
        <v>886</v>
      </c>
      <c r="AF23">
        <f>$D$67</f>
        <v>10</v>
      </c>
      <c r="AH23">
        <f>Index!$C$104</f>
        <v>13.67</v>
      </c>
      <c r="AI23">
        <f t="shared" si="24"/>
        <v>136.69999999999999</v>
      </c>
      <c r="AP23" t="s">
        <v>886</v>
      </c>
      <c r="AQ23">
        <f>$D$68</f>
        <v>12</v>
      </c>
      <c r="AS23">
        <f>Index!$C$104</f>
        <v>13.67</v>
      </c>
      <c r="AT23">
        <f t="shared" si="25"/>
        <v>164.04</v>
      </c>
      <c r="BA23" t="s">
        <v>886</v>
      </c>
      <c r="BB23">
        <f>$D$69</f>
        <v>15</v>
      </c>
      <c r="BD23">
        <f>Index!$C$104</f>
        <v>13.67</v>
      </c>
      <c r="BE23">
        <f t="shared" si="26"/>
        <v>205.05</v>
      </c>
      <c r="BG23"/>
      <c r="BL23" t="s">
        <v>886</v>
      </c>
      <c r="BM23">
        <f>$D$70</f>
        <v>18</v>
      </c>
      <c r="BO23">
        <f>Index!$C$104</f>
        <v>13.67</v>
      </c>
      <c r="BP23">
        <f t="shared" si="27"/>
        <v>246.06</v>
      </c>
      <c r="BW23" t="s">
        <v>886</v>
      </c>
      <c r="BX23">
        <f>$D$71</f>
        <v>20</v>
      </c>
      <c r="BZ23">
        <f>Index!$C$104</f>
        <v>13.67</v>
      </c>
      <c r="CA23">
        <f t="shared" si="28"/>
        <v>273.39999999999998</v>
      </c>
    </row>
    <row r="24" spans="2:79" x14ac:dyDescent="0.25">
      <c r="I24" t="s">
        <v>766</v>
      </c>
      <c r="J24">
        <f>$E$65</f>
        <v>2</v>
      </c>
      <c r="L24">
        <f>Index!$C105</f>
        <v>52.92</v>
      </c>
      <c r="M24">
        <f t="shared" si="22"/>
        <v>105.84</v>
      </c>
      <c r="T24" t="s">
        <v>766</v>
      </c>
      <c r="U24">
        <f>$E$65</f>
        <v>2</v>
      </c>
      <c r="W24">
        <f>Index!$C105</f>
        <v>52.92</v>
      </c>
      <c r="X24">
        <f t="shared" si="23"/>
        <v>105.84</v>
      </c>
      <c r="AE24" t="s">
        <v>766</v>
      </c>
      <c r="AF24">
        <f>$E$65</f>
        <v>2</v>
      </c>
      <c r="AH24">
        <f>Index!$C105</f>
        <v>52.92</v>
      </c>
      <c r="AI24">
        <f t="shared" si="24"/>
        <v>105.84</v>
      </c>
      <c r="AP24" t="s">
        <v>766</v>
      </c>
      <c r="AQ24">
        <f>$E$65</f>
        <v>2</v>
      </c>
      <c r="AS24">
        <f>Index!$C105</f>
        <v>52.92</v>
      </c>
      <c r="AT24">
        <f t="shared" si="25"/>
        <v>105.84</v>
      </c>
      <c r="BA24" t="s">
        <v>766</v>
      </c>
      <c r="BB24">
        <f>$E$65</f>
        <v>2</v>
      </c>
      <c r="BD24">
        <f>Index!$C105</f>
        <v>52.92</v>
      </c>
      <c r="BE24">
        <f t="shared" si="26"/>
        <v>105.84</v>
      </c>
      <c r="BG24"/>
      <c r="BL24" t="s">
        <v>766</v>
      </c>
      <c r="BM24">
        <f>$E$65</f>
        <v>2</v>
      </c>
      <c r="BO24">
        <f>Index!$C105</f>
        <v>52.92</v>
      </c>
      <c r="BP24">
        <f t="shared" si="27"/>
        <v>105.84</v>
      </c>
      <c r="BW24" t="s">
        <v>766</v>
      </c>
      <c r="BX24">
        <f>$E$65</f>
        <v>2</v>
      </c>
      <c r="BZ24">
        <f>Index!$C105</f>
        <v>52.92</v>
      </c>
      <c r="CA24">
        <f t="shared" si="28"/>
        <v>105.84</v>
      </c>
    </row>
    <row r="25" spans="2:79" x14ac:dyDescent="0.25">
      <c r="I25" t="s">
        <v>890</v>
      </c>
      <c r="J25">
        <f>$E$46</f>
        <v>16</v>
      </c>
      <c r="L25">
        <f>Index!$C$134</f>
        <v>16.692</v>
      </c>
      <c r="M25">
        <f t="shared" si="22"/>
        <v>267.072</v>
      </c>
      <c r="T25" t="s">
        <v>890</v>
      </c>
      <c r="U25">
        <f>$E$47</f>
        <v>34</v>
      </c>
      <c r="W25">
        <f>Index!$C$134</f>
        <v>16.692</v>
      </c>
      <c r="X25">
        <f t="shared" si="23"/>
        <v>567.52800000000002</v>
      </c>
      <c r="AE25" t="s">
        <v>890</v>
      </c>
      <c r="AF25">
        <f>$E$48</f>
        <v>64</v>
      </c>
      <c r="AH25">
        <f>Index!$C$134</f>
        <v>16.692</v>
      </c>
      <c r="AI25">
        <f t="shared" si="24"/>
        <v>1068.288</v>
      </c>
      <c r="AP25" t="s">
        <v>890</v>
      </c>
      <c r="AQ25">
        <f>$E$49</f>
        <v>98</v>
      </c>
      <c r="AS25">
        <f>Index!$C$134</f>
        <v>16.692</v>
      </c>
      <c r="AT25">
        <f t="shared" si="25"/>
        <v>1635.816</v>
      </c>
      <c r="BA25" t="s">
        <v>890</v>
      </c>
      <c r="BB25">
        <f>$E$50</f>
        <v>165</v>
      </c>
      <c r="BD25">
        <f>Index!$C$134</f>
        <v>16.692</v>
      </c>
      <c r="BE25">
        <f t="shared" si="26"/>
        <v>2754.18</v>
      </c>
      <c r="BG25"/>
      <c r="BL25" t="s">
        <v>890</v>
      </c>
      <c r="BM25">
        <f>$E$51</f>
        <v>248</v>
      </c>
      <c r="BO25">
        <f>Index!$C$134</f>
        <v>16.692</v>
      </c>
      <c r="BP25">
        <f t="shared" si="27"/>
        <v>4139.616</v>
      </c>
      <c r="BW25" t="s">
        <v>890</v>
      </c>
      <c r="BX25">
        <f>$E$52</f>
        <v>322</v>
      </c>
      <c r="BZ25">
        <f>Index!$C$134</f>
        <v>16.692</v>
      </c>
      <c r="CA25">
        <f t="shared" si="28"/>
        <v>5374.8239999999996</v>
      </c>
    </row>
    <row r="26" spans="2:79" x14ac:dyDescent="0.25">
      <c r="B26" t="s">
        <v>112</v>
      </c>
      <c r="I26" s="10" t="s">
        <v>736</v>
      </c>
      <c r="J26" s="10"/>
      <c r="K26" s="10"/>
      <c r="L26" s="10"/>
      <c r="M26" s="10">
        <f>SUM(M21:M25)</f>
        <v>735.59719999999993</v>
      </c>
      <c r="T26" s="10" t="s">
        <v>736</v>
      </c>
      <c r="U26" s="10"/>
      <c r="V26" s="10"/>
      <c r="W26" s="10"/>
      <c r="X26" s="10">
        <f>SUM(X21:X25)</f>
        <v>1324.2981277300066</v>
      </c>
      <c r="AE26" s="10" t="s">
        <v>736</v>
      </c>
      <c r="AF26" s="10"/>
      <c r="AG26" s="10"/>
      <c r="AH26" s="10"/>
      <c r="AI26" s="10">
        <f>SUM(AI21:AI25)</f>
        <v>2250.6583999999998</v>
      </c>
      <c r="AP26" s="10" t="s">
        <v>736</v>
      </c>
      <c r="AQ26" s="10"/>
      <c r="AR26" s="10"/>
      <c r="AS26" s="10"/>
      <c r="AT26" s="10">
        <f>SUM(AT21:AT25)</f>
        <v>3279.9976534910875</v>
      </c>
      <c r="BA26" s="10" t="s">
        <v>736</v>
      </c>
      <c r="BB26" s="10"/>
      <c r="BC26" s="10"/>
      <c r="BD26" s="10"/>
      <c r="BE26" s="10">
        <f>SUM(BE21:BE25)</f>
        <v>5258.8960815695518</v>
      </c>
      <c r="BG26"/>
      <c r="BL26" s="10" t="s">
        <v>736</v>
      </c>
      <c r="BM26" s="10"/>
      <c r="BN26" s="10"/>
      <c r="BO26" s="10"/>
      <c r="BP26" s="10">
        <f>SUM(BP21:BP25)</f>
        <v>7686.8619615579237</v>
      </c>
      <c r="BW26" s="10" t="s">
        <v>736</v>
      </c>
      <c r="BX26" s="10"/>
      <c r="BY26" s="10"/>
      <c r="BZ26" s="10"/>
      <c r="CA26" s="10">
        <f>SUM(CA21:CA25)</f>
        <v>9820.9401227516064</v>
      </c>
    </row>
    <row r="27" spans="2:79" x14ac:dyDescent="0.25">
      <c r="B27" t="s">
        <v>156</v>
      </c>
      <c r="AF27"/>
      <c r="AT27"/>
      <c r="BG27"/>
    </row>
    <row r="28" spans="2:79" x14ac:dyDescent="0.25">
      <c r="B28">
        <v>5</v>
      </c>
      <c r="C28">
        <f>'Wetland Design'!F134</f>
        <v>33.5</v>
      </c>
      <c r="D28">
        <f>ROUNDUP(C28,1)</f>
        <v>33.5</v>
      </c>
      <c r="I28" s="10" t="s">
        <v>896</v>
      </c>
      <c r="M28" s="10">
        <f>M26+M12</f>
        <v>2352.2039568315367</v>
      </c>
      <c r="T28" s="10" t="s">
        <v>896</v>
      </c>
      <c r="X28" s="10">
        <f>X26+X12</f>
        <v>4555.1490307460417</v>
      </c>
      <c r="AE28" s="10" t="s">
        <v>896</v>
      </c>
      <c r="AF28"/>
      <c r="AI28" s="10">
        <f>AI26+AI12</f>
        <v>8630.0796087781473</v>
      </c>
      <c r="AP28" s="10" t="s">
        <v>896</v>
      </c>
      <c r="AT28" s="10">
        <f>AT26+AT12</f>
        <v>12897.218608404817</v>
      </c>
      <c r="BA28" s="10" t="s">
        <v>896</v>
      </c>
      <c r="BE28" s="10">
        <f>BE26+BE12</f>
        <v>21283.123603349177</v>
      </c>
      <c r="BG28"/>
      <c r="BL28" s="10" t="s">
        <v>896</v>
      </c>
      <c r="BP28" s="10">
        <f>BP26+BP12</f>
        <v>31527.84077743419</v>
      </c>
      <c r="BW28" s="10" t="s">
        <v>896</v>
      </c>
      <c r="CA28" s="10">
        <f>CA26+CA12</f>
        <v>41576.058427982949</v>
      </c>
    </row>
    <row r="29" spans="2:79" x14ac:dyDescent="0.25">
      <c r="B29">
        <v>10</v>
      </c>
      <c r="C29">
        <f>'Wetland Design'!F135</f>
        <v>63.485281374238582</v>
      </c>
      <c r="D29">
        <f t="shared" ref="D29:D43" si="29">ROUNDUP(C29,1)</f>
        <v>63.5</v>
      </c>
      <c r="AF29"/>
      <c r="AT29"/>
      <c r="BG29"/>
    </row>
    <row r="30" spans="2:79" x14ac:dyDescent="0.25">
      <c r="B30">
        <v>20</v>
      </c>
      <c r="C30">
        <f>'Wetland Design'!F136</f>
        <v>122.00000000000001</v>
      </c>
      <c r="D30">
        <f t="shared" si="29"/>
        <v>122</v>
      </c>
      <c r="AF30"/>
      <c r="AT30"/>
      <c r="BG30"/>
    </row>
    <row r="31" spans="2:79" x14ac:dyDescent="0.25">
      <c r="B31">
        <v>30</v>
      </c>
      <c r="C31">
        <f>'Wetland Design'!F137</f>
        <v>179.69693845669906</v>
      </c>
      <c r="D31">
        <f t="shared" si="29"/>
        <v>179.7</v>
      </c>
      <c r="AF31"/>
      <c r="AT31"/>
      <c r="BG31"/>
    </row>
    <row r="32" spans="2:79" x14ac:dyDescent="0.25">
      <c r="B32">
        <v>50</v>
      </c>
      <c r="C32">
        <f>'Wetland Design'!F138</f>
        <v>293.97366596101028</v>
      </c>
      <c r="D32">
        <f t="shared" si="29"/>
        <v>294</v>
      </c>
      <c r="AF32"/>
      <c r="AT32"/>
      <c r="BG32"/>
    </row>
    <row r="33" spans="1:59" x14ac:dyDescent="0.25">
      <c r="B33">
        <v>75</v>
      </c>
      <c r="C33">
        <f>'Wetland Design'!F139</f>
        <v>435.73790007724455</v>
      </c>
      <c r="D33">
        <f t="shared" si="29"/>
        <v>435.8</v>
      </c>
      <c r="AF33"/>
      <c r="AT33"/>
      <c r="BG33"/>
    </row>
    <row r="34" spans="1:59" x14ac:dyDescent="0.25">
      <c r="B34">
        <v>100</v>
      </c>
      <c r="C34">
        <f>'Wetland Design'!F140</f>
        <v>576.83281572999761</v>
      </c>
      <c r="D34">
        <f t="shared" si="29"/>
        <v>576.9</v>
      </c>
      <c r="I34" s="10" t="s">
        <v>906</v>
      </c>
      <c r="AF34"/>
      <c r="AT34"/>
      <c r="BG34"/>
    </row>
    <row r="35" spans="1:59" x14ac:dyDescent="0.25">
      <c r="B35">
        <v>150</v>
      </c>
      <c r="C35">
        <f>'Wetland Design'!F141</f>
        <v>857.86335345031023</v>
      </c>
      <c r="D35">
        <f t="shared" si="29"/>
        <v>857.9</v>
      </c>
      <c r="I35" t="s">
        <v>897</v>
      </c>
      <c r="U35" s="10"/>
      <c r="V35" s="10"/>
      <c r="AF35"/>
      <c r="AT35"/>
      <c r="BG35"/>
    </row>
    <row r="36" spans="1:59" x14ac:dyDescent="0.25">
      <c r="B36">
        <v>200</v>
      </c>
      <c r="C36">
        <f>'Wetland Design'!F142</f>
        <v>1137.9473319220206</v>
      </c>
      <c r="D36">
        <f t="shared" si="29"/>
        <v>1138</v>
      </c>
      <c r="AF36"/>
      <c r="AT36"/>
      <c r="BG36"/>
    </row>
    <row r="37" spans="1:59" x14ac:dyDescent="0.25">
      <c r="B37">
        <v>300</v>
      </c>
      <c r="C37">
        <f>'Wetland Design'!F143</f>
        <v>1696.4758001544892</v>
      </c>
      <c r="D37">
        <f t="shared" si="29"/>
        <v>1696.5</v>
      </c>
      <c r="AF37"/>
      <c r="AT37"/>
      <c r="BG37"/>
    </row>
    <row r="38" spans="1:59" x14ac:dyDescent="0.25">
      <c r="B38">
        <v>400</v>
      </c>
      <c r="C38">
        <f>'Wetland Design'!F144</f>
        <v>2253.6656314599954</v>
      </c>
      <c r="D38">
        <f t="shared" si="29"/>
        <v>2253.6999999999998</v>
      </c>
      <c r="AF38"/>
      <c r="AT38"/>
      <c r="BG38"/>
    </row>
    <row r="39" spans="1:59" x14ac:dyDescent="0.25">
      <c r="B39">
        <v>500</v>
      </c>
      <c r="C39">
        <f>'Wetland Design'!F145</f>
        <v>2810</v>
      </c>
      <c r="D39">
        <f t="shared" si="29"/>
        <v>2810</v>
      </c>
      <c r="AF39"/>
      <c r="AT39"/>
      <c r="BG39"/>
    </row>
    <row r="40" spans="1:59" x14ac:dyDescent="0.25">
      <c r="B40">
        <v>600</v>
      </c>
      <c r="C40">
        <f>'Wetland Design'!F146</f>
        <v>3365.7267069006207</v>
      </c>
      <c r="D40">
        <f t="shared" si="29"/>
        <v>3365.7999999999997</v>
      </c>
      <c r="AF40"/>
      <c r="AT40"/>
      <c r="BG40"/>
    </row>
    <row r="41" spans="1:59" x14ac:dyDescent="0.25">
      <c r="B41">
        <v>700</v>
      </c>
      <c r="C41">
        <f>'Wetland Design'!F147</f>
        <v>3920.9929573971958</v>
      </c>
      <c r="D41">
        <f t="shared" si="29"/>
        <v>3921</v>
      </c>
      <c r="AF41"/>
      <c r="AT41"/>
      <c r="BG41"/>
    </row>
    <row r="42" spans="1:59" x14ac:dyDescent="0.25">
      <c r="B42">
        <v>800</v>
      </c>
      <c r="C42">
        <f>'Wetland Design'!F148</f>
        <v>4475.8946638440411</v>
      </c>
      <c r="D42">
        <f t="shared" si="29"/>
        <v>4475.9000000000005</v>
      </c>
      <c r="AF42"/>
      <c r="AT42"/>
      <c r="BG42"/>
    </row>
    <row r="43" spans="1:59" x14ac:dyDescent="0.25">
      <c r="B43">
        <v>1000</v>
      </c>
      <c r="C43">
        <f>'Wetland Design'!F149</f>
        <v>5584.8528137423855</v>
      </c>
      <c r="D43">
        <f t="shared" si="29"/>
        <v>5584.9000000000005</v>
      </c>
      <c r="AF43"/>
      <c r="AT43"/>
      <c r="BG43"/>
    </row>
    <row r="44" spans="1:59" x14ac:dyDescent="0.25">
      <c r="A44" t="s">
        <v>898</v>
      </c>
      <c r="AF44"/>
      <c r="AT44"/>
      <c r="BG44"/>
    </row>
    <row r="45" spans="1:59" x14ac:dyDescent="0.25">
      <c r="A45" t="str">
        <f>'Wetland Design'!B187</f>
        <v>PE</v>
      </c>
      <c r="B45" t="str">
        <f>'Wetland Design'!G187</f>
        <v>Pipe Length</v>
      </c>
      <c r="C45" t="str">
        <f>'Wetland Design'!H187</f>
        <v>Tee Joints</v>
      </c>
      <c r="D45" t="str">
        <f>'Wetland Design'!I187</f>
        <v>Elbows</v>
      </c>
      <c r="E45" t="s">
        <v>890</v>
      </c>
      <c r="AF45"/>
      <c r="AT45"/>
      <c r="BG45"/>
    </row>
    <row r="46" spans="1:59" x14ac:dyDescent="0.25">
      <c r="A46">
        <f>'Wetland Design'!B188</f>
        <v>5</v>
      </c>
      <c r="B46">
        <f>'Wetland Design'!G188</f>
        <v>30.5</v>
      </c>
      <c r="C46">
        <f>'Wetland Design'!H188</f>
        <v>5</v>
      </c>
      <c r="D46">
        <f>'Wetland Design'!I188</f>
        <v>5</v>
      </c>
      <c r="E46">
        <f>'Wetland Design'!E188</f>
        <v>16</v>
      </c>
      <c r="U46" s="18"/>
      <c r="V46" s="18"/>
      <c r="AF46"/>
      <c r="AT46"/>
      <c r="BG46"/>
    </row>
    <row r="47" spans="1:59" x14ac:dyDescent="0.25">
      <c r="A47">
        <f>'Wetland Design'!B189</f>
        <v>10</v>
      </c>
      <c r="B47">
        <f>'Wetland Design'!G189</f>
        <v>57.068542494923804</v>
      </c>
      <c r="C47">
        <f>'Wetland Design'!H189</f>
        <v>9</v>
      </c>
      <c r="D47">
        <f>'Wetland Design'!I189</f>
        <v>5</v>
      </c>
      <c r="E47">
        <f>'Wetland Design'!E189</f>
        <v>34</v>
      </c>
      <c r="AF47"/>
      <c r="AT47"/>
      <c r="BG47"/>
    </row>
    <row r="48" spans="1:59" x14ac:dyDescent="0.25">
      <c r="A48">
        <f>'Wetland Design'!B190</f>
        <v>20</v>
      </c>
      <c r="B48">
        <f>'Wetland Design'!G190</f>
        <v>100.5</v>
      </c>
      <c r="C48">
        <f>'Wetland Design'!H190</f>
        <v>13</v>
      </c>
      <c r="D48">
        <f>'Wetland Design'!I190</f>
        <v>5</v>
      </c>
      <c r="E48">
        <f>'Wetland Design'!E190</f>
        <v>64</v>
      </c>
      <c r="AF48"/>
      <c r="AT48"/>
      <c r="BG48"/>
    </row>
    <row r="49" spans="1:59" x14ac:dyDescent="0.25">
      <c r="A49">
        <f>'Wetland Design'!B191</f>
        <v>30</v>
      </c>
      <c r="B49">
        <f>'Wetland Design'!G191</f>
        <v>147.46938456699067</v>
      </c>
      <c r="C49">
        <f>'Wetland Design'!H191</f>
        <v>17</v>
      </c>
      <c r="D49">
        <f>'Wetland Design'!I191</f>
        <v>5</v>
      </c>
      <c r="E49">
        <f>'Wetland Design'!E191</f>
        <v>98</v>
      </c>
      <c r="AF49"/>
      <c r="AT49"/>
      <c r="BG49"/>
    </row>
    <row r="50" spans="1:59" x14ac:dyDescent="0.25">
      <c r="A50">
        <f>'Wetland Design'!B192</f>
        <v>50</v>
      </c>
      <c r="B50">
        <f>'Wetland Design'!G192</f>
        <v>237.67082451262846</v>
      </c>
      <c r="C50">
        <f>'Wetland Design'!H192</f>
        <v>23</v>
      </c>
      <c r="D50">
        <f>'Wetland Design'!I192</f>
        <v>5</v>
      </c>
      <c r="E50">
        <f>'Wetland Design'!E192</f>
        <v>165</v>
      </c>
      <c r="AF50"/>
      <c r="AT50"/>
      <c r="BG50"/>
    </row>
    <row r="51" spans="1:59" x14ac:dyDescent="0.25">
      <c r="A51">
        <f>'Wetland Design'!B193</f>
        <v>75</v>
      </c>
      <c r="B51">
        <f>'Wetland Design'!G193</f>
        <v>349.06850115866752</v>
      </c>
      <c r="C51">
        <f>'Wetland Design'!H193</f>
        <v>29</v>
      </c>
      <c r="D51">
        <f>'Wetland Design'!I193</f>
        <v>5</v>
      </c>
      <c r="E51">
        <f>'Wetland Design'!E193</f>
        <v>248</v>
      </c>
      <c r="AF51"/>
      <c r="AT51"/>
      <c r="BG51"/>
    </row>
    <row r="52" spans="1:59" x14ac:dyDescent="0.25">
      <c r="A52">
        <f>'Wetland Design'!B194</f>
        <v>100</v>
      </c>
      <c r="B52">
        <f>'Wetland Design'!G194</f>
        <v>447.71359549995793</v>
      </c>
      <c r="C52">
        <f>'Wetland Design'!H194</f>
        <v>33</v>
      </c>
      <c r="D52">
        <f>'Wetland Design'!I194</f>
        <v>5</v>
      </c>
      <c r="E52">
        <f>'Wetland Design'!E194</f>
        <v>322</v>
      </c>
      <c r="AF52"/>
      <c r="AT52"/>
      <c r="BG52"/>
    </row>
    <row r="53" spans="1:59" x14ac:dyDescent="0.25">
      <c r="A53">
        <f>'Wetland Design'!B195</f>
        <v>150</v>
      </c>
      <c r="B53">
        <f>'Wetland Design'!G195</f>
        <v>657.76706900619934</v>
      </c>
      <c r="C53">
        <f>'Wetland Design'!H195</f>
        <v>41</v>
      </c>
      <c r="D53">
        <f>'Wetland Design'!I195</f>
        <v>5</v>
      </c>
      <c r="E53">
        <f>'Wetland Design'!E195</f>
        <v>482</v>
      </c>
      <c r="AF53"/>
      <c r="AT53"/>
      <c r="BG53"/>
    </row>
    <row r="54" spans="1:59" x14ac:dyDescent="0.25">
      <c r="A54">
        <f>'Wetland Design'!B196</f>
        <v>200</v>
      </c>
      <c r="B54">
        <f>'Wetland Design'!G196</f>
        <v>885.93774484714618</v>
      </c>
      <c r="C54">
        <f>'Wetland Design'!H196</f>
        <v>49</v>
      </c>
      <c r="D54">
        <f>'Wetland Design'!I196</f>
        <v>5</v>
      </c>
      <c r="E54">
        <f>'Wetland Design'!E196</f>
        <v>658</v>
      </c>
      <c r="AF54"/>
      <c r="AT54"/>
      <c r="BG54"/>
    </row>
    <row r="55" spans="1:59" x14ac:dyDescent="0.25">
      <c r="A55">
        <f>'Wetland Design'!B197</f>
        <v>300</v>
      </c>
      <c r="B55">
        <f>'Wetland Design'!G197</f>
        <v>1278.5845042484475</v>
      </c>
      <c r="C55">
        <f>'Wetland Design'!H197</f>
        <v>59</v>
      </c>
      <c r="D55">
        <f>'Wetland Design'!I197</f>
        <v>5</v>
      </c>
      <c r="E55">
        <f>'Wetland Design'!E197</f>
        <v>961</v>
      </c>
      <c r="AF55"/>
      <c r="AT55"/>
      <c r="BG55"/>
    </row>
    <row r="56" spans="1:59" x14ac:dyDescent="0.25">
      <c r="A56">
        <f>'Wetland Design'!B198</f>
        <v>400</v>
      </c>
      <c r="B56">
        <f>'Wetland Design'!G198</f>
        <v>1699.9116628998402</v>
      </c>
      <c r="C56">
        <f>'Wetland Design'!H198</f>
        <v>69</v>
      </c>
      <c r="D56">
        <f>'Wetland Design'!I198</f>
        <v>5</v>
      </c>
      <c r="E56">
        <f>'Wetland Design'!E198</f>
        <v>1288</v>
      </c>
      <c r="AF56"/>
      <c r="AT56"/>
      <c r="BG56"/>
    </row>
    <row r="57" spans="1:59" x14ac:dyDescent="0.25">
      <c r="A57">
        <f>'Wetland Design'!B199</f>
        <v>500</v>
      </c>
      <c r="B57">
        <f>'Wetland Design'!G199</f>
        <v>2100.5</v>
      </c>
      <c r="C57">
        <f>'Wetland Design'!H199</f>
        <v>77</v>
      </c>
      <c r="D57">
        <f>'Wetland Design'!I199</f>
        <v>5</v>
      </c>
      <c r="E57">
        <f>'Wetland Design'!E199</f>
        <v>1600</v>
      </c>
      <c r="AF57"/>
      <c r="AT57"/>
      <c r="BG57"/>
    </row>
    <row r="58" spans="1:59" x14ac:dyDescent="0.25">
      <c r="A58">
        <f>'Wetland Design'!B200</f>
        <v>600</v>
      </c>
      <c r="B58">
        <f>'Wetland Design'!G200</f>
        <v>2520.0237645237644</v>
      </c>
      <c r="C58">
        <f>'Wetland Design'!H200</f>
        <v>85</v>
      </c>
      <c r="D58">
        <f>'Wetland Design'!I200</f>
        <v>5</v>
      </c>
      <c r="E58">
        <f>'Wetland Design'!E200</f>
        <v>1928</v>
      </c>
      <c r="AF58"/>
      <c r="AT58"/>
      <c r="BG58"/>
    </row>
    <row r="59" spans="1:59" x14ac:dyDescent="0.25">
      <c r="A59">
        <f>'Wetland Design'!B201</f>
        <v>700</v>
      </c>
      <c r="B59">
        <f>'Wetland Design'!G201</f>
        <v>2958.5398915498081</v>
      </c>
      <c r="C59">
        <f>'Wetland Design'!H201</f>
        <v>93</v>
      </c>
      <c r="D59">
        <f>'Wetland Design'!I201</f>
        <v>5</v>
      </c>
      <c r="E59">
        <f>'Wetland Design'!E201</f>
        <v>2272</v>
      </c>
      <c r="AF59"/>
      <c r="AT59"/>
      <c r="BG59"/>
    </row>
    <row r="60" spans="1:59" x14ac:dyDescent="0.25">
      <c r="A60">
        <f>'Wetland Design'!B202</f>
        <v>800</v>
      </c>
      <c r="B60">
        <f>'Wetland Design'!G202</f>
        <v>3352.5143197784819</v>
      </c>
      <c r="C60">
        <f>'Wetland Design'!H202</f>
        <v>99</v>
      </c>
      <c r="D60">
        <f>'Wetland Design'!I202</f>
        <v>5</v>
      </c>
      <c r="E60">
        <f>'Wetland Design'!E202</f>
        <v>2581</v>
      </c>
      <c r="AF60"/>
      <c r="AT60"/>
      <c r="BG60"/>
    </row>
    <row r="61" spans="1:59" x14ac:dyDescent="0.25">
      <c r="A61">
        <f>'Wetland Design'!B203</f>
        <v>1000</v>
      </c>
      <c r="B61">
        <f>'Wetland Design'!G203</f>
        <v>4172.4300090006309</v>
      </c>
      <c r="C61">
        <f>'Wetland Design'!H203</f>
        <v>111</v>
      </c>
      <c r="D61">
        <f>'Wetland Design'!I203</f>
        <v>5</v>
      </c>
      <c r="E61">
        <f>'Wetland Design'!E203</f>
        <v>3225</v>
      </c>
      <c r="AF61"/>
      <c r="AT61"/>
      <c r="BG61"/>
    </row>
    <row r="62" spans="1:59" x14ac:dyDescent="0.25">
      <c r="AF62"/>
      <c r="AT62"/>
      <c r="BG62"/>
    </row>
    <row r="63" spans="1:59" x14ac:dyDescent="0.25">
      <c r="A63" t="s">
        <v>899</v>
      </c>
      <c r="AF63"/>
      <c r="AT63"/>
      <c r="BG63"/>
    </row>
    <row r="64" spans="1:59" x14ac:dyDescent="0.25">
      <c r="B64" t="str">
        <f>'Wetland Design'!K187</f>
        <v>Pipe Length</v>
      </c>
      <c r="C64" t="str">
        <f>'Wetland Design'!L187</f>
        <v>Tee Joints</v>
      </c>
      <c r="D64" t="str">
        <f>'Wetland Design'!M187</f>
        <v>Elbows</v>
      </c>
      <c r="E64" t="s">
        <v>766</v>
      </c>
      <c r="AF64"/>
      <c r="AT64"/>
      <c r="BG64"/>
    </row>
    <row r="65" spans="2:59" x14ac:dyDescent="0.25">
      <c r="B65">
        <f>'Wetland Design'!K188</f>
        <v>28.6</v>
      </c>
      <c r="C65">
        <f>'Wetland Design'!L188</f>
        <v>2</v>
      </c>
      <c r="D65">
        <f>'Wetland Design'!M188</f>
        <v>6</v>
      </c>
      <c r="E65">
        <v>2</v>
      </c>
      <c r="AF65"/>
      <c r="AT65"/>
      <c r="BG65"/>
    </row>
    <row r="66" spans="2:59" x14ac:dyDescent="0.25">
      <c r="B66">
        <f>'Wetland Design'!K189</f>
        <v>54.897474683058327</v>
      </c>
      <c r="C66">
        <f>'Wetland Design'!L189</f>
        <v>4</v>
      </c>
      <c r="D66">
        <f>'Wetland Design'!M189</f>
        <v>8</v>
      </c>
      <c r="E66">
        <v>2</v>
      </c>
      <c r="AF66"/>
      <c r="AT66"/>
      <c r="BG66"/>
    </row>
    <row r="67" spans="2:59" x14ac:dyDescent="0.25">
      <c r="B67">
        <f>'Wetland Design'!K190</f>
        <v>97.2</v>
      </c>
      <c r="C67">
        <f>'Wetland Design'!L190</f>
        <v>6</v>
      </c>
      <c r="D67">
        <f>'Wetland Design'!M190</f>
        <v>10</v>
      </c>
      <c r="E67">
        <v>2</v>
      </c>
      <c r="AF67"/>
      <c r="AT67"/>
      <c r="BG67"/>
    </row>
    <row r="68" spans="2:59" x14ac:dyDescent="0.25">
      <c r="B68">
        <f>'Wetland Design'!K191</f>
        <v>143.7219358530748</v>
      </c>
      <c r="C68">
        <f>'Wetland Design'!L191</f>
        <v>8</v>
      </c>
      <c r="D68">
        <f>'Wetland Design'!M191</f>
        <v>12</v>
      </c>
      <c r="E68">
        <v>2</v>
      </c>
      <c r="AF68"/>
      <c r="AT68"/>
      <c r="BG68"/>
    </row>
    <row r="69" spans="2:59" x14ac:dyDescent="0.25">
      <c r="B69">
        <f>'Wetland Design'!K192</f>
        <v>233.05943621178653</v>
      </c>
      <c r="C69">
        <f>'Wetland Design'!L192</f>
        <v>11</v>
      </c>
      <c r="D69">
        <f>'Wetland Design'!M192</f>
        <v>15</v>
      </c>
      <c r="E69">
        <v>2</v>
      </c>
      <c r="AF69"/>
      <c r="AT69"/>
      <c r="BG69"/>
    </row>
    <row r="70" spans="2:59" x14ac:dyDescent="0.25">
      <c r="B70">
        <f>'Wetland Design'!K193</f>
        <v>343.60358442763038</v>
      </c>
      <c r="C70">
        <f>'Wetland Design'!L193</f>
        <v>14</v>
      </c>
      <c r="D70">
        <f>'Wetland Design'!M193</f>
        <v>18</v>
      </c>
      <c r="E70">
        <v>2</v>
      </c>
      <c r="AF70"/>
      <c r="AT70"/>
      <c r="BG70"/>
    </row>
    <row r="71" spans="2:59" x14ac:dyDescent="0.25">
      <c r="B71">
        <f>'Wetland Design'!K194</f>
        <v>441.05291572496003</v>
      </c>
      <c r="C71">
        <f>'Wetland Design'!L194</f>
        <v>16</v>
      </c>
      <c r="D71">
        <f>'Wetland Design'!M194</f>
        <v>20</v>
      </c>
      <c r="E71">
        <v>2</v>
      </c>
      <c r="AF71"/>
      <c r="AT71"/>
      <c r="BG71"/>
    </row>
    <row r="72" spans="2:59" x14ac:dyDescent="0.25">
      <c r="B72">
        <f>'Wetland Design'!K195</f>
        <v>649.68094113094105</v>
      </c>
      <c r="C72">
        <f>'Wetland Design'!L195</f>
        <v>20</v>
      </c>
      <c r="D72">
        <f>'Wetland Design'!M195</f>
        <v>24</v>
      </c>
      <c r="E72">
        <v>2</v>
      </c>
      <c r="AF72"/>
      <c r="AT72"/>
      <c r="BG72"/>
    </row>
    <row r="73" spans="2:59" x14ac:dyDescent="0.25">
      <c r="B73">
        <f>'Wetland Design'!K196</f>
        <v>877.21496824546239</v>
      </c>
      <c r="C73">
        <f>'Wetland Design'!L196</f>
        <v>24</v>
      </c>
      <c r="D73">
        <f>'Wetland Design'!M196</f>
        <v>28</v>
      </c>
      <c r="E73">
        <v>2</v>
      </c>
      <c r="AF73"/>
      <c r="AT73"/>
      <c r="BG73"/>
    </row>
    <row r="74" spans="2:59" x14ac:dyDescent="0.25">
      <c r="B74">
        <f>'Wetland Design'!K197</f>
        <v>1267.2546707863735</v>
      </c>
      <c r="C74">
        <f>'Wetland Design'!L197</f>
        <v>29</v>
      </c>
      <c r="D74">
        <f>'Wetland Design'!M197</f>
        <v>33</v>
      </c>
      <c r="E74">
        <v>2</v>
      </c>
      <c r="AF74"/>
      <c r="AT74"/>
      <c r="BG74"/>
    </row>
    <row r="75" spans="2:59" x14ac:dyDescent="0.25">
      <c r="B75">
        <f>'Wetland Design'!K198</f>
        <v>1687.0903033498446</v>
      </c>
      <c r="C75">
        <f>'Wetland Design'!L198</f>
        <v>34</v>
      </c>
      <c r="D75">
        <f>'Wetland Design'!M198</f>
        <v>38</v>
      </c>
      <c r="E75">
        <v>2</v>
      </c>
      <c r="AF75"/>
      <c r="AT75"/>
      <c r="BG75"/>
    </row>
    <row r="76" spans="2:59" x14ac:dyDescent="0.25">
      <c r="B76">
        <f>'Wetland Design'!K199</f>
        <v>2086</v>
      </c>
      <c r="C76">
        <f>'Wetland Design'!L199</f>
        <v>38</v>
      </c>
      <c r="D76">
        <f>'Wetland Design'!M199</f>
        <v>42</v>
      </c>
      <c r="E76">
        <v>2</v>
      </c>
      <c r="AF76"/>
      <c r="AT76"/>
      <c r="BG76"/>
    </row>
    <row r="77" spans="2:59" x14ac:dyDescent="0.25">
      <c r="B77">
        <f>'Wetland Design'!K200</f>
        <v>2504.3515087732476</v>
      </c>
      <c r="C77">
        <f>'Wetland Design'!L200</f>
        <v>42</v>
      </c>
      <c r="D77">
        <f>'Wetland Design'!M200</f>
        <v>46</v>
      </c>
      <c r="E77">
        <v>2</v>
      </c>
      <c r="AF77"/>
      <c r="AT77"/>
      <c r="BG77"/>
    </row>
    <row r="78" spans="2:59" x14ac:dyDescent="0.25">
      <c r="B78">
        <f>'Wetland Design'!K201</f>
        <v>2942.0790937188117</v>
      </c>
      <c r="C78">
        <f>'Wetland Design'!L201</f>
        <v>46</v>
      </c>
      <c r="D78">
        <f>'Wetland Design'!M201</f>
        <v>50</v>
      </c>
      <c r="E78">
        <v>2</v>
      </c>
      <c r="AF78"/>
      <c r="AT78"/>
      <c r="BG78"/>
    </row>
    <row r="79" spans="2:59" x14ac:dyDescent="0.25">
      <c r="B79">
        <f>'Wetland Design'!K202</f>
        <v>3334.6687665751147</v>
      </c>
      <c r="C79">
        <f>'Wetland Design'!L202</f>
        <v>49</v>
      </c>
      <c r="D79">
        <f>'Wetland Design'!M202</f>
        <v>53</v>
      </c>
      <c r="E79">
        <v>2</v>
      </c>
      <c r="AF79"/>
      <c r="AT79"/>
      <c r="BG79"/>
    </row>
    <row r="80" spans="2:59" x14ac:dyDescent="0.25">
      <c r="B80">
        <f>'Wetland Design'!K203</f>
        <v>4152.5193308819762</v>
      </c>
      <c r="C80">
        <f>'Wetland Design'!L203</f>
        <v>55</v>
      </c>
      <c r="D80">
        <f>'Wetland Design'!M203</f>
        <v>59</v>
      </c>
      <c r="E80">
        <v>2</v>
      </c>
      <c r="AF80"/>
      <c r="AT80"/>
      <c r="BG80"/>
    </row>
    <row r="81" spans="1:172" x14ac:dyDescent="0.25">
      <c r="AF81"/>
      <c r="AT81"/>
      <c r="BG81"/>
    </row>
    <row r="82" spans="1:172" x14ac:dyDescent="0.25">
      <c r="AF82"/>
      <c r="AT82"/>
      <c r="BG82"/>
    </row>
    <row r="83" spans="1:172" ht="15.75" thickBot="1" x14ac:dyDescent="0.3">
      <c r="AF83"/>
      <c r="AT83"/>
      <c r="BG83"/>
    </row>
    <row r="84" spans="1:172" s="88" customFormat="1" ht="21.75" thickBot="1" x14ac:dyDescent="0.4">
      <c r="A84" s="86"/>
      <c r="B84" s="87" t="s">
        <v>855</v>
      </c>
      <c r="G84" s="90"/>
      <c r="H84" s="138" t="s">
        <v>55</v>
      </c>
      <c r="I84" s="138"/>
      <c r="J84" s="138"/>
      <c r="K84" s="138"/>
      <c r="L84" s="138"/>
      <c r="M84" s="138"/>
      <c r="N84" s="138"/>
      <c r="O84" s="138"/>
      <c r="P84" s="138"/>
      <c r="Q84" s="138"/>
      <c r="R84" s="139"/>
      <c r="S84" s="137" t="s">
        <v>135</v>
      </c>
      <c r="T84" s="138"/>
      <c r="U84" s="138"/>
      <c r="V84" s="138"/>
      <c r="W84" s="138"/>
      <c r="X84" s="138"/>
      <c r="Y84" s="138"/>
      <c r="Z84" s="138"/>
      <c r="AA84" s="138"/>
      <c r="AB84" s="138"/>
      <c r="AC84" s="139"/>
      <c r="AD84" s="137" t="s">
        <v>165</v>
      </c>
      <c r="AE84" s="138"/>
      <c r="AF84" s="138"/>
      <c r="AG84" s="138"/>
      <c r="AH84" s="138"/>
      <c r="AI84" s="138"/>
      <c r="AJ84" s="138"/>
      <c r="AK84" s="138"/>
      <c r="AL84" s="138"/>
      <c r="AM84" s="138"/>
      <c r="AN84" s="139"/>
      <c r="AO84" s="137" t="s">
        <v>275</v>
      </c>
      <c r="AP84" s="138"/>
      <c r="AQ84" s="138"/>
      <c r="AR84" s="138"/>
      <c r="AS84" s="138"/>
      <c r="AT84" s="138"/>
      <c r="AU84" s="138"/>
      <c r="AV84" s="138"/>
      <c r="AW84" s="138"/>
      <c r="AX84" s="138"/>
      <c r="AY84" s="139"/>
      <c r="AZ84" s="137" t="s">
        <v>294</v>
      </c>
      <c r="BA84" s="138"/>
      <c r="BB84" s="138"/>
      <c r="BC84" s="138"/>
      <c r="BD84" s="138"/>
      <c r="BE84" s="138"/>
      <c r="BF84" s="138"/>
      <c r="BG84" s="138"/>
      <c r="BH84" s="138"/>
      <c r="BI84" s="138"/>
      <c r="BJ84" s="139"/>
      <c r="BK84" s="137" t="s">
        <v>303</v>
      </c>
      <c r="BL84" s="138"/>
      <c r="BM84" s="138"/>
      <c r="BN84" s="138"/>
      <c r="BO84" s="138"/>
      <c r="BP84" s="138"/>
      <c r="BQ84" s="138"/>
      <c r="BR84" s="138"/>
      <c r="BS84" s="138"/>
      <c r="BT84" s="138"/>
      <c r="BU84" s="139"/>
      <c r="BV84" s="137" t="s">
        <v>311</v>
      </c>
      <c r="BW84" s="138"/>
      <c r="BX84" s="138"/>
      <c r="BY84" s="138"/>
      <c r="BZ84" s="138"/>
      <c r="CA84" s="138"/>
      <c r="CB84" s="138"/>
      <c r="CC84" s="138"/>
      <c r="CD84" s="138"/>
      <c r="CE84" s="138"/>
      <c r="CF84" s="139"/>
      <c r="CG84" s="137" t="s">
        <v>740</v>
      </c>
      <c r="CH84" s="138"/>
      <c r="CI84" s="138"/>
      <c r="CJ84" s="138"/>
      <c r="CK84" s="138"/>
      <c r="CL84" s="138"/>
      <c r="CM84" s="138"/>
      <c r="CN84" s="138"/>
      <c r="CO84" s="138"/>
      <c r="CP84" s="138"/>
      <c r="CQ84" s="139"/>
      <c r="CR84" s="137" t="s">
        <v>741</v>
      </c>
      <c r="CS84" s="138"/>
      <c r="CT84" s="138"/>
      <c r="CU84" s="138"/>
      <c r="CV84" s="138"/>
      <c r="CW84" s="138"/>
      <c r="CX84" s="138"/>
      <c r="CY84" s="138"/>
      <c r="CZ84" s="138"/>
      <c r="DA84" s="138"/>
      <c r="DB84" s="139"/>
      <c r="DC84" s="137" t="s">
        <v>742</v>
      </c>
      <c r="DD84" s="138"/>
      <c r="DE84" s="138"/>
      <c r="DF84" s="138"/>
      <c r="DG84" s="138"/>
      <c r="DH84" s="138"/>
      <c r="DI84" s="138"/>
      <c r="DJ84" s="138"/>
      <c r="DK84" s="138"/>
      <c r="DL84" s="138"/>
      <c r="DM84" s="139"/>
      <c r="DN84" s="137" t="s">
        <v>743</v>
      </c>
      <c r="DO84" s="138"/>
      <c r="DP84" s="138"/>
      <c r="DQ84" s="138"/>
      <c r="DR84" s="138"/>
      <c r="DS84" s="138"/>
      <c r="DT84" s="138"/>
      <c r="DU84" s="138"/>
      <c r="DV84" s="138"/>
      <c r="DW84" s="138"/>
      <c r="DX84" s="139"/>
      <c r="DY84" s="137" t="s">
        <v>744</v>
      </c>
      <c r="DZ84" s="138"/>
      <c r="EA84" s="138"/>
      <c r="EB84" s="138"/>
      <c r="EC84" s="138"/>
      <c r="ED84" s="138"/>
      <c r="EE84" s="138"/>
      <c r="EF84" s="138"/>
      <c r="EG84" s="138"/>
      <c r="EH84" s="138"/>
      <c r="EI84" s="139"/>
      <c r="EJ84" s="137" t="s">
        <v>745</v>
      </c>
      <c r="EK84" s="138"/>
      <c r="EL84" s="138"/>
      <c r="EM84" s="138"/>
      <c r="EN84" s="138"/>
      <c r="EO84" s="138"/>
      <c r="EP84" s="138"/>
      <c r="EQ84" s="138"/>
      <c r="ER84" s="138"/>
      <c r="ES84" s="138"/>
      <c r="ET84" s="139"/>
      <c r="EU84" s="137" t="s">
        <v>746</v>
      </c>
      <c r="EV84" s="138"/>
      <c r="EW84" s="138"/>
      <c r="EX84" s="138"/>
      <c r="EY84" s="138"/>
      <c r="EZ84" s="138"/>
      <c r="FA84" s="138"/>
      <c r="FB84" s="138"/>
      <c r="FC84" s="138"/>
      <c r="FD84" s="138"/>
      <c r="FE84" s="139"/>
      <c r="FF84" s="137" t="s">
        <v>747</v>
      </c>
      <c r="FG84" s="138"/>
      <c r="FH84" s="138"/>
      <c r="FI84" s="138"/>
      <c r="FJ84" s="138"/>
      <c r="FK84" s="138"/>
      <c r="FL84" s="138"/>
      <c r="FM84" s="138"/>
      <c r="FN84" s="138"/>
      <c r="FO84" s="138"/>
      <c r="FP84" s="139"/>
    </row>
    <row r="85" spans="1:172" x14ac:dyDescent="0.25">
      <c r="AF85"/>
      <c r="AT85"/>
      <c r="BG85"/>
      <c r="FP85"/>
    </row>
    <row r="86" spans="1:172" x14ac:dyDescent="0.25">
      <c r="A86" t="s">
        <v>156</v>
      </c>
      <c r="B86" t="s">
        <v>618</v>
      </c>
      <c r="C86" t="s">
        <v>150</v>
      </c>
      <c r="D86" t="s">
        <v>116</v>
      </c>
      <c r="E86" t="s">
        <v>63</v>
      </c>
      <c r="F86" t="s">
        <v>607</v>
      </c>
      <c r="AF86"/>
      <c r="AT86"/>
      <c r="BG86"/>
      <c r="CH86" s="10" t="s">
        <v>732</v>
      </c>
      <c r="CN86" t="s">
        <v>61</v>
      </c>
      <c r="CS86" s="10" t="s">
        <v>732</v>
      </c>
      <c r="CY86" t="s">
        <v>61</v>
      </c>
      <c r="DD86" s="10" t="s">
        <v>732</v>
      </c>
      <c r="DJ86" t="s">
        <v>61</v>
      </c>
      <c r="DO86" s="10" t="s">
        <v>732</v>
      </c>
      <c r="DU86" t="s">
        <v>61</v>
      </c>
      <c r="DZ86" s="10" t="s">
        <v>732</v>
      </c>
      <c r="EF86" t="s">
        <v>61</v>
      </c>
      <c r="EK86" s="10" t="s">
        <v>732</v>
      </c>
      <c r="EQ86" t="s">
        <v>61</v>
      </c>
      <c r="EV86" s="10" t="s">
        <v>732</v>
      </c>
      <c r="FB86" t="s">
        <v>61</v>
      </c>
      <c r="FH86" s="10" t="s">
        <v>732</v>
      </c>
      <c r="FN86" t="s">
        <v>61</v>
      </c>
      <c r="FP86"/>
    </row>
    <row r="87" spans="1:172" x14ac:dyDescent="0.25">
      <c r="A87">
        <v>5</v>
      </c>
      <c r="B87">
        <f>'Wetland Design'!I102</f>
        <v>1</v>
      </c>
      <c r="C87">
        <f>'Wetland Design'!J102</f>
        <v>5</v>
      </c>
      <c r="D87">
        <f>'Wetland Design'!K102</f>
        <v>5</v>
      </c>
      <c r="E87">
        <f>'Wetland Design'!L102</f>
        <v>0.8</v>
      </c>
      <c r="F87">
        <f>'Wetland Design'!M102</f>
        <v>0.3</v>
      </c>
      <c r="AF87"/>
      <c r="AT87"/>
      <c r="BG87"/>
      <c r="FP87"/>
    </row>
    <row r="88" spans="1:172" x14ac:dyDescent="0.25">
      <c r="A88">
        <v>10</v>
      </c>
      <c r="B88">
        <f>'Wetland Design'!I103</f>
        <v>1</v>
      </c>
      <c r="C88">
        <f>'Wetland Design'!J103</f>
        <v>7.1</v>
      </c>
      <c r="D88">
        <f>'Wetland Design'!K103</f>
        <v>7.1</v>
      </c>
      <c r="E88">
        <f>'Wetland Design'!L103</f>
        <v>0.8</v>
      </c>
      <c r="F88">
        <f>'Wetland Design'!M103</f>
        <v>0.3</v>
      </c>
      <c r="AF88"/>
      <c r="AT88"/>
      <c r="BG88"/>
      <c r="CH88" t="s">
        <v>14</v>
      </c>
      <c r="CI88">
        <f>CO100</f>
        <v>827.99200000000019</v>
      </c>
      <c r="CJ88">
        <f>Index!$C$69</f>
        <v>11.9580460758</v>
      </c>
      <c r="CK88">
        <f t="shared" ref="CK88:CK94" si="30">CJ88</f>
        <v>11.9580460758</v>
      </c>
      <c r="CL88">
        <f t="shared" ref="CL88:CL94" si="31">CK88*CI88</f>
        <v>9901.1664863937967</v>
      </c>
      <c r="CS88" t="s">
        <v>14</v>
      </c>
      <c r="CT88">
        <f>CZ100</f>
        <v>1103.8720000000003</v>
      </c>
      <c r="CU88">
        <f>Index!$C$69</f>
        <v>11.9580460758</v>
      </c>
      <c r="CV88">
        <f t="shared" ref="CV88:CV94" si="32">CU88</f>
        <v>11.9580460758</v>
      </c>
      <c r="CW88">
        <f t="shared" ref="CW88:CW94" si="33">CV88*CT88</f>
        <v>13200.152237785502</v>
      </c>
      <c r="DD88" t="s">
        <v>14</v>
      </c>
      <c r="DE88">
        <f>DK100</f>
        <v>1655.8080000000004</v>
      </c>
      <c r="DF88">
        <f>Index!$C$69</f>
        <v>11.9580460758</v>
      </c>
      <c r="DG88">
        <f t="shared" ref="DG88:DG94" si="34">DF88</f>
        <v>11.9580460758</v>
      </c>
      <c r="DH88">
        <f t="shared" ref="DH88:DH94" si="35">DG88*DE88</f>
        <v>19800.228356678253</v>
      </c>
      <c r="DO88" t="s">
        <v>14</v>
      </c>
      <c r="DP88">
        <f>DV100</f>
        <v>2207.7440000000006</v>
      </c>
      <c r="DQ88">
        <f>Index!$C$69</f>
        <v>11.9580460758</v>
      </c>
      <c r="DR88">
        <f t="shared" ref="DR88:DR94" si="36">DQ88</f>
        <v>11.9580460758</v>
      </c>
      <c r="DS88">
        <f t="shared" ref="DS88:DS94" si="37">DR88*DP88</f>
        <v>26400.304475571003</v>
      </c>
      <c r="DZ88" t="s">
        <v>14</v>
      </c>
      <c r="EA88">
        <f>EG100</f>
        <v>2750</v>
      </c>
      <c r="EB88">
        <f>Index!$C$69</f>
        <v>11.9580460758</v>
      </c>
      <c r="EC88">
        <f t="shared" ref="EC88:EC94" si="38">EB88</f>
        <v>11.9580460758</v>
      </c>
      <c r="ED88">
        <f t="shared" ref="ED88:ED94" si="39">EC88*EA88</f>
        <v>32884.62670845</v>
      </c>
      <c r="EK88" t="s">
        <v>14</v>
      </c>
      <c r="EL88">
        <f>ER100</f>
        <v>3301.3750000000005</v>
      </c>
      <c r="EM88">
        <f>Index!$C$69</f>
        <v>11.9580460758</v>
      </c>
      <c r="EN88">
        <f t="shared" ref="EN88:EN94" si="40">EM88</f>
        <v>11.9580460758</v>
      </c>
      <c r="EO88">
        <f t="shared" ref="EO88:EO94" si="41">EN88*EL88</f>
        <v>39477.994363494232</v>
      </c>
      <c r="EV88" t="s">
        <v>14</v>
      </c>
      <c r="EW88">
        <f>FC100</f>
        <v>3865.2240000000011</v>
      </c>
      <c r="EX88">
        <f>Index!$C$69</f>
        <v>11.9580460758</v>
      </c>
      <c r="EY88">
        <f t="shared" ref="EY88:EY94" si="42">EX88</f>
        <v>11.9580460758</v>
      </c>
      <c r="EZ88">
        <f t="shared" ref="EZ88:EZ94" si="43">EY88*EW88</f>
        <v>46220.526685287994</v>
      </c>
      <c r="FH88" t="s">
        <v>14</v>
      </c>
      <c r="FI88">
        <f>FO100</f>
        <v>4435.2</v>
      </c>
      <c r="FJ88">
        <f>Index!$C$69</f>
        <v>11.9580460758</v>
      </c>
      <c r="FK88">
        <f t="shared" ref="FK88:FK94" si="44">FJ88</f>
        <v>11.9580460758</v>
      </c>
      <c r="FL88">
        <f t="shared" ref="FL88:FL94" si="45">FK88*FI88</f>
        <v>53036.325955388158</v>
      </c>
      <c r="FP88"/>
    </row>
    <row r="89" spans="1:172" x14ac:dyDescent="0.25">
      <c r="A89">
        <v>20</v>
      </c>
      <c r="B89">
        <f>'Wetland Design'!I104</f>
        <v>1</v>
      </c>
      <c r="C89">
        <f>'Wetland Design'!J104</f>
        <v>10</v>
      </c>
      <c r="D89">
        <f>'Wetland Design'!K104</f>
        <v>10</v>
      </c>
      <c r="E89">
        <f>'Wetland Design'!L104</f>
        <v>0.8</v>
      </c>
      <c r="F89">
        <f>'Wetland Design'!M104</f>
        <v>0.3</v>
      </c>
      <c r="AF89"/>
      <c r="AT89"/>
      <c r="BG89"/>
      <c r="CH89" t="s">
        <v>112</v>
      </c>
      <c r="CI89">
        <f>$D$106</f>
        <v>874.55200000000013</v>
      </c>
      <c r="CJ89">
        <f>Index!$C$57</f>
        <v>2.0490500744999993</v>
      </c>
      <c r="CK89">
        <f t="shared" si="30"/>
        <v>2.0490500744999993</v>
      </c>
      <c r="CL89">
        <f t="shared" si="31"/>
        <v>1792.0008407541236</v>
      </c>
      <c r="CN89" t="s">
        <v>678</v>
      </c>
      <c r="CO89" t="s">
        <v>191</v>
      </c>
      <c r="CS89" t="s">
        <v>112</v>
      </c>
      <c r="CT89">
        <f>$D$107</f>
        <v>1157.6320000000003</v>
      </c>
      <c r="CU89">
        <f>Index!$C$57</f>
        <v>2.0490500744999993</v>
      </c>
      <c r="CV89">
        <f t="shared" si="32"/>
        <v>2.0490500744999993</v>
      </c>
      <c r="CW89">
        <f t="shared" si="33"/>
        <v>2372.0459358435837</v>
      </c>
      <c r="CY89" t="s">
        <v>678</v>
      </c>
      <c r="CZ89" t="s">
        <v>191</v>
      </c>
      <c r="DD89" t="s">
        <v>112</v>
      </c>
      <c r="DE89">
        <f>$D$108</f>
        <v>1736.4480000000003</v>
      </c>
      <c r="DF89">
        <f>Index!$C$57</f>
        <v>2.0490500744999993</v>
      </c>
      <c r="DG89">
        <f t="shared" si="34"/>
        <v>2.0490500744999993</v>
      </c>
      <c r="DH89">
        <f t="shared" si="35"/>
        <v>3558.0689037653756</v>
      </c>
      <c r="DJ89" t="s">
        <v>678</v>
      </c>
      <c r="DK89" t="s">
        <v>191</v>
      </c>
      <c r="DO89" t="s">
        <v>112</v>
      </c>
      <c r="DP89">
        <f>$D$109</f>
        <v>2315.2640000000006</v>
      </c>
      <c r="DQ89">
        <f>Index!$C$57</f>
        <v>2.0490500744999993</v>
      </c>
      <c r="DR89">
        <f t="shared" si="36"/>
        <v>2.0490500744999993</v>
      </c>
      <c r="DS89">
        <f t="shared" si="37"/>
        <v>4744.0918716871674</v>
      </c>
      <c r="DU89" t="s">
        <v>678</v>
      </c>
      <c r="DV89" t="s">
        <v>191</v>
      </c>
      <c r="DZ89" t="s">
        <v>112</v>
      </c>
      <c r="EA89">
        <f>$D$110</f>
        <v>2870</v>
      </c>
      <c r="EB89">
        <f>Index!$C$57</f>
        <v>2.0490500744999993</v>
      </c>
      <c r="EC89">
        <f t="shared" si="38"/>
        <v>2.0490500744999993</v>
      </c>
      <c r="ED89">
        <f t="shared" si="39"/>
        <v>5880.7737138149978</v>
      </c>
      <c r="EF89" t="s">
        <v>678</v>
      </c>
      <c r="EG89" t="s">
        <v>191</v>
      </c>
      <c r="EK89" t="s">
        <v>112</v>
      </c>
      <c r="EL89">
        <f>$D$111</f>
        <v>3448.3750000000005</v>
      </c>
      <c r="EM89">
        <f>Index!$C$57</f>
        <v>2.0490500744999993</v>
      </c>
      <c r="EN89">
        <f t="shared" si="40"/>
        <v>2.0490500744999993</v>
      </c>
      <c r="EO89">
        <f t="shared" si="41"/>
        <v>7065.8930506539364</v>
      </c>
      <c r="EQ89" t="s">
        <v>678</v>
      </c>
      <c r="ER89" t="s">
        <v>191</v>
      </c>
      <c r="EV89" t="s">
        <v>112</v>
      </c>
      <c r="EW89">
        <f>$D$112</f>
        <v>4039.4640000000009</v>
      </c>
      <c r="EX89">
        <f>Index!$C$57</f>
        <v>2.0490500744999993</v>
      </c>
      <c r="EY89">
        <f t="shared" si="42"/>
        <v>2.0490500744999993</v>
      </c>
      <c r="EZ89">
        <f t="shared" si="43"/>
        <v>8277.0640101400677</v>
      </c>
      <c r="FB89" t="s">
        <v>678</v>
      </c>
      <c r="FC89" t="s">
        <v>191</v>
      </c>
      <c r="FH89" t="s">
        <v>112</v>
      </c>
      <c r="FI89">
        <f>$D$113</f>
        <v>4636.8</v>
      </c>
      <c r="FJ89">
        <f>Index!$C$57</f>
        <v>2.0490500744999993</v>
      </c>
      <c r="FK89">
        <f t="shared" si="44"/>
        <v>2.0490500744999993</v>
      </c>
      <c r="FL89">
        <f t="shared" si="45"/>
        <v>9501.0353854415971</v>
      </c>
      <c r="FN89" t="s">
        <v>678</v>
      </c>
      <c r="FO89" t="s">
        <v>191</v>
      </c>
      <c r="FP89"/>
    </row>
    <row r="90" spans="1:172" x14ac:dyDescent="0.25">
      <c r="A90">
        <v>30</v>
      </c>
      <c r="B90">
        <f>'Wetland Design'!I105</f>
        <v>1</v>
      </c>
      <c r="C90">
        <f>'Wetland Design'!J105</f>
        <v>12.299999999999999</v>
      </c>
      <c r="D90">
        <f>'Wetland Design'!K105</f>
        <v>12.299999999999999</v>
      </c>
      <c r="E90">
        <f>'Wetland Design'!L105</f>
        <v>0.8</v>
      </c>
      <c r="F90">
        <f>'Wetland Design'!M105</f>
        <v>0.3</v>
      </c>
      <c r="AF90"/>
      <c r="AT90"/>
      <c r="BG90"/>
      <c r="CH90" t="s">
        <v>775</v>
      </c>
      <c r="CI90">
        <f>CI89</f>
        <v>874.55200000000013</v>
      </c>
      <c r="CJ90">
        <f>Index!$C$59</f>
        <v>5.201434804499999</v>
      </c>
      <c r="CK90">
        <f t="shared" si="30"/>
        <v>5.201434804499999</v>
      </c>
      <c r="CL90">
        <f t="shared" si="31"/>
        <v>4548.9252111450842</v>
      </c>
      <c r="CN90" t="s">
        <v>150</v>
      </c>
      <c r="CO90" s="7">
        <f>$C$94</f>
        <v>19.400000000000002</v>
      </c>
      <c r="CP90" t="s">
        <v>191</v>
      </c>
      <c r="CS90" t="s">
        <v>775</v>
      </c>
      <c r="CT90">
        <f>CT89</f>
        <v>1157.6320000000003</v>
      </c>
      <c r="CU90">
        <f>Index!$C$59</f>
        <v>5.201434804499999</v>
      </c>
      <c r="CV90">
        <f t="shared" si="32"/>
        <v>5.201434804499999</v>
      </c>
      <c r="CW90">
        <f t="shared" si="33"/>
        <v>6021.3473756029443</v>
      </c>
      <c r="CY90" t="s">
        <v>150</v>
      </c>
      <c r="CZ90" s="7">
        <f>$C$95</f>
        <v>22.400000000000002</v>
      </c>
      <c r="DA90" t="s">
        <v>191</v>
      </c>
      <c r="DD90" t="s">
        <v>775</v>
      </c>
      <c r="DE90">
        <f>DE89</f>
        <v>1736.4480000000003</v>
      </c>
      <c r="DF90">
        <f>Index!$C$59</f>
        <v>5.201434804499999</v>
      </c>
      <c r="DG90">
        <f t="shared" si="34"/>
        <v>5.201434804499999</v>
      </c>
      <c r="DH90">
        <f t="shared" si="35"/>
        <v>9032.0210634044161</v>
      </c>
      <c r="DJ90" t="s">
        <v>150</v>
      </c>
      <c r="DK90" s="7">
        <f>$C$96</f>
        <v>22.400000000000002</v>
      </c>
      <c r="DL90" t="s">
        <v>191</v>
      </c>
      <c r="DO90" t="s">
        <v>775</v>
      </c>
      <c r="DP90">
        <f>DP89</f>
        <v>2315.2640000000006</v>
      </c>
      <c r="DQ90">
        <f>Index!$C$59</f>
        <v>5.201434804499999</v>
      </c>
      <c r="DR90">
        <f t="shared" si="36"/>
        <v>5.201434804499999</v>
      </c>
      <c r="DS90">
        <f t="shared" si="37"/>
        <v>12042.694751205889</v>
      </c>
      <c r="DU90" t="s">
        <v>150</v>
      </c>
      <c r="DV90" s="7">
        <f>$C$97</f>
        <v>22.400000000000002</v>
      </c>
      <c r="DW90" t="s">
        <v>191</v>
      </c>
      <c r="DZ90" t="s">
        <v>775</v>
      </c>
      <c r="EA90">
        <f>EA89</f>
        <v>2870</v>
      </c>
      <c r="EB90">
        <f>Index!$C$59</f>
        <v>5.201434804499999</v>
      </c>
      <c r="EC90">
        <f t="shared" si="38"/>
        <v>5.201434804499999</v>
      </c>
      <c r="ED90">
        <f t="shared" si="39"/>
        <v>14928.117888914998</v>
      </c>
      <c r="EF90" t="s">
        <v>150</v>
      </c>
      <c r="EG90" s="7">
        <f>$C$98</f>
        <v>25</v>
      </c>
      <c r="EH90" t="s">
        <v>191</v>
      </c>
      <c r="EK90" t="s">
        <v>775</v>
      </c>
      <c r="EL90">
        <f>EL89</f>
        <v>3448.3750000000005</v>
      </c>
      <c r="EM90">
        <f>Index!$C$59</f>
        <v>5.201434804499999</v>
      </c>
      <c r="EN90">
        <f t="shared" si="40"/>
        <v>5.201434804499999</v>
      </c>
      <c r="EO90">
        <f t="shared" si="41"/>
        <v>17936.497743967688</v>
      </c>
      <c r="EQ90" t="s">
        <v>150</v>
      </c>
      <c r="ER90" s="7">
        <f>$C$99</f>
        <v>24.5</v>
      </c>
      <c r="ES90" t="s">
        <v>191</v>
      </c>
      <c r="EV90" t="s">
        <v>775</v>
      </c>
      <c r="EW90">
        <f>EW89</f>
        <v>4039.4640000000009</v>
      </c>
      <c r="EX90">
        <f>Index!$C$59</f>
        <v>5.201434804499999</v>
      </c>
      <c r="EY90">
        <f t="shared" si="42"/>
        <v>5.201434804499999</v>
      </c>
      <c r="EZ90">
        <f t="shared" si="43"/>
        <v>21011.008641124787</v>
      </c>
      <c r="FB90" t="s">
        <v>150</v>
      </c>
      <c r="FC90" s="7">
        <f>$C$100</f>
        <v>24.200000000000003</v>
      </c>
      <c r="FD90" t="s">
        <v>191</v>
      </c>
      <c r="FH90" t="s">
        <v>775</v>
      </c>
      <c r="FI90">
        <f>FI89</f>
        <v>4636.8</v>
      </c>
      <c r="FJ90">
        <f>Index!$C$59</f>
        <v>5.201434804499999</v>
      </c>
      <c r="FK90">
        <f t="shared" si="44"/>
        <v>5.201434804499999</v>
      </c>
      <c r="FL90">
        <f t="shared" si="45"/>
        <v>24118.012901505597</v>
      </c>
      <c r="FN90" t="s">
        <v>150</v>
      </c>
      <c r="FO90" s="7">
        <f>$C$101</f>
        <v>24</v>
      </c>
      <c r="FP90" t="s">
        <v>191</v>
      </c>
    </row>
    <row r="91" spans="1:172" ht="15.75" x14ac:dyDescent="0.25">
      <c r="A91">
        <v>50</v>
      </c>
      <c r="B91">
        <f>'Wetland Design'!I106</f>
        <v>1</v>
      </c>
      <c r="C91">
        <f>'Wetland Design'!J106</f>
        <v>15.9</v>
      </c>
      <c r="D91">
        <f>'Wetland Design'!K106</f>
        <v>15.9</v>
      </c>
      <c r="E91">
        <f>'Wetland Design'!L106</f>
        <v>0.8</v>
      </c>
      <c r="F91">
        <f>'Wetland Design'!M106</f>
        <v>0.3</v>
      </c>
      <c r="AF91"/>
      <c r="AT91"/>
      <c r="BG91"/>
      <c r="CH91" s="84" t="s">
        <v>102</v>
      </c>
      <c r="CI91">
        <f>CO100*$C$23</f>
        <v>234.59773333333339</v>
      </c>
      <c r="CJ91">
        <f>Index!$C$37</f>
        <v>38.583746796374072</v>
      </c>
      <c r="CK91">
        <f t="shared" si="30"/>
        <v>38.583746796374072</v>
      </c>
      <c r="CL91">
        <f t="shared" si="31"/>
        <v>9051.6595419366204</v>
      </c>
      <c r="CN91" t="s">
        <v>116</v>
      </c>
      <c r="CO91" s="7">
        <f>CO90</f>
        <v>19.400000000000002</v>
      </c>
      <c r="CP91" t="s">
        <v>191</v>
      </c>
      <c r="CS91" s="84" t="s">
        <v>102</v>
      </c>
      <c r="CT91">
        <f>CZ100*$C$23</f>
        <v>312.76373333333339</v>
      </c>
      <c r="CU91">
        <f>Index!$C$37</f>
        <v>38.583746796374072</v>
      </c>
      <c r="CV91">
        <f t="shared" si="32"/>
        <v>38.583746796374072</v>
      </c>
      <c r="CW91">
        <f t="shared" si="33"/>
        <v>12067.596694021997</v>
      </c>
      <c r="CY91" t="s">
        <v>116</v>
      </c>
      <c r="CZ91" s="7">
        <f>CZ90</f>
        <v>22.400000000000002</v>
      </c>
      <c r="DA91" t="s">
        <v>191</v>
      </c>
      <c r="DD91" s="84" t="s">
        <v>102</v>
      </c>
      <c r="DE91">
        <f>DK100*$C$23</f>
        <v>469.14560000000012</v>
      </c>
      <c r="DF91">
        <f>Index!$C$37</f>
        <v>38.583746796374072</v>
      </c>
      <c r="DG91">
        <f t="shared" si="34"/>
        <v>38.583746796374072</v>
      </c>
      <c r="DH91">
        <f t="shared" si="35"/>
        <v>18101.395041032996</v>
      </c>
      <c r="DJ91" t="s">
        <v>116</v>
      </c>
      <c r="DK91" s="7">
        <f>DK90</f>
        <v>22.400000000000002</v>
      </c>
      <c r="DL91" t="s">
        <v>191</v>
      </c>
      <c r="DO91" s="84" t="s">
        <v>102</v>
      </c>
      <c r="DP91">
        <f>DV100*$C$23</f>
        <v>625.52746666666678</v>
      </c>
      <c r="DQ91">
        <f>Index!$C$37</f>
        <v>38.583746796374072</v>
      </c>
      <c r="DR91">
        <f t="shared" si="36"/>
        <v>38.583746796374072</v>
      </c>
      <c r="DS91">
        <f t="shared" si="37"/>
        <v>24135.193388043994</v>
      </c>
      <c r="DU91" t="s">
        <v>116</v>
      </c>
      <c r="DV91" s="7">
        <f>DV90</f>
        <v>22.400000000000002</v>
      </c>
      <c r="DW91" t="s">
        <v>191</v>
      </c>
      <c r="DZ91" s="84" t="s">
        <v>102</v>
      </c>
      <c r="EA91">
        <f>EG100*$C$23</f>
        <v>779.16666666666663</v>
      </c>
      <c r="EB91">
        <f>Index!$C$37</f>
        <v>38.583746796374072</v>
      </c>
      <c r="EC91">
        <f t="shared" si="38"/>
        <v>38.583746796374072</v>
      </c>
      <c r="ED91">
        <f t="shared" si="39"/>
        <v>30063.169378841463</v>
      </c>
      <c r="EF91" t="s">
        <v>116</v>
      </c>
      <c r="EG91" s="7">
        <f>EG90</f>
        <v>25</v>
      </c>
      <c r="EH91" t="s">
        <v>191</v>
      </c>
      <c r="EK91" s="84" t="s">
        <v>102</v>
      </c>
      <c r="EL91">
        <f>ER100*$C$23</f>
        <v>935.38958333333346</v>
      </c>
      <c r="EM91">
        <f>Index!$C$37</f>
        <v>38.583746796374072</v>
      </c>
      <c r="EN91">
        <f t="shared" si="40"/>
        <v>38.583746796374072</v>
      </c>
      <c r="EO91">
        <f t="shared" si="41"/>
        <v>36090.834839299183</v>
      </c>
      <c r="EQ91" t="s">
        <v>116</v>
      </c>
      <c r="ER91" s="7">
        <f>ER90</f>
        <v>24.5</v>
      </c>
      <c r="ES91" t="s">
        <v>191</v>
      </c>
      <c r="EV91" s="84" t="s">
        <v>102</v>
      </c>
      <c r="EW91">
        <f>FC100*$C$23</f>
        <v>1095.1468000000002</v>
      </c>
      <c r="EX91">
        <f>Index!$C$37</f>
        <v>38.583746796374072</v>
      </c>
      <c r="EY91">
        <f t="shared" si="42"/>
        <v>38.583746796374072</v>
      </c>
      <c r="EZ91">
        <f t="shared" si="43"/>
        <v>42254.866836059322</v>
      </c>
      <c r="FB91" t="s">
        <v>116</v>
      </c>
      <c r="FC91" s="7">
        <f>FC90</f>
        <v>24.200000000000003</v>
      </c>
      <c r="FD91" t="s">
        <v>191</v>
      </c>
      <c r="FH91" s="84" t="s">
        <v>102</v>
      </c>
      <c r="FI91">
        <f>FO100*$C$23</f>
        <v>1256.6399999999999</v>
      </c>
      <c r="FJ91">
        <f>Index!$C$37</f>
        <v>38.583746796374072</v>
      </c>
      <c r="FK91">
        <f t="shared" si="44"/>
        <v>38.583746796374072</v>
      </c>
      <c r="FL91">
        <f t="shared" si="45"/>
        <v>48485.879574195511</v>
      </c>
      <c r="FN91" t="s">
        <v>116</v>
      </c>
      <c r="FO91" s="7">
        <f>FO90</f>
        <v>24</v>
      </c>
      <c r="FP91" t="s">
        <v>191</v>
      </c>
    </row>
    <row r="92" spans="1:172" x14ac:dyDescent="0.25">
      <c r="A92">
        <v>75</v>
      </c>
      <c r="B92">
        <f>'Wetland Design'!I107</f>
        <v>1</v>
      </c>
      <c r="C92">
        <f>'Wetland Design'!J107</f>
        <v>19.400000000000002</v>
      </c>
      <c r="D92">
        <f>'Wetland Design'!K107</f>
        <v>19.400000000000002</v>
      </c>
      <c r="E92">
        <f>'Wetland Design'!L107</f>
        <v>0.8</v>
      </c>
      <c r="F92">
        <f>'Wetland Design'!M107</f>
        <v>0.3</v>
      </c>
      <c r="AF92"/>
      <c r="AT92"/>
      <c r="BG92"/>
      <c r="CH92" t="s">
        <v>89</v>
      </c>
      <c r="CI92">
        <f>CO100*$C$22</f>
        <v>303.59706666666676</v>
      </c>
      <c r="CJ92">
        <f>Index!$C$47</f>
        <v>76</v>
      </c>
      <c r="CK92">
        <f t="shared" si="30"/>
        <v>76</v>
      </c>
      <c r="CL92">
        <f t="shared" si="31"/>
        <v>23073.377066666675</v>
      </c>
      <c r="CS92" t="s">
        <v>89</v>
      </c>
      <c r="CT92">
        <f>CZ100*$C$22</f>
        <v>404.75306666666683</v>
      </c>
      <c r="CU92">
        <f>Index!$C$47</f>
        <v>76</v>
      </c>
      <c r="CV92">
        <f t="shared" si="32"/>
        <v>76</v>
      </c>
      <c r="CW92">
        <f t="shared" si="33"/>
        <v>30761.233066666678</v>
      </c>
      <c r="DD92" t="s">
        <v>89</v>
      </c>
      <c r="DE92">
        <f>DK100*$C$22</f>
        <v>607.12960000000021</v>
      </c>
      <c r="DF92">
        <f>Index!$C$47</f>
        <v>76</v>
      </c>
      <c r="DG92">
        <f t="shared" si="34"/>
        <v>76</v>
      </c>
      <c r="DH92">
        <f t="shared" si="35"/>
        <v>46141.849600000016</v>
      </c>
      <c r="DO92" t="s">
        <v>89</v>
      </c>
      <c r="DP92">
        <f>DV100*$C$22</f>
        <v>809.50613333333365</v>
      </c>
      <c r="DQ92">
        <f>Index!$C$47</f>
        <v>76</v>
      </c>
      <c r="DR92">
        <f t="shared" si="36"/>
        <v>76</v>
      </c>
      <c r="DS92">
        <f t="shared" si="37"/>
        <v>61522.466133333357</v>
      </c>
      <c r="DZ92" t="s">
        <v>89</v>
      </c>
      <c r="EA92">
        <f>EG100*$C$22</f>
        <v>1008.3333333333334</v>
      </c>
      <c r="EB92">
        <f>Index!$C$47</f>
        <v>76</v>
      </c>
      <c r="EC92">
        <f t="shared" si="38"/>
        <v>76</v>
      </c>
      <c r="ED92">
        <f t="shared" si="39"/>
        <v>76633.333333333343</v>
      </c>
      <c r="EK92" t="s">
        <v>89</v>
      </c>
      <c r="EL92">
        <f>ER100*$C$22</f>
        <v>1210.5041666666668</v>
      </c>
      <c r="EM92">
        <f>Index!$C$47</f>
        <v>76</v>
      </c>
      <c r="EN92">
        <f t="shared" si="40"/>
        <v>76</v>
      </c>
      <c r="EO92">
        <f t="shared" si="41"/>
        <v>91998.31666666668</v>
      </c>
      <c r="EV92" t="s">
        <v>89</v>
      </c>
      <c r="EW92">
        <f>FC100*$C$22</f>
        <v>1417.2488000000005</v>
      </c>
      <c r="EX92">
        <f>Index!$C$47</f>
        <v>76</v>
      </c>
      <c r="EY92">
        <f t="shared" si="42"/>
        <v>76</v>
      </c>
      <c r="EZ92">
        <f t="shared" si="43"/>
        <v>107710.90880000003</v>
      </c>
      <c r="FH92" t="s">
        <v>89</v>
      </c>
      <c r="FI92">
        <f>FO100*$C$22</f>
        <v>1626.24</v>
      </c>
      <c r="FJ92">
        <f>Index!$C$47</f>
        <v>76</v>
      </c>
      <c r="FK92">
        <f t="shared" si="44"/>
        <v>76</v>
      </c>
      <c r="FL92">
        <f t="shared" si="45"/>
        <v>123594.24000000001</v>
      </c>
      <c r="FP92"/>
    </row>
    <row r="93" spans="1:172" x14ac:dyDescent="0.25">
      <c r="A93">
        <v>100</v>
      </c>
      <c r="B93">
        <f>'Wetland Design'!I108</f>
        <v>1</v>
      </c>
      <c r="C93">
        <f>'Wetland Design'!J108</f>
        <v>22.400000000000002</v>
      </c>
      <c r="D93">
        <f>'Wetland Design'!K108</f>
        <v>22.400000000000002</v>
      </c>
      <c r="E93">
        <f>'Wetland Design'!L108</f>
        <v>0.8</v>
      </c>
      <c r="F93">
        <f>'Wetland Design'!M108</f>
        <v>0.3</v>
      </c>
      <c r="AF93"/>
      <c r="AT93"/>
      <c r="BG93"/>
      <c r="CH93" t="s">
        <v>866</v>
      </c>
      <c r="CI93">
        <f>CO100*$C$21</f>
        <v>124.19880000000002</v>
      </c>
      <c r="CJ93">
        <f>Index!$C$41</f>
        <v>44.710077971194551</v>
      </c>
      <c r="CK93">
        <f t="shared" si="30"/>
        <v>44.710077971194551</v>
      </c>
      <c r="CL93">
        <f t="shared" si="31"/>
        <v>5552.9380319287984</v>
      </c>
      <c r="CN93" t="s">
        <v>63</v>
      </c>
      <c r="CO93">
        <f>$E$4+$F$4</f>
        <v>1.1000000000000001</v>
      </c>
      <c r="CP93" t="s">
        <v>191</v>
      </c>
      <c r="CS93" t="s">
        <v>866</v>
      </c>
      <c r="CT93">
        <f>CZ100*$C$21</f>
        <v>165.58080000000004</v>
      </c>
      <c r="CU93">
        <f>Index!$C$41</f>
        <v>44.710077971194551</v>
      </c>
      <c r="CV93">
        <f t="shared" si="32"/>
        <v>44.710077971194551</v>
      </c>
      <c r="CW93">
        <f t="shared" si="33"/>
        <v>7403.130478532772</v>
      </c>
      <c r="CY93" t="s">
        <v>63</v>
      </c>
      <c r="CZ93">
        <f>$E$4+$F$4</f>
        <v>1.1000000000000001</v>
      </c>
      <c r="DA93" t="s">
        <v>191</v>
      </c>
      <c r="DD93" t="s">
        <v>866</v>
      </c>
      <c r="DE93">
        <f>DK100*$C$21</f>
        <v>248.37120000000004</v>
      </c>
      <c r="DF93">
        <f>Index!$C$41</f>
        <v>44.710077971194551</v>
      </c>
      <c r="DG93">
        <f t="shared" si="34"/>
        <v>44.710077971194551</v>
      </c>
      <c r="DH93">
        <f t="shared" si="35"/>
        <v>11104.695717799157</v>
      </c>
      <c r="DJ93" t="s">
        <v>63</v>
      </c>
      <c r="DK93">
        <f>$E$4+$F$4</f>
        <v>1.1000000000000001</v>
      </c>
      <c r="DL93" t="s">
        <v>191</v>
      </c>
      <c r="DO93" t="s">
        <v>866</v>
      </c>
      <c r="DP93">
        <f>DV100*$C$21</f>
        <v>331.16160000000008</v>
      </c>
      <c r="DQ93">
        <f>Index!$C$41</f>
        <v>44.710077971194551</v>
      </c>
      <c r="DR93">
        <f t="shared" si="36"/>
        <v>44.710077971194551</v>
      </c>
      <c r="DS93">
        <f t="shared" si="37"/>
        <v>14806.260957065544</v>
      </c>
      <c r="DU93" t="s">
        <v>63</v>
      </c>
      <c r="DV93">
        <f>$E$4+$F$4</f>
        <v>1.1000000000000001</v>
      </c>
      <c r="DW93" t="s">
        <v>191</v>
      </c>
      <c r="DZ93" t="s">
        <v>866</v>
      </c>
      <c r="EA93">
        <f>EG100*$C$21</f>
        <v>412.5</v>
      </c>
      <c r="EB93">
        <f>Index!$C$41</f>
        <v>44.710077971194551</v>
      </c>
      <c r="EC93">
        <f t="shared" si="38"/>
        <v>44.710077971194551</v>
      </c>
      <c r="ED93">
        <f t="shared" si="39"/>
        <v>18442.90716311775</v>
      </c>
      <c r="EF93" t="s">
        <v>63</v>
      </c>
      <c r="EG93">
        <f>$E$4+$F$4</f>
        <v>1.1000000000000001</v>
      </c>
      <c r="EH93" t="s">
        <v>191</v>
      </c>
      <c r="EK93" t="s">
        <v>866</v>
      </c>
      <c r="EL93">
        <f>ER100*$C$21</f>
        <v>495.20625000000007</v>
      </c>
      <c r="EM93">
        <f>Index!$C$41</f>
        <v>44.710077971194551</v>
      </c>
      <c r="EN93">
        <f t="shared" si="40"/>
        <v>44.710077971194551</v>
      </c>
      <c r="EO93">
        <f t="shared" si="41"/>
        <v>22140.710049322865</v>
      </c>
      <c r="EQ93" t="s">
        <v>63</v>
      </c>
      <c r="ER93">
        <f>$E$4+$F$4</f>
        <v>1.1000000000000001</v>
      </c>
      <c r="ES93" t="s">
        <v>191</v>
      </c>
      <c r="EV93" t="s">
        <v>866</v>
      </c>
      <c r="EW93">
        <f>FC100*$C$21</f>
        <v>579.78360000000009</v>
      </c>
      <c r="EX93">
        <f>Index!$C$41</f>
        <v>44.710077971194551</v>
      </c>
      <c r="EY93">
        <f t="shared" si="42"/>
        <v>44.710077971194551</v>
      </c>
      <c r="EZ93">
        <f t="shared" si="43"/>
        <v>25922.169962419877</v>
      </c>
      <c r="FB93" t="s">
        <v>63</v>
      </c>
      <c r="FC93">
        <f>$E$4+$F$4</f>
        <v>1.1000000000000001</v>
      </c>
      <c r="FD93" t="s">
        <v>191</v>
      </c>
      <c r="FH93" t="s">
        <v>866</v>
      </c>
      <c r="FI93">
        <f>FO100*$C$21</f>
        <v>665.28</v>
      </c>
      <c r="FJ93">
        <f>Index!$C$41</f>
        <v>44.710077971194551</v>
      </c>
      <c r="FK93">
        <f t="shared" si="44"/>
        <v>44.710077971194551</v>
      </c>
      <c r="FL93">
        <f t="shared" si="45"/>
        <v>29744.720672676311</v>
      </c>
      <c r="FN93" t="s">
        <v>63</v>
      </c>
      <c r="FO93">
        <f>$E$4+$F$4</f>
        <v>1.1000000000000001</v>
      </c>
      <c r="FP93" t="s">
        <v>191</v>
      </c>
    </row>
    <row r="94" spans="1:172" x14ac:dyDescent="0.25">
      <c r="A94">
        <v>150</v>
      </c>
      <c r="B94">
        <f>'Wetland Design'!I109</f>
        <v>2</v>
      </c>
      <c r="C94">
        <f>'Wetland Design'!J109</f>
        <v>19.400000000000002</v>
      </c>
      <c r="D94">
        <f>'Wetland Design'!K109</f>
        <v>19.400000000000002</v>
      </c>
      <c r="E94">
        <f>'Wetland Design'!L109</f>
        <v>0.8</v>
      </c>
      <c r="F94">
        <f>'Wetland Design'!M109</f>
        <v>0.3</v>
      </c>
      <c r="AF94"/>
      <c r="AT94"/>
      <c r="BG94"/>
      <c r="CH94" t="s">
        <v>847</v>
      </c>
      <c r="CI94">
        <f>ROUNDUP(CO91*CO90*4*CO98,0)</f>
        <v>3011</v>
      </c>
      <c r="CJ94">
        <f>Index!$C$132</f>
        <v>1.3476444720749998</v>
      </c>
      <c r="CK94">
        <f t="shared" si="30"/>
        <v>1.3476444720749998</v>
      </c>
      <c r="CL94">
        <f t="shared" si="31"/>
        <v>4057.7575054178246</v>
      </c>
      <c r="CS94" t="s">
        <v>847</v>
      </c>
      <c r="CT94">
        <f>ROUNDUP(CZ91*CZ90*4*CZ98,0)</f>
        <v>4015</v>
      </c>
      <c r="CU94">
        <f>Index!$C$132</f>
        <v>1.3476444720749998</v>
      </c>
      <c r="CV94">
        <f t="shared" si="32"/>
        <v>1.3476444720749998</v>
      </c>
      <c r="CW94">
        <f t="shared" si="33"/>
        <v>5410.7925553811247</v>
      </c>
      <c r="DD94" t="s">
        <v>847</v>
      </c>
      <c r="DE94">
        <f>ROUNDUP(DK91*DK90*4*DK98,0)</f>
        <v>6022</v>
      </c>
      <c r="DF94">
        <f>Index!$C$132</f>
        <v>1.3476444720749998</v>
      </c>
      <c r="DG94">
        <f t="shared" si="34"/>
        <v>1.3476444720749998</v>
      </c>
      <c r="DH94">
        <f t="shared" si="35"/>
        <v>8115.5150108356493</v>
      </c>
      <c r="DO94" t="s">
        <v>847</v>
      </c>
      <c r="DP94">
        <f>ROUNDUP(DV91*DV90*4*DV98,0)</f>
        <v>8029</v>
      </c>
      <c r="DQ94">
        <f>Index!$C$132</f>
        <v>1.3476444720749998</v>
      </c>
      <c r="DR94">
        <f t="shared" si="36"/>
        <v>1.3476444720749998</v>
      </c>
      <c r="DS94">
        <f t="shared" si="37"/>
        <v>10820.237466290173</v>
      </c>
      <c r="DZ94" t="s">
        <v>847</v>
      </c>
      <c r="EA94">
        <f>ROUNDUP(EG91*EG90*4*EG98,0)</f>
        <v>10000</v>
      </c>
      <c r="EB94">
        <f>Index!$C$132</f>
        <v>1.3476444720749998</v>
      </c>
      <c r="EC94">
        <f t="shared" si="38"/>
        <v>1.3476444720749998</v>
      </c>
      <c r="ED94">
        <f t="shared" si="39"/>
        <v>13476.444720749998</v>
      </c>
      <c r="EK94" t="s">
        <v>847</v>
      </c>
      <c r="EL94">
        <f>ROUNDUP(ER91*ER90*4*ER98,0)</f>
        <v>12005</v>
      </c>
      <c r="EM94">
        <f>Index!$C$132</f>
        <v>1.3476444720749998</v>
      </c>
      <c r="EN94">
        <f t="shared" si="40"/>
        <v>1.3476444720749998</v>
      </c>
      <c r="EO94">
        <f t="shared" si="41"/>
        <v>16178.471887260373</v>
      </c>
      <c r="EV94" t="s">
        <v>847</v>
      </c>
      <c r="EW94">
        <f>ROUNDUP(FC91*FC90*4*FC98,0)</f>
        <v>14056</v>
      </c>
      <c r="EX94">
        <f>Index!$C$132</f>
        <v>1.3476444720749998</v>
      </c>
      <c r="EY94">
        <f t="shared" si="42"/>
        <v>1.3476444720749998</v>
      </c>
      <c r="EZ94">
        <f t="shared" si="43"/>
        <v>18942.490699486196</v>
      </c>
      <c r="FH94" t="s">
        <v>847</v>
      </c>
      <c r="FI94">
        <f>ROUNDUP(FO91*FO90*4*FO98,0)</f>
        <v>16128</v>
      </c>
      <c r="FJ94">
        <f>Index!$C$132</f>
        <v>1.3476444720749998</v>
      </c>
      <c r="FK94">
        <f t="shared" si="44"/>
        <v>1.3476444720749998</v>
      </c>
      <c r="FL94">
        <f t="shared" si="45"/>
        <v>21734.810045625596</v>
      </c>
      <c r="FP94"/>
    </row>
    <row r="95" spans="1:172" x14ac:dyDescent="0.25">
      <c r="A95">
        <v>200</v>
      </c>
      <c r="B95">
        <f>'Wetland Design'!I110</f>
        <v>2</v>
      </c>
      <c r="C95">
        <f>'Wetland Design'!J110</f>
        <v>22.400000000000002</v>
      </c>
      <c r="D95">
        <f>'Wetland Design'!K110</f>
        <v>22.400000000000002</v>
      </c>
      <c r="E95">
        <f>'Wetland Design'!L110</f>
        <v>0.8</v>
      </c>
      <c r="F95">
        <f>'Wetland Design'!M110</f>
        <v>0.3</v>
      </c>
      <c r="AF95"/>
      <c r="AT95"/>
      <c r="BG95"/>
      <c r="CH95" s="10" t="s">
        <v>736</v>
      </c>
      <c r="CI95" s="10"/>
      <c r="CJ95" s="10"/>
      <c r="CK95" s="10"/>
      <c r="CL95" s="10">
        <f>SUM(CL88:CL94)</f>
        <v>57977.824684242922</v>
      </c>
      <c r="CN95" t="s">
        <v>694</v>
      </c>
      <c r="CO95">
        <f>CO90*CO91*$E$4</f>
        <v>301.08800000000008</v>
      </c>
      <c r="CS95" s="10" t="s">
        <v>736</v>
      </c>
      <c r="CT95" s="10"/>
      <c r="CU95" s="10"/>
      <c r="CV95" s="10"/>
      <c r="CW95" s="10">
        <f>SUM(CW88:CW94)</f>
        <v>77236.298343834598</v>
      </c>
      <c r="CY95" t="s">
        <v>694</v>
      </c>
      <c r="CZ95">
        <f>CZ90*CZ91*$E$4</f>
        <v>401.40800000000013</v>
      </c>
      <c r="DD95" s="10" t="s">
        <v>736</v>
      </c>
      <c r="DE95" s="10"/>
      <c r="DF95" s="10"/>
      <c r="DG95" s="10"/>
      <c r="DH95" s="10">
        <f>SUM(DH88:DH94)</f>
        <v>115853.77369351586</v>
      </c>
      <c r="DJ95" t="s">
        <v>694</v>
      </c>
      <c r="DK95">
        <f>DK90*DK91*$E$4</f>
        <v>401.40800000000013</v>
      </c>
      <c r="DO95" s="10" t="s">
        <v>736</v>
      </c>
      <c r="DP95" s="10"/>
      <c r="DQ95" s="10"/>
      <c r="DR95" s="10"/>
      <c r="DS95" s="10">
        <f>SUM(DS88:DS94)</f>
        <v>154471.24904319714</v>
      </c>
      <c r="DU95" t="s">
        <v>694</v>
      </c>
      <c r="DV95">
        <f>DV90*DV91*$E$4</f>
        <v>401.40800000000013</v>
      </c>
      <c r="DZ95" s="10" t="s">
        <v>736</v>
      </c>
      <c r="EA95" s="10"/>
      <c r="EB95" s="10"/>
      <c r="EC95" s="10"/>
      <c r="ED95" s="10">
        <f>SUM(ED88:ED94)</f>
        <v>192309.37290722254</v>
      </c>
      <c r="EF95" t="s">
        <v>694</v>
      </c>
      <c r="EG95">
        <f>EG90*EG91*$E$4</f>
        <v>500</v>
      </c>
      <c r="EK95" s="10" t="s">
        <v>736</v>
      </c>
      <c r="EL95" s="10"/>
      <c r="EM95" s="10"/>
      <c r="EN95" s="10"/>
      <c r="EO95" s="10">
        <f>SUM(EO88:EO94)</f>
        <v>230888.71860066496</v>
      </c>
      <c r="EQ95" t="s">
        <v>694</v>
      </c>
      <c r="ER95">
        <f>ER90*ER91*$E$4</f>
        <v>480.20000000000005</v>
      </c>
      <c r="EV95" s="10" t="s">
        <v>736</v>
      </c>
      <c r="EW95" s="10"/>
      <c r="EX95" s="10"/>
      <c r="EY95" s="10"/>
      <c r="EZ95" s="10">
        <f>SUM(EZ88:EZ94)</f>
        <v>270339.03563451825</v>
      </c>
      <c r="FB95" t="s">
        <v>694</v>
      </c>
      <c r="FC95">
        <f>FC90*FC91*$E$4</f>
        <v>468.51200000000011</v>
      </c>
      <c r="FH95" s="10" t="s">
        <v>736</v>
      </c>
      <c r="FI95" s="10"/>
      <c r="FJ95" s="10"/>
      <c r="FK95" s="10"/>
      <c r="FL95" s="10">
        <f>SUM(FL88:FL94)</f>
        <v>310215.02453483274</v>
      </c>
      <c r="FN95" t="s">
        <v>694</v>
      </c>
      <c r="FO95">
        <f>FO90*FO91*$E$4</f>
        <v>460.8</v>
      </c>
      <c r="FP95"/>
    </row>
    <row r="96" spans="1:172" x14ac:dyDescent="0.25">
      <c r="A96">
        <v>300</v>
      </c>
      <c r="B96">
        <f>'Wetland Design'!I111</f>
        <v>3</v>
      </c>
      <c r="C96">
        <f>'Wetland Design'!J111</f>
        <v>22.400000000000002</v>
      </c>
      <c r="D96">
        <f>'Wetland Design'!K111</f>
        <v>22.400000000000002</v>
      </c>
      <c r="E96">
        <f>'Wetland Design'!L111</f>
        <v>0.8</v>
      </c>
      <c r="F96">
        <f>'Wetland Design'!M111</f>
        <v>0.3</v>
      </c>
      <c r="AF96"/>
      <c r="AT96"/>
      <c r="BG96"/>
      <c r="CN96" t="s">
        <v>908</v>
      </c>
      <c r="CO96">
        <f>CO90*CO91*CO93</f>
        <v>413.99600000000009</v>
      </c>
      <c r="CP96" t="s">
        <v>71</v>
      </c>
      <c r="CY96" t="s">
        <v>908</v>
      </c>
      <c r="CZ96">
        <f>CZ90*CZ91*CZ93</f>
        <v>551.93600000000015</v>
      </c>
      <c r="DA96" t="s">
        <v>71</v>
      </c>
      <c r="DJ96" t="s">
        <v>908</v>
      </c>
      <c r="DK96">
        <f>DK90*DK91*DK93</f>
        <v>551.93600000000015</v>
      </c>
      <c r="DL96" t="s">
        <v>71</v>
      </c>
      <c r="DU96" t="s">
        <v>908</v>
      </c>
      <c r="DV96">
        <f>DV90*DV91*DV93</f>
        <v>551.93600000000015</v>
      </c>
      <c r="DW96" t="s">
        <v>71</v>
      </c>
      <c r="EF96" t="s">
        <v>908</v>
      </c>
      <c r="EG96">
        <f>EG90*EG91*EG93</f>
        <v>687.5</v>
      </c>
      <c r="EH96" t="s">
        <v>71</v>
      </c>
      <c r="EQ96" t="s">
        <v>908</v>
      </c>
      <c r="ER96">
        <f>ER90*ER91*ER93</f>
        <v>660.27500000000009</v>
      </c>
      <c r="ES96" t="s">
        <v>71</v>
      </c>
      <c r="FB96" t="s">
        <v>908</v>
      </c>
      <c r="FC96">
        <f>FC90*FC91*FC93</f>
        <v>644.20400000000018</v>
      </c>
      <c r="FD96" t="s">
        <v>71</v>
      </c>
      <c r="FN96" t="s">
        <v>908</v>
      </c>
      <c r="FO96">
        <f>FO90*FO91*FO93</f>
        <v>633.6</v>
      </c>
      <c r="FP96" t="s">
        <v>71</v>
      </c>
    </row>
    <row r="97" spans="1:172" x14ac:dyDescent="0.25">
      <c r="A97">
        <v>400</v>
      </c>
      <c r="B97">
        <f>'Wetland Design'!I112</f>
        <v>4</v>
      </c>
      <c r="C97">
        <f>'Wetland Design'!J112</f>
        <v>22.400000000000002</v>
      </c>
      <c r="D97">
        <f>'Wetland Design'!K112</f>
        <v>22.400000000000002</v>
      </c>
      <c r="E97">
        <f>'Wetland Design'!L112</f>
        <v>0.8</v>
      </c>
      <c r="F97">
        <f>'Wetland Design'!M112</f>
        <v>0.3</v>
      </c>
      <c r="AF97"/>
      <c r="AT97"/>
      <c r="BG97"/>
      <c r="FP97"/>
    </row>
    <row r="98" spans="1:172" x14ac:dyDescent="0.25">
      <c r="A98">
        <v>500</v>
      </c>
      <c r="B98">
        <f>'Wetland Design'!I113</f>
        <v>4</v>
      </c>
      <c r="C98">
        <f>'Wetland Design'!J113</f>
        <v>25</v>
      </c>
      <c r="D98">
        <f>'Wetland Design'!K113</f>
        <v>25</v>
      </c>
      <c r="E98">
        <f>'Wetland Design'!L113</f>
        <v>0.8</v>
      </c>
      <c r="F98">
        <f>'Wetland Design'!M113</f>
        <v>0.3</v>
      </c>
      <c r="AF98"/>
      <c r="AT98"/>
      <c r="BG98"/>
      <c r="CH98" s="10" t="s">
        <v>110</v>
      </c>
      <c r="CN98" t="s">
        <v>907</v>
      </c>
      <c r="CO98">
        <f>$B$94</f>
        <v>2</v>
      </c>
      <c r="CS98" s="10" t="s">
        <v>110</v>
      </c>
      <c r="CY98" t="s">
        <v>907</v>
      </c>
      <c r="CZ98">
        <f>$B$95</f>
        <v>2</v>
      </c>
      <c r="DD98" s="10" t="s">
        <v>110</v>
      </c>
      <c r="DJ98" t="s">
        <v>907</v>
      </c>
      <c r="DK98">
        <f>$B$96</f>
        <v>3</v>
      </c>
      <c r="DO98" s="10" t="s">
        <v>110</v>
      </c>
      <c r="DU98" t="s">
        <v>907</v>
      </c>
      <c r="DV98">
        <f>$B$97</f>
        <v>4</v>
      </c>
      <c r="DZ98" s="10" t="s">
        <v>110</v>
      </c>
      <c r="EF98" t="s">
        <v>907</v>
      </c>
      <c r="EG98">
        <f>$B$98</f>
        <v>4</v>
      </c>
      <c r="EK98" s="10" t="s">
        <v>110</v>
      </c>
      <c r="EQ98" t="s">
        <v>907</v>
      </c>
      <c r="ER98">
        <f>$B$99</f>
        <v>5</v>
      </c>
      <c r="EV98" s="10" t="s">
        <v>110</v>
      </c>
      <c r="FB98" t="s">
        <v>907</v>
      </c>
      <c r="FC98">
        <f>$B$100</f>
        <v>6</v>
      </c>
      <c r="FH98" s="10" t="s">
        <v>110</v>
      </c>
      <c r="FN98" t="s">
        <v>907</v>
      </c>
      <c r="FO98">
        <f>$B$101</f>
        <v>7</v>
      </c>
      <c r="FP98"/>
    </row>
    <row r="99" spans="1:172" x14ac:dyDescent="0.25">
      <c r="A99">
        <v>600</v>
      </c>
      <c r="B99">
        <f>'Wetland Design'!I114</f>
        <v>5</v>
      </c>
      <c r="C99">
        <f>'Wetland Design'!J114</f>
        <v>24.5</v>
      </c>
      <c r="D99">
        <f>'Wetland Design'!K114</f>
        <v>24.5</v>
      </c>
      <c r="E99">
        <f>'Wetland Design'!L114</f>
        <v>0.8</v>
      </c>
      <c r="F99">
        <f>'Wetland Design'!M114</f>
        <v>0.3</v>
      </c>
      <c r="AF99"/>
      <c r="AT99"/>
      <c r="BG99"/>
      <c r="CH99" t="s">
        <v>904</v>
      </c>
      <c r="CS99" t="s">
        <v>904</v>
      </c>
      <c r="DD99" t="s">
        <v>904</v>
      </c>
      <c r="DO99" t="s">
        <v>904</v>
      </c>
      <c r="DZ99" t="s">
        <v>904</v>
      </c>
      <c r="EK99" t="s">
        <v>904</v>
      </c>
      <c r="EV99" t="s">
        <v>904</v>
      </c>
      <c r="FH99" t="s">
        <v>904</v>
      </c>
      <c r="FP99"/>
    </row>
    <row r="100" spans="1:172" x14ac:dyDescent="0.25">
      <c r="A100">
        <v>700</v>
      </c>
      <c r="B100">
        <f>'Wetland Design'!I115</f>
        <v>6</v>
      </c>
      <c r="C100">
        <f>'Wetland Design'!J115</f>
        <v>24.200000000000003</v>
      </c>
      <c r="D100">
        <f>'Wetland Design'!K115</f>
        <v>24.200000000000003</v>
      </c>
      <c r="E100">
        <f>'Wetland Design'!L115</f>
        <v>0.8</v>
      </c>
      <c r="F100">
        <f>'Wetland Design'!M115</f>
        <v>0.3</v>
      </c>
      <c r="AF100"/>
      <c r="AT100"/>
      <c r="BG100"/>
      <c r="CH100" t="s">
        <v>761</v>
      </c>
      <c r="CI100">
        <f>$B$125*CO98</f>
        <v>699.40000000000009</v>
      </c>
      <c r="CK100">
        <f>Index!$C$108</f>
        <v>2.0539999999999998</v>
      </c>
      <c r="CL100">
        <f t="shared" ref="CL100:CL102" si="46">CK100*CI100</f>
        <v>1436.5676000000001</v>
      </c>
      <c r="CN100" t="s">
        <v>680</v>
      </c>
      <c r="CO100">
        <f>CO98*CO96</f>
        <v>827.99200000000019</v>
      </c>
      <c r="CS100" t="s">
        <v>761</v>
      </c>
      <c r="CT100">
        <f>$B$126*CZ98</f>
        <v>897.00000000000011</v>
      </c>
      <c r="CV100">
        <f>Index!$C$108</f>
        <v>2.0539999999999998</v>
      </c>
      <c r="CW100">
        <f t="shared" ref="CW100:CW101" si="47">CV100*CT100</f>
        <v>1842.4380000000001</v>
      </c>
      <c r="CY100" t="s">
        <v>680</v>
      </c>
      <c r="CZ100">
        <f>CZ98*CZ96</f>
        <v>1103.8720000000003</v>
      </c>
      <c r="DD100" t="s">
        <v>761</v>
      </c>
      <c r="DE100">
        <f>$B$127*DK98</f>
        <v>1345.5000000000002</v>
      </c>
      <c r="DG100">
        <f>Index!$C$108</f>
        <v>2.0539999999999998</v>
      </c>
      <c r="DH100">
        <f t="shared" ref="DH100:DH102" si="48">DG100*DE100</f>
        <v>2763.6570000000002</v>
      </c>
      <c r="DJ100" t="s">
        <v>680</v>
      </c>
      <c r="DK100">
        <f>DK98*DK96</f>
        <v>1655.8080000000004</v>
      </c>
      <c r="DO100" t="s">
        <v>761</v>
      </c>
      <c r="DP100">
        <f>$B$127*DV98</f>
        <v>1794.0000000000002</v>
      </c>
      <c r="DR100">
        <f>Index!$C$108</f>
        <v>2.0539999999999998</v>
      </c>
      <c r="DS100">
        <f t="shared" ref="DS100:DS102" si="49">DR100*DP100</f>
        <v>3684.8760000000002</v>
      </c>
      <c r="DU100" t="s">
        <v>680</v>
      </c>
      <c r="DV100">
        <f>DV98*DV96</f>
        <v>2207.7440000000006</v>
      </c>
      <c r="DZ100" t="s">
        <v>761</v>
      </c>
      <c r="EA100">
        <f>$B$128*EG98</f>
        <v>1794.0000000000002</v>
      </c>
      <c r="EC100">
        <f>Index!$C$108</f>
        <v>2.0539999999999998</v>
      </c>
      <c r="ED100">
        <f t="shared" ref="ED100:ED102" si="50">EC100*EA100</f>
        <v>3684.8760000000002</v>
      </c>
      <c r="EF100" t="s">
        <v>680</v>
      </c>
      <c r="EG100">
        <f>EG98*EG96</f>
        <v>2750</v>
      </c>
      <c r="EK100" t="s">
        <v>761</v>
      </c>
      <c r="EL100">
        <f>$B$129*ER98</f>
        <v>2752.5</v>
      </c>
      <c r="EN100">
        <f>Index!$C$108</f>
        <v>2.0539999999999998</v>
      </c>
      <c r="EO100">
        <f t="shared" ref="EO100:EO102" si="51">EN100*EL100</f>
        <v>5653.6349999999993</v>
      </c>
      <c r="EQ100" t="s">
        <v>680</v>
      </c>
      <c r="ER100">
        <f>ER98*ER96</f>
        <v>3301.3750000000005</v>
      </c>
      <c r="EV100" t="s">
        <v>761</v>
      </c>
      <c r="EW100">
        <f>$B$130*FC98</f>
        <v>3237</v>
      </c>
      <c r="EY100">
        <f>Index!$C$108</f>
        <v>2.0539999999999998</v>
      </c>
      <c r="EZ100">
        <f t="shared" ref="EZ100:EZ102" si="52">EY100*EW100</f>
        <v>6648.7979999999998</v>
      </c>
      <c r="FB100" t="s">
        <v>680</v>
      </c>
      <c r="FC100">
        <f>FC98*FC96</f>
        <v>3865.2240000000011</v>
      </c>
      <c r="FH100" t="s">
        <v>761</v>
      </c>
      <c r="FI100">
        <f>$B$131*FO98</f>
        <v>3730.3000000000006</v>
      </c>
      <c r="FK100">
        <f>Index!$C$108</f>
        <v>2.0539999999999998</v>
      </c>
      <c r="FL100">
        <f t="shared" ref="FL100:FL102" si="53">FK100*FI100</f>
        <v>7662.0362000000005</v>
      </c>
      <c r="FN100" t="s">
        <v>680</v>
      </c>
      <c r="FO100">
        <f>FO98*FO96</f>
        <v>4435.2</v>
      </c>
      <c r="FP100"/>
    </row>
    <row r="101" spans="1:172" x14ac:dyDescent="0.25">
      <c r="A101">
        <v>800</v>
      </c>
      <c r="B101">
        <f>'Wetland Design'!I116</f>
        <v>7</v>
      </c>
      <c r="C101">
        <f>'Wetland Design'!J116</f>
        <v>24</v>
      </c>
      <c r="D101">
        <f>'Wetland Design'!K116</f>
        <v>24</v>
      </c>
      <c r="E101">
        <f>'Wetland Design'!L116</f>
        <v>0.8</v>
      </c>
      <c r="F101">
        <f>'Wetland Design'!M116</f>
        <v>0.3</v>
      </c>
      <c r="AF101"/>
      <c r="AT101"/>
      <c r="BG101"/>
      <c r="CH101" t="s">
        <v>885</v>
      </c>
      <c r="CI101">
        <f>$C$125*CO98</f>
        <v>58</v>
      </c>
      <c r="CK101">
        <f>Index!$C$110</f>
        <v>2.38</v>
      </c>
      <c r="CL101">
        <f t="shared" si="46"/>
        <v>138.04</v>
      </c>
      <c r="CS101" t="s">
        <v>885</v>
      </c>
      <c r="CT101">
        <f>$C$126*CZ98</f>
        <v>66</v>
      </c>
      <c r="CV101">
        <f>Index!$C$110</f>
        <v>2.38</v>
      </c>
      <c r="CW101">
        <f t="shared" si="47"/>
        <v>157.07999999999998</v>
      </c>
      <c r="DD101" t="s">
        <v>885</v>
      </c>
      <c r="DE101">
        <f>$C$127*DK98</f>
        <v>99</v>
      </c>
      <c r="DG101">
        <f>Index!$C$110</f>
        <v>2.38</v>
      </c>
      <c r="DH101">
        <f t="shared" si="48"/>
        <v>235.61999999999998</v>
      </c>
      <c r="DO101" t="s">
        <v>885</v>
      </c>
      <c r="DP101">
        <f>$C$127*DV98</f>
        <v>132</v>
      </c>
      <c r="DR101">
        <f>Index!$C$110</f>
        <v>2.38</v>
      </c>
      <c r="DS101">
        <f t="shared" si="49"/>
        <v>314.15999999999997</v>
      </c>
      <c r="DZ101" t="s">
        <v>885</v>
      </c>
      <c r="EA101">
        <f>$C$128*EG98</f>
        <v>132</v>
      </c>
      <c r="EC101">
        <f>Index!$C$110</f>
        <v>2.38</v>
      </c>
      <c r="ED101">
        <f t="shared" si="50"/>
        <v>314.15999999999997</v>
      </c>
      <c r="EK101" t="s">
        <v>885</v>
      </c>
      <c r="EL101">
        <f>$C$129*ER98</f>
        <v>185</v>
      </c>
      <c r="EN101">
        <f>Index!$C$110</f>
        <v>2.38</v>
      </c>
      <c r="EO101">
        <f t="shared" si="51"/>
        <v>440.29999999999995</v>
      </c>
      <c r="EV101" t="s">
        <v>885</v>
      </c>
      <c r="EW101">
        <f>$C$130*FC98</f>
        <v>222</v>
      </c>
      <c r="EY101">
        <f>Index!$C$110</f>
        <v>2.38</v>
      </c>
      <c r="EZ101">
        <f t="shared" si="52"/>
        <v>528.36</v>
      </c>
      <c r="FH101" t="s">
        <v>885</v>
      </c>
      <c r="FI101">
        <f>$C$131*FO98</f>
        <v>259</v>
      </c>
      <c r="FK101">
        <f>Index!$C$110</f>
        <v>2.38</v>
      </c>
      <c r="FL101">
        <f t="shared" si="53"/>
        <v>616.41999999999996</v>
      </c>
      <c r="FP101"/>
    </row>
    <row r="102" spans="1:172" x14ac:dyDescent="0.25">
      <c r="A102">
        <v>1000</v>
      </c>
      <c r="B102">
        <f>'Wetland Design'!I117</f>
        <v>8</v>
      </c>
      <c r="C102">
        <f>'Wetland Design'!J117</f>
        <v>25</v>
      </c>
      <c r="D102">
        <f>'Wetland Design'!K117</f>
        <v>25</v>
      </c>
      <c r="E102">
        <f>'Wetland Design'!L117</f>
        <v>0.8</v>
      </c>
      <c r="F102">
        <f>'Wetland Design'!M117</f>
        <v>0.3</v>
      </c>
      <c r="AF102"/>
      <c r="AT102"/>
      <c r="BG102"/>
      <c r="CH102" t="s">
        <v>886</v>
      </c>
      <c r="CI102">
        <f>$D$125*CO98</f>
        <v>10</v>
      </c>
      <c r="CK102">
        <f>Index!$C$111</f>
        <v>1.81</v>
      </c>
      <c r="CL102">
        <f t="shared" si="46"/>
        <v>18.100000000000001</v>
      </c>
      <c r="CN102" t="s">
        <v>690</v>
      </c>
      <c r="CO102">
        <f>CO90*CO91*CO98</f>
        <v>752.72000000000014</v>
      </c>
      <c r="CS102" t="s">
        <v>886</v>
      </c>
      <c r="CT102">
        <f>$D$47*CZ98</f>
        <v>10</v>
      </c>
      <c r="CV102">
        <f>Index!$C$111</f>
        <v>1.81</v>
      </c>
      <c r="CW102">
        <f>CV102*CT102</f>
        <v>18.100000000000001</v>
      </c>
      <c r="CY102" t="s">
        <v>690</v>
      </c>
      <c r="CZ102">
        <f>CZ90*CZ91*CZ98</f>
        <v>1003.5200000000002</v>
      </c>
      <c r="DD102" t="s">
        <v>886</v>
      </c>
      <c r="DE102">
        <f>$D$47*DK98</f>
        <v>15</v>
      </c>
      <c r="DG102">
        <f>Index!$C$111</f>
        <v>1.81</v>
      </c>
      <c r="DH102">
        <f t="shared" si="48"/>
        <v>27.150000000000002</v>
      </c>
      <c r="DJ102" t="s">
        <v>690</v>
      </c>
      <c r="DK102">
        <f>DK90*DK91*DK98</f>
        <v>1505.2800000000002</v>
      </c>
      <c r="DO102" t="s">
        <v>886</v>
      </c>
      <c r="DP102">
        <f>$D$47*DV98</f>
        <v>20</v>
      </c>
      <c r="DR102">
        <f>Index!$C$111</f>
        <v>1.81</v>
      </c>
      <c r="DS102">
        <f t="shared" si="49"/>
        <v>36.200000000000003</v>
      </c>
      <c r="DU102" t="s">
        <v>690</v>
      </c>
      <c r="DV102">
        <f>DV90*DV91*DV98</f>
        <v>2007.0400000000004</v>
      </c>
      <c r="DZ102" t="s">
        <v>886</v>
      </c>
      <c r="EA102">
        <f>$D$47*EG98</f>
        <v>20</v>
      </c>
      <c r="EC102">
        <f>Index!$C$111</f>
        <v>1.81</v>
      </c>
      <c r="ED102">
        <f t="shared" si="50"/>
        <v>36.200000000000003</v>
      </c>
      <c r="EF102" t="s">
        <v>690</v>
      </c>
      <c r="EG102">
        <f>EG90*EG91*EG98</f>
        <v>2500</v>
      </c>
      <c r="EK102" t="s">
        <v>886</v>
      </c>
      <c r="EL102">
        <f>$D$47*ER98</f>
        <v>25</v>
      </c>
      <c r="EN102">
        <f>Index!$C$111</f>
        <v>1.81</v>
      </c>
      <c r="EO102">
        <f t="shared" si="51"/>
        <v>45.25</v>
      </c>
      <c r="EQ102" t="s">
        <v>690</v>
      </c>
      <c r="ER102">
        <f>ER90*ER91*ER98</f>
        <v>3001.25</v>
      </c>
      <c r="EV102" t="s">
        <v>886</v>
      </c>
      <c r="EW102">
        <f>$D$47*FC98</f>
        <v>30</v>
      </c>
      <c r="EY102">
        <f>Index!$C$111</f>
        <v>1.81</v>
      </c>
      <c r="EZ102">
        <f t="shared" si="52"/>
        <v>54.300000000000004</v>
      </c>
      <c r="FB102" t="s">
        <v>690</v>
      </c>
      <c r="FC102">
        <f>FC90*FC91*FC98</f>
        <v>3513.8400000000006</v>
      </c>
      <c r="FH102" t="s">
        <v>886</v>
      </c>
      <c r="FI102">
        <f>$D$47*FO98</f>
        <v>35</v>
      </c>
      <c r="FK102">
        <f>Index!$C$111</f>
        <v>1.81</v>
      </c>
      <c r="FL102">
        <f t="shared" si="53"/>
        <v>63.35</v>
      </c>
      <c r="FN102" t="s">
        <v>690</v>
      </c>
      <c r="FO102">
        <f>FO90*FO91*FO98</f>
        <v>4032</v>
      </c>
      <c r="FP102"/>
    </row>
    <row r="103" spans="1:172" x14ac:dyDescent="0.25">
      <c r="AF103"/>
      <c r="AT103"/>
      <c r="BG103"/>
      <c r="CH103" t="s">
        <v>905</v>
      </c>
      <c r="CS103" t="s">
        <v>905</v>
      </c>
      <c r="DD103" t="s">
        <v>905</v>
      </c>
      <c r="DO103" t="s">
        <v>905</v>
      </c>
      <c r="DZ103" t="s">
        <v>905</v>
      </c>
      <c r="EK103" t="s">
        <v>905</v>
      </c>
      <c r="EV103" t="s">
        <v>905</v>
      </c>
      <c r="FH103" t="s">
        <v>905</v>
      </c>
      <c r="FP103"/>
    </row>
    <row r="104" spans="1:172" x14ac:dyDescent="0.25">
      <c r="AF104"/>
      <c r="AT104"/>
      <c r="BG104"/>
      <c r="CH104" t="s">
        <v>761</v>
      </c>
      <c r="CI104">
        <f>$B$144*CO98</f>
        <v>1338</v>
      </c>
      <c r="CK104">
        <f>Index!$C$101</f>
        <v>8.581999999999999</v>
      </c>
      <c r="CL104">
        <f t="shared" ref="CL104:CL108" si="54">CK104*CI104</f>
        <v>11482.715999999999</v>
      </c>
      <c r="CS104" t="s">
        <v>761</v>
      </c>
      <c r="CT104">
        <f>$B$145*CZ98</f>
        <v>1722.4</v>
      </c>
      <c r="CV104">
        <f>Index!$C$101</f>
        <v>8.581999999999999</v>
      </c>
      <c r="CW104">
        <f t="shared" ref="CW104:CW108" si="55">CV104*CT104</f>
        <v>14781.636799999998</v>
      </c>
      <c r="DD104" t="s">
        <v>761</v>
      </c>
      <c r="DE104">
        <f>$B$146*DK98</f>
        <v>2583.6000000000004</v>
      </c>
      <c r="DG104">
        <f>Index!$C$101</f>
        <v>8.581999999999999</v>
      </c>
      <c r="DH104">
        <f t="shared" ref="DH104:DH108" si="56">DG104*DE104</f>
        <v>22172.4552</v>
      </c>
      <c r="DO104" t="s">
        <v>761</v>
      </c>
      <c r="DP104">
        <f>$B$147*DV98</f>
        <v>3444.8</v>
      </c>
      <c r="DR104">
        <f>Index!$C$101</f>
        <v>8.581999999999999</v>
      </c>
      <c r="DS104">
        <f t="shared" ref="DS104:DS108" si="57">DR104*DP104</f>
        <v>29563.273599999997</v>
      </c>
      <c r="DZ104" t="s">
        <v>761</v>
      </c>
      <c r="EA104">
        <f>$B$148*EG98</f>
        <v>4244</v>
      </c>
      <c r="EC104">
        <f>Index!$C$101</f>
        <v>8.581999999999999</v>
      </c>
      <c r="ED104">
        <f t="shared" ref="ED104:ED107" si="58">EC104*EA104</f>
        <v>36422.007999999994</v>
      </c>
      <c r="EK104" t="s">
        <v>761</v>
      </c>
      <c r="EL104">
        <f>$B$149*ER98</f>
        <v>5202.5</v>
      </c>
      <c r="EN104">
        <f>Index!$C$101</f>
        <v>8.581999999999999</v>
      </c>
      <c r="EO104">
        <f t="shared" ref="EO104:EO108" si="59">EN104*EL104</f>
        <v>44647.854999999996</v>
      </c>
      <c r="EV104" t="s">
        <v>761</v>
      </c>
      <c r="EW104">
        <f>$B$150*FC98</f>
        <v>6018.6</v>
      </c>
      <c r="EY104">
        <f>Index!$C$101</f>
        <v>8.581999999999999</v>
      </c>
      <c r="EZ104">
        <f t="shared" ref="EZ104:EZ108" si="60">EY104*EW104</f>
        <v>51651.625199999995</v>
      </c>
      <c r="FH104" t="s">
        <v>761</v>
      </c>
      <c r="FI104">
        <f>$B$151*FO98</f>
        <v>6965.7</v>
      </c>
      <c r="FK104">
        <f>Index!$C$101</f>
        <v>8.581999999999999</v>
      </c>
      <c r="FL104">
        <f t="shared" ref="FL104:FL108" si="61">FK104*FI104</f>
        <v>59779.637399999992</v>
      </c>
      <c r="FP104"/>
    </row>
    <row r="105" spans="1:172" x14ac:dyDescent="0.25">
      <c r="C105" t="s">
        <v>156</v>
      </c>
      <c r="D105" t="s">
        <v>112</v>
      </c>
      <c r="AF105"/>
      <c r="AT105"/>
      <c r="BG105"/>
      <c r="CH105" t="s">
        <v>885</v>
      </c>
      <c r="CI105">
        <f>$C$144*CO98</f>
        <v>60</v>
      </c>
      <c r="CK105">
        <f>Index!$C$103</f>
        <v>17.61</v>
      </c>
      <c r="CL105">
        <f t="shared" si="54"/>
        <v>1056.5999999999999</v>
      </c>
      <c r="CS105" t="s">
        <v>885</v>
      </c>
      <c r="CT105">
        <f>$C$145*CZ98</f>
        <v>68</v>
      </c>
      <c r="CV105">
        <f>Index!$C$103</f>
        <v>17.61</v>
      </c>
      <c r="CW105">
        <f t="shared" si="55"/>
        <v>1197.48</v>
      </c>
      <c r="DD105" t="s">
        <v>885</v>
      </c>
      <c r="DE105">
        <f>$C$146*DK98</f>
        <v>102</v>
      </c>
      <c r="DG105">
        <f>Index!$C$103</f>
        <v>17.61</v>
      </c>
      <c r="DH105">
        <f t="shared" si="56"/>
        <v>1796.22</v>
      </c>
      <c r="DO105" t="s">
        <v>885</v>
      </c>
      <c r="DP105">
        <f>$C$147*DV98</f>
        <v>136</v>
      </c>
      <c r="DR105">
        <f>Index!$C$103</f>
        <v>17.61</v>
      </c>
      <c r="DS105">
        <f t="shared" si="57"/>
        <v>2394.96</v>
      </c>
      <c r="DZ105" t="s">
        <v>885</v>
      </c>
      <c r="EA105">
        <f>$C$148*EG98</f>
        <v>152</v>
      </c>
      <c r="EC105">
        <f>Index!$C$103</f>
        <v>17.61</v>
      </c>
      <c r="ED105">
        <f t="shared" si="58"/>
        <v>2676.72</v>
      </c>
      <c r="EK105" t="s">
        <v>885</v>
      </c>
      <c r="EL105">
        <f>$C$149*ER98</f>
        <v>190</v>
      </c>
      <c r="EN105">
        <f>Index!$C$103</f>
        <v>17.61</v>
      </c>
      <c r="EO105">
        <f t="shared" si="59"/>
        <v>3345.9</v>
      </c>
      <c r="EV105" t="s">
        <v>885</v>
      </c>
      <c r="EW105">
        <f>$C$150*FC98</f>
        <v>222</v>
      </c>
      <c r="EY105">
        <f>Index!$C$103</f>
        <v>17.61</v>
      </c>
      <c r="EZ105">
        <f t="shared" si="60"/>
        <v>3909.42</v>
      </c>
      <c r="FH105" t="s">
        <v>885</v>
      </c>
      <c r="FI105">
        <f>$C$151*FO98</f>
        <v>259</v>
      </c>
      <c r="FK105">
        <f>Index!$C$103</f>
        <v>17.61</v>
      </c>
      <c r="FL105">
        <f t="shared" si="61"/>
        <v>4560.99</v>
      </c>
      <c r="FP105"/>
    </row>
    <row r="106" spans="1:172" x14ac:dyDescent="0.25">
      <c r="C106">
        <v>150</v>
      </c>
      <c r="D106">
        <f>'Wetland Design'!P141</f>
        <v>874.55200000000013</v>
      </c>
      <c r="AF106"/>
      <c r="AT106"/>
      <c r="BG106"/>
      <c r="CH106" t="s">
        <v>886</v>
      </c>
      <c r="CI106">
        <f>$D$144*CO98</f>
        <v>68</v>
      </c>
      <c r="CK106">
        <f>Index!$C$104</f>
        <v>13.67</v>
      </c>
      <c r="CL106">
        <f t="shared" si="54"/>
        <v>929.56</v>
      </c>
      <c r="CS106" t="s">
        <v>886</v>
      </c>
      <c r="CT106">
        <f>$D$145*CZ98</f>
        <v>76</v>
      </c>
      <c r="CV106">
        <f>Index!$C$104</f>
        <v>13.67</v>
      </c>
      <c r="CW106">
        <f t="shared" si="55"/>
        <v>1038.92</v>
      </c>
      <c r="DD106" t="s">
        <v>886</v>
      </c>
      <c r="DE106">
        <f>$D$146*DK98</f>
        <v>114</v>
      </c>
      <c r="DG106">
        <f>Index!$C$104</f>
        <v>13.67</v>
      </c>
      <c r="DH106">
        <f t="shared" si="56"/>
        <v>1558.3799999999999</v>
      </c>
      <c r="DO106" t="s">
        <v>886</v>
      </c>
      <c r="DP106">
        <f>$D$147*DV98</f>
        <v>152</v>
      </c>
      <c r="DR106">
        <f>Index!$C$104</f>
        <v>13.67</v>
      </c>
      <c r="DS106">
        <f t="shared" si="57"/>
        <v>2077.84</v>
      </c>
      <c r="DZ106" t="s">
        <v>886</v>
      </c>
      <c r="EA106">
        <f>$D$148*EG98</f>
        <v>168</v>
      </c>
      <c r="EC106">
        <f>Index!$C$104</f>
        <v>13.67</v>
      </c>
      <c r="ED106">
        <f t="shared" si="58"/>
        <v>2296.56</v>
      </c>
      <c r="EK106" t="s">
        <v>886</v>
      </c>
      <c r="EL106">
        <f>$D$149*ER98</f>
        <v>210</v>
      </c>
      <c r="EN106">
        <f>Index!$C$104</f>
        <v>13.67</v>
      </c>
      <c r="EO106">
        <f t="shared" si="59"/>
        <v>2870.7</v>
      </c>
      <c r="EV106" t="s">
        <v>886</v>
      </c>
      <c r="EW106">
        <f>$D$150*FC98</f>
        <v>246</v>
      </c>
      <c r="EY106">
        <f>Index!$C$104</f>
        <v>13.67</v>
      </c>
      <c r="EZ106">
        <f t="shared" si="60"/>
        <v>3362.82</v>
      </c>
      <c r="FH106" t="s">
        <v>886</v>
      </c>
      <c r="FI106">
        <f>$D$151*FO98</f>
        <v>287</v>
      </c>
      <c r="FK106">
        <f>Index!$C$104</f>
        <v>13.67</v>
      </c>
      <c r="FL106">
        <f t="shared" si="61"/>
        <v>3923.29</v>
      </c>
      <c r="FP106"/>
    </row>
    <row r="107" spans="1:172" x14ac:dyDescent="0.25">
      <c r="C107">
        <v>200</v>
      </c>
      <c r="D107">
        <f>'Wetland Design'!P142</f>
        <v>1157.6320000000003</v>
      </c>
      <c r="AF107"/>
      <c r="AT107"/>
      <c r="BG107"/>
      <c r="CH107" t="s">
        <v>766</v>
      </c>
      <c r="CI107">
        <f>$E$65*CO98</f>
        <v>4</v>
      </c>
      <c r="CK107">
        <f>Index!$C189</f>
        <v>0</v>
      </c>
      <c r="CL107">
        <f t="shared" si="54"/>
        <v>0</v>
      </c>
      <c r="CS107" t="s">
        <v>766</v>
      </c>
      <c r="CT107">
        <f>$E$65*CZ98</f>
        <v>4</v>
      </c>
      <c r="CV107">
        <f>Index!$C189</f>
        <v>0</v>
      </c>
      <c r="CW107">
        <f t="shared" si="55"/>
        <v>0</v>
      </c>
      <c r="DD107" t="s">
        <v>766</v>
      </c>
      <c r="DE107">
        <f>$E$65*DK98</f>
        <v>6</v>
      </c>
      <c r="DG107">
        <f>Index!$C189</f>
        <v>0</v>
      </c>
      <c r="DH107">
        <f t="shared" si="56"/>
        <v>0</v>
      </c>
      <c r="DO107" t="s">
        <v>766</v>
      </c>
      <c r="DP107">
        <f>$E$65*DV98</f>
        <v>8</v>
      </c>
      <c r="DR107">
        <f>Index!$C189</f>
        <v>0</v>
      </c>
      <c r="DS107">
        <f t="shared" si="57"/>
        <v>0</v>
      </c>
      <c r="DZ107" t="s">
        <v>766</v>
      </c>
      <c r="EA107">
        <f>$E$65*EG98</f>
        <v>8</v>
      </c>
      <c r="EC107">
        <f>Index!$C189</f>
        <v>0</v>
      </c>
      <c r="ED107">
        <f t="shared" si="58"/>
        <v>0</v>
      </c>
      <c r="EK107" t="s">
        <v>766</v>
      </c>
      <c r="EL107">
        <f>$E$65*ER98</f>
        <v>10</v>
      </c>
      <c r="EN107">
        <f>Index!$C189</f>
        <v>0</v>
      </c>
      <c r="EO107">
        <f t="shared" si="59"/>
        <v>0</v>
      </c>
      <c r="EV107" t="s">
        <v>766</v>
      </c>
      <c r="EW107">
        <f>$E$65*FC98</f>
        <v>12</v>
      </c>
      <c r="EY107">
        <f>Index!$C189</f>
        <v>0</v>
      </c>
      <c r="EZ107">
        <f t="shared" si="60"/>
        <v>0</v>
      </c>
      <c r="FH107" t="s">
        <v>766</v>
      </c>
      <c r="FI107">
        <f>$E$65*FO98</f>
        <v>14</v>
      </c>
      <c r="FK107">
        <f>Index!$C189</f>
        <v>0</v>
      </c>
      <c r="FL107">
        <f t="shared" si="61"/>
        <v>0</v>
      </c>
      <c r="FP107"/>
    </row>
    <row r="108" spans="1:172" x14ac:dyDescent="0.25">
      <c r="C108">
        <v>300</v>
      </c>
      <c r="D108">
        <f>'Wetland Design'!P143</f>
        <v>1736.4480000000003</v>
      </c>
      <c r="AF108"/>
      <c r="AT108"/>
      <c r="BG108"/>
      <c r="CH108" t="s">
        <v>890</v>
      </c>
      <c r="CI108">
        <f>$E$125*CO98</f>
        <v>498</v>
      </c>
      <c r="CK108">
        <f>Index!$C$134</f>
        <v>16.692</v>
      </c>
      <c r="CL108">
        <f t="shared" si="54"/>
        <v>8312.616</v>
      </c>
      <c r="CS108" t="s">
        <v>890</v>
      </c>
      <c r="CT108">
        <f>$E$126*CZ98</f>
        <v>646</v>
      </c>
      <c r="CV108">
        <f>Index!$C$134</f>
        <v>16.692</v>
      </c>
      <c r="CW108">
        <f t="shared" si="55"/>
        <v>10783.031999999999</v>
      </c>
      <c r="DD108" t="s">
        <v>890</v>
      </c>
      <c r="DE108">
        <f>$E$127*DK98</f>
        <v>969</v>
      </c>
      <c r="DG108">
        <f>Index!$C$134</f>
        <v>16.692</v>
      </c>
      <c r="DH108">
        <f t="shared" si="56"/>
        <v>16174.548000000001</v>
      </c>
      <c r="DO108" t="s">
        <v>890</v>
      </c>
      <c r="DP108">
        <f>$E$128*DV98</f>
        <v>1292</v>
      </c>
      <c r="DR108">
        <f>Index!$C$134</f>
        <v>16.692</v>
      </c>
      <c r="DS108">
        <f t="shared" si="57"/>
        <v>21566.063999999998</v>
      </c>
      <c r="DZ108" t="s">
        <v>890</v>
      </c>
      <c r="EA108">
        <f>$E$129*EG98</f>
        <v>1600</v>
      </c>
      <c r="EC108">
        <f>Index!$C$134</f>
        <v>16.692</v>
      </c>
      <c r="ED108">
        <f>EC108*EA108</f>
        <v>26707.200000000001</v>
      </c>
      <c r="EK108" t="s">
        <v>890</v>
      </c>
      <c r="EL108">
        <f>$E$130*ER98</f>
        <v>1960</v>
      </c>
      <c r="EN108">
        <f>Index!$C$134</f>
        <v>16.692</v>
      </c>
      <c r="EO108">
        <f t="shared" si="59"/>
        <v>32716.32</v>
      </c>
      <c r="EV108" t="s">
        <v>890</v>
      </c>
      <c r="EW108">
        <f>$E$131*FC98</f>
        <v>2328</v>
      </c>
      <c r="EY108">
        <f>Index!$C$134</f>
        <v>16.692</v>
      </c>
      <c r="EZ108">
        <f t="shared" si="60"/>
        <v>38858.976000000002</v>
      </c>
      <c r="FH108" t="s">
        <v>890</v>
      </c>
      <c r="FI108">
        <f>$E$132*FO98</f>
        <v>2688</v>
      </c>
      <c r="FK108">
        <f>Index!$C$134</f>
        <v>16.692</v>
      </c>
      <c r="FL108">
        <f t="shared" si="61"/>
        <v>44868.095999999998</v>
      </c>
      <c r="FP108"/>
    </row>
    <row r="109" spans="1:172" x14ac:dyDescent="0.25">
      <c r="C109">
        <v>400</v>
      </c>
      <c r="D109">
        <f>'Wetland Design'!P144</f>
        <v>2315.2640000000006</v>
      </c>
      <c r="AF109"/>
      <c r="AT109"/>
      <c r="BG109"/>
      <c r="CH109" s="10" t="s">
        <v>736</v>
      </c>
      <c r="CI109" s="10"/>
      <c r="CJ109" s="10"/>
      <c r="CK109" s="10"/>
      <c r="CL109" s="10">
        <f>SUM(CL100:CL108)</f>
        <v>23374.1996</v>
      </c>
      <c r="CS109" s="10" t="s">
        <v>736</v>
      </c>
      <c r="CT109" s="10"/>
      <c r="CU109" s="10"/>
      <c r="CV109" s="10"/>
      <c r="CW109" s="10">
        <f>SUM(CW100:CW108)</f>
        <v>29818.686799999996</v>
      </c>
      <c r="DD109" s="10" t="s">
        <v>736</v>
      </c>
      <c r="DE109" s="10"/>
      <c r="DF109" s="10"/>
      <c r="DG109" s="10"/>
      <c r="DH109" s="10">
        <f>SUM(DH100:DH108)</f>
        <v>44728.030200000001</v>
      </c>
      <c r="DO109" s="10" t="s">
        <v>736</v>
      </c>
      <c r="DP109" s="10"/>
      <c r="DQ109" s="10"/>
      <c r="DR109" s="10"/>
      <c r="DS109" s="10">
        <f>SUM(DS100:DS108)</f>
        <v>59637.373599999992</v>
      </c>
      <c r="DZ109" s="10" t="s">
        <v>736</v>
      </c>
      <c r="EA109" s="10"/>
      <c r="EB109" s="10"/>
      <c r="EC109" s="10"/>
      <c r="ED109" s="10">
        <f>SUM(ED100:ED108)</f>
        <v>72137.723999999987</v>
      </c>
      <c r="EK109" s="10" t="s">
        <v>736</v>
      </c>
      <c r="EL109" s="10"/>
      <c r="EM109" s="10"/>
      <c r="EN109" s="10"/>
      <c r="EO109" s="10">
        <f>SUM(EO100:EO108)</f>
        <v>89719.959999999992</v>
      </c>
      <c r="EV109" s="10" t="s">
        <v>736</v>
      </c>
      <c r="EW109" s="10"/>
      <c r="EX109" s="10"/>
      <c r="EY109" s="10"/>
      <c r="EZ109" s="10">
        <f>SUM(EZ100:EZ108)</f>
        <v>105014.29920000001</v>
      </c>
      <c r="FH109" s="10" t="s">
        <v>736</v>
      </c>
      <c r="FI109" s="10"/>
      <c r="FJ109" s="10"/>
      <c r="FK109" s="10"/>
      <c r="FL109" s="10">
        <f>SUM(FL100:FL108)</f>
        <v>121473.81959999999</v>
      </c>
      <c r="FP109"/>
    </row>
    <row r="110" spans="1:172" x14ac:dyDescent="0.25">
      <c r="C110">
        <v>500</v>
      </c>
      <c r="D110">
        <f>'Wetland Design'!P145</f>
        <v>2870</v>
      </c>
      <c r="AF110"/>
      <c r="AT110"/>
      <c r="BG110"/>
      <c r="FP110"/>
    </row>
    <row r="111" spans="1:172" x14ac:dyDescent="0.25">
      <c r="C111">
        <v>600</v>
      </c>
      <c r="D111">
        <f>'Wetland Design'!P146</f>
        <v>3448.3750000000005</v>
      </c>
      <c r="AF111"/>
      <c r="AT111"/>
      <c r="BG111"/>
      <c r="CH111" s="10" t="s">
        <v>896</v>
      </c>
      <c r="CL111" s="10">
        <f>CL109+CL95</f>
        <v>81352.024284242914</v>
      </c>
      <c r="CS111" s="10" t="s">
        <v>896</v>
      </c>
      <c r="CW111" s="10">
        <f>CW109+CW95</f>
        <v>107054.98514383459</v>
      </c>
      <c r="DD111" s="10" t="s">
        <v>896</v>
      </c>
      <c r="DH111" s="93">
        <f>DH109+DH95</f>
        <v>160581.80389351587</v>
      </c>
      <c r="DO111" s="10" t="s">
        <v>896</v>
      </c>
      <c r="DS111" s="93">
        <f>DS109+DS95</f>
        <v>214108.62264319713</v>
      </c>
      <c r="DZ111" s="10" t="s">
        <v>896</v>
      </c>
      <c r="ED111" s="93">
        <f>ED109+ED95</f>
        <v>264447.09690722253</v>
      </c>
      <c r="EK111" s="10" t="s">
        <v>896</v>
      </c>
      <c r="EO111" s="93">
        <f>EO109+EO95</f>
        <v>320608.67860066495</v>
      </c>
      <c r="EV111" s="10" t="s">
        <v>896</v>
      </c>
      <c r="EZ111" s="93">
        <f>EZ109+EZ95</f>
        <v>375353.33483451826</v>
      </c>
      <c r="FH111" s="10" t="s">
        <v>896</v>
      </c>
      <c r="FL111" s="93">
        <f>FL109+FL95</f>
        <v>431688.84413483273</v>
      </c>
      <c r="FP111"/>
    </row>
    <row r="112" spans="1:172" x14ac:dyDescent="0.25">
      <c r="C112">
        <v>700</v>
      </c>
      <c r="D112">
        <f>'Wetland Design'!P147</f>
        <v>4039.4640000000009</v>
      </c>
      <c r="AF112"/>
      <c r="AT112"/>
      <c r="BG112"/>
    </row>
    <row r="113" spans="1:166" x14ac:dyDescent="0.25">
      <c r="C113">
        <v>800</v>
      </c>
      <c r="D113">
        <f>'Wetland Design'!P148</f>
        <v>4636.8</v>
      </c>
      <c r="AF113"/>
      <c r="AT113"/>
      <c r="BG113"/>
    </row>
    <row r="114" spans="1:166" x14ac:dyDescent="0.25">
      <c r="C114">
        <v>1000</v>
      </c>
      <c r="D114">
        <f>'Wetland Design'!P149</f>
        <v>5740</v>
      </c>
      <c r="AF114"/>
      <c r="AT114"/>
      <c r="BG114"/>
    </row>
    <row r="115" spans="1:166" x14ac:dyDescent="0.25">
      <c r="A115" t="s">
        <v>911</v>
      </c>
      <c r="AF115"/>
      <c r="AT115"/>
      <c r="BG115"/>
    </row>
    <row r="116" spans="1:166" x14ac:dyDescent="0.25">
      <c r="AF116"/>
      <c r="AT116"/>
      <c r="BG116"/>
    </row>
    <row r="117" spans="1:166" x14ac:dyDescent="0.25">
      <c r="A117" t="s">
        <v>156</v>
      </c>
      <c r="B117" t="str">
        <f>'Wetland Design'!G207</f>
        <v>Pipe Length</v>
      </c>
      <c r="C117" t="str">
        <f>'Wetland Design'!H207</f>
        <v>Tee Joints</v>
      </c>
      <c r="D117" t="str">
        <f>'Wetland Design'!I207</f>
        <v>Elbows</v>
      </c>
      <c r="E117" t="s">
        <v>912</v>
      </c>
      <c r="AF117"/>
      <c r="AT117"/>
      <c r="BG117"/>
    </row>
    <row r="118" spans="1:166" x14ac:dyDescent="0.25">
      <c r="A118">
        <v>5</v>
      </c>
      <c r="B118">
        <f>'Wetland Design'!G208</f>
        <v>30.5</v>
      </c>
      <c r="C118">
        <f>'Wetland Design'!H208</f>
        <v>5</v>
      </c>
      <c r="D118">
        <f>'Wetland Design'!I208</f>
        <v>5</v>
      </c>
      <c r="E118">
        <f>'Wetland Design'!F208</f>
        <v>16</v>
      </c>
      <c r="AF118"/>
      <c r="AT118"/>
      <c r="BG118"/>
      <c r="FJ118">
        <v>1925</v>
      </c>
    </row>
    <row r="119" spans="1:166" x14ac:dyDescent="0.25">
      <c r="A119">
        <v>10</v>
      </c>
      <c r="B119">
        <f>'Wetland Design'!G209</f>
        <v>57.3</v>
      </c>
      <c r="C119">
        <f>'Wetland Design'!H209</f>
        <v>9</v>
      </c>
      <c r="D119">
        <f>'Wetland Design'!I209</f>
        <v>5</v>
      </c>
      <c r="E119">
        <f>'Wetland Design'!F209</f>
        <v>34</v>
      </c>
      <c r="AF119"/>
      <c r="AT119"/>
      <c r="BG119"/>
    </row>
    <row r="120" spans="1:166" x14ac:dyDescent="0.25">
      <c r="A120">
        <v>20</v>
      </c>
      <c r="B120">
        <f>'Wetland Design'!G210</f>
        <v>100.5</v>
      </c>
      <c r="C120">
        <f>'Wetland Design'!H210</f>
        <v>13</v>
      </c>
      <c r="D120">
        <f>'Wetland Design'!I210</f>
        <v>5</v>
      </c>
      <c r="E120">
        <f>'Wetland Design'!F210</f>
        <v>64</v>
      </c>
      <c r="AF120"/>
      <c r="AT120"/>
      <c r="BG120"/>
    </row>
    <row r="121" spans="1:166" x14ac:dyDescent="0.25">
      <c r="A121">
        <v>30</v>
      </c>
      <c r="B121">
        <f>'Wetland Design'!G211</f>
        <v>148.1</v>
      </c>
      <c r="C121">
        <f>'Wetland Design'!H211</f>
        <v>17</v>
      </c>
      <c r="D121">
        <f>'Wetland Design'!I211</f>
        <v>5</v>
      </c>
      <c r="E121">
        <f>'Wetland Design'!F211</f>
        <v>98</v>
      </c>
      <c r="AF121"/>
      <c r="AT121"/>
      <c r="BG121"/>
    </row>
    <row r="122" spans="1:166" x14ac:dyDescent="0.25">
      <c r="A122">
        <v>50</v>
      </c>
      <c r="B122">
        <f>'Wetland Design'!G212</f>
        <v>239.00000000000003</v>
      </c>
      <c r="C122">
        <f>'Wetland Design'!H212</f>
        <v>23</v>
      </c>
      <c r="D122">
        <f>'Wetland Design'!I212</f>
        <v>5</v>
      </c>
      <c r="E122">
        <f>'Wetland Design'!F212</f>
        <v>165</v>
      </c>
      <c r="AF122"/>
      <c r="AT122"/>
      <c r="BG122"/>
    </row>
    <row r="123" spans="1:166" x14ac:dyDescent="0.25">
      <c r="A123">
        <v>75</v>
      </c>
      <c r="B123">
        <f>'Wetland Design'!G213</f>
        <v>349.70000000000005</v>
      </c>
      <c r="C123">
        <f>'Wetland Design'!H213</f>
        <v>29</v>
      </c>
      <c r="D123">
        <f>'Wetland Design'!I213</f>
        <v>5</v>
      </c>
      <c r="E123">
        <f>'Wetland Design'!F213</f>
        <v>248</v>
      </c>
      <c r="AF123"/>
      <c r="AT123"/>
      <c r="BG123"/>
    </row>
    <row r="124" spans="1:166" x14ac:dyDescent="0.25">
      <c r="A124">
        <v>100</v>
      </c>
      <c r="B124">
        <f>'Wetland Design'!G214</f>
        <v>448.50000000000006</v>
      </c>
      <c r="C124">
        <f>'Wetland Design'!H214</f>
        <v>33</v>
      </c>
      <c r="D124">
        <f>'Wetland Design'!I214</f>
        <v>5</v>
      </c>
      <c r="E124">
        <f>'Wetland Design'!F214</f>
        <v>322</v>
      </c>
      <c r="AF124"/>
      <c r="AT124"/>
      <c r="BG124"/>
    </row>
    <row r="125" spans="1:166" x14ac:dyDescent="0.25">
      <c r="A125">
        <v>150</v>
      </c>
      <c r="B125">
        <f>'Wetland Design'!G215</f>
        <v>349.70000000000005</v>
      </c>
      <c r="C125">
        <f>'Wetland Design'!H215</f>
        <v>29</v>
      </c>
      <c r="D125">
        <f>'Wetland Design'!I215</f>
        <v>5</v>
      </c>
      <c r="E125">
        <f>'Wetland Design'!F215</f>
        <v>249</v>
      </c>
      <c r="AF125"/>
      <c r="AT125"/>
      <c r="BG125"/>
    </row>
    <row r="126" spans="1:166" x14ac:dyDescent="0.25">
      <c r="A126">
        <v>200</v>
      </c>
      <c r="B126">
        <f>'Wetland Design'!G216</f>
        <v>448.50000000000006</v>
      </c>
      <c r="C126">
        <f>'Wetland Design'!H216</f>
        <v>33</v>
      </c>
      <c r="D126">
        <f>'Wetland Design'!I216</f>
        <v>5</v>
      </c>
      <c r="E126">
        <f>'Wetland Design'!F216</f>
        <v>323</v>
      </c>
      <c r="AF126"/>
      <c r="AT126"/>
      <c r="BG126"/>
    </row>
    <row r="127" spans="1:166" x14ac:dyDescent="0.25">
      <c r="A127">
        <v>300</v>
      </c>
      <c r="B127">
        <f>'Wetland Design'!G217</f>
        <v>448.50000000000006</v>
      </c>
      <c r="C127">
        <f>'Wetland Design'!H217</f>
        <v>33</v>
      </c>
      <c r="D127">
        <f>'Wetland Design'!I217</f>
        <v>5</v>
      </c>
      <c r="E127">
        <f>'Wetland Design'!F217</f>
        <v>323</v>
      </c>
      <c r="AF127"/>
      <c r="AT127"/>
      <c r="BG127"/>
    </row>
    <row r="128" spans="1:166" x14ac:dyDescent="0.25">
      <c r="A128">
        <v>400</v>
      </c>
      <c r="B128">
        <f>'Wetland Design'!G218</f>
        <v>448.50000000000006</v>
      </c>
      <c r="C128">
        <f>'Wetland Design'!H218</f>
        <v>33</v>
      </c>
      <c r="D128">
        <f>'Wetland Design'!I218</f>
        <v>5</v>
      </c>
      <c r="E128">
        <f>'Wetland Design'!F218</f>
        <v>323</v>
      </c>
      <c r="AF128"/>
      <c r="AT128"/>
      <c r="BG128"/>
    </row>
    <row r="129" spans="1:59" x14ac:dyDescent="0.25">
      <c r="A129">
        <v>500</v>
      </c>
      <c r="B129">
        <f>'Wetland Design'!G219</f>
        <v>550.5</v>
      </c>
      <c r="C129">
        <f>'Wetland Design'!H219</f>
        <v>37</v>
      </c>
      <c r="D129">
        <f>'Wetland Design'!I219</f>
        <v>5</v>
      </c>
      <c r="E129">
        <f>'Wetland Design'!F219</f>
        <v>400</v>
      </c>
      <c r="AF129"/>
      <c r="AT129"/>
      <c r="BG129"/>
    </row>
    <row r="130" spans="1:59" x14ac:dyDescent="0.25">
      <c r="A130">
        <v>600</v>
      </c>
      <c r="B130">
        <f>'Wetland Design'!G220</f>
        <v>539.5</v>
      </c>
      <c r="C130">
        <f>'Wetland Design'!H220</f>
        <v>37</v>
      </c>
      <c r="D130">
        <f>'Wetland Design'!I220</f>
        <v>5</v>
      </c>
      <c r="E130">
        <f>'Wetland Design'!F220</f>
        <v>392</v>
      </c>
      <c r="AF130"/>
      <c r="AT130"/>
      <c r="BG130"/>
    </row>
    <row r="131" spans="1:59" x14ac:dyDescent="0.25">
      <c r="A131">
        <v>700</v>
      </c>
      <c r="B131">
        <f>'Wetland Design'!G221</f>
        <v>532.90000000000009</v>
      </c>
      <c r="C131">
        <f>'Wetland Design'!H221</f>
        <v>37</v>
      </c>
      <c r="D131">
        <f>'Wetland Design'!I221</f>
        <v>5</v>
      </c>
      <c r="E131">
        <f>'Wetland Design'!F221</f>
        <v>388</v>
      </c>
      <c r="AF131"/>
      <c r="AT131"/>
      <c r="BG131"/>
    </row>
    <row r="132" spans="1:59" x14ac:dyDescent="0.25">
      <c r="A132">
        <v>800</v>
      </c>
      <c r="B132">
        <f>'Wetland Design'!G222</f>
        <v>528.5</v>
      </c>
      <c r="C132">
        <f>'Wetland Design'!H222</f>
        <v>37</v>
      </c>
      <c r="D132">
        <f>'Wetland Design'!I222</f>
        <v>5</v>
      </c>
      <c r="E132">
        <f>'Wetland Design'!F222</f>
        <v>384</v>
      </c>
      <c r="AF132"/>
      <c r="AT132"/>
      <c r="BG132"/>
    </row>
    <row r="133" spans="1:59" x14ac:dyDescent="0.25">
      <c r="A133">
        <v>1000</v>
      </c>
      <c r="B133">
        <f>'Wetland Design'!G223</f>
        <v>550.5</v>
      </c>
      <c r="C133">
        <f>'Wetland Design'!H223</f>
        <v>37</v>
      </c>
      <c r="D133">
        <f>'Wetland Design'!I223</f>
        <v>5</v>
      </c>
      <c r="E133">
        <f>'Wetland Design'!F223</f>
        <v>400</v>
      </c>
      <c r="AF133"/>
      <c r="AT133"/>
      <c r="BG133"/>
    </row>
    <row r="134" spans="1:59" x14ac:dyDescent="0.25">
      <c r="AF134"/>
      <c r="AT134"/>
      <c r="BG134"/>
    </row>
    <row r="135" spans="1:59" x14ac:dyDescent="0.25">
      <c r="AF135"/>
      <c r="AT135"/>
      <c r="BG135"/>
    </row>
    <row r="136" spans="1:59" x14ac:dyDescent="0.25">
      <c r="A136" t="s">
        <v>156</v>
      </c>
      <c r="B136" t="str">
        <f>'Wetland Design'!K207</f>
        <v>Pipe Length</v>
      </c>
      <c r="C136" t="str">
        <f>'Wetland Design'!L207</f>
        <v>Tee Joints</v>
      </c>
      <c r="D136" t="str">
        <f>'Wetland Design'!M207</f>
        <v>Elbows</v>
      </c>
      <c r="AF136"/>
      <c r="AT136"/>
      <c r="BG136"/>
    </row>
    <row r="137" spans="1:59" x14ac:dyDescent="0.25">
      <c r="A137">
        <v>5</v>
      </c>
      <c r="B137">
        <f>'Wetland Design'!K208</f>
        <v>28.6</v>
      </c>
      <c r="C137">
        <f>'Wetland Design'!L208</f>
        <v>2</v>
      </c>
      <c r="D137">
        <f>'Wetland Design'!M208</f>
        <v>6</v>
      </c>
      <c r="AF137"/>
      <c r="AT137"/>
      <c r="BG137"/>
    </row>
    <row r="138" spans="1:59" x14ac:dyDescent="0.25">
      <c r="A138">
        <v>10</v>
      </c>
      <c r="B138">
        <f>'Wetland Design'!K209</f>
        <v>55.099999999999994</v>
      </c>
      <c r="C138">
        <f>'Wetland Design'!L209</f>
        <v>4</v>
      </c>
      <c r="D138">
        <f>'Wetland Design'!M209</f>
        <v>8</v>
      </c>
      <c r="AF138"/>
      <c r="AT138"/>
      <c r="BG138"/>
    </row>
    <row r="139" spans="1:59" x14ac:dyDescent="0.25">
      <c r="A139">
        <v>20</v>
      </c>
      <c r="B139">
        <f>'Wetland Design'!K210</f>
        <v>97.2</v>
      </c>
      <c r="C139">
        <f>'Wetland Design'!L210</f>
        <v>6</v>
      </c>
      <c r="D139">
        <f>'Wetland Design'!M210</f>
        <v>10</v>
      </c>
      <c r="AF139"/>
      <c r="AT139"/>
      <c r="BG139"/>
    </row>
    <row r="140" spans="1:59" x14ac:dyDescent="0.25">
      <c r="A140">
        <v>30</v>
      </c>
      <c r="B140">
        <f>'Wetland Design'!K211</f>
        <v>144.29999999999998</v>
      </c>
      <c r="C140">
        <f>'Wetland Design'!L211</f>
        <v>8</v>
      </c>
      <c r="D140">
        <f>'Wetland Design'!M211</f>
        <v>12</v>
      </c>
      <c r="AF140"/>
      <c r="AT140"/>
      <c r="BG140"/>
    </row>
    <row r="141" spans="1:59" x14ac:dyDescent="0.25">
      <c r="A141">
        <v>50</v>
      </c>
      <c r="B141">
        <f>'Wetland Design'!K212</f>
        <v>234.3</v>
      </c>
      <c r="C141">
        <f>'Wetland Design'!L212</f>
        <v>11</v>
      </c>
      <c r="D141">
        <f>'Wetland Design'!M212</f>
        <v>15</v>
      </c>
      <c r="AF141"/>
      <c r="AT141"/>
      <c r="BG141"/>
    </row>
    <row r="142" spans="1:59" x14ac:dyDescent="0.25">
      <c r="A142">
        <v>75</v>
      </c>
      <c r="B142">
        <f>'Wetland Design'!K213</f>
        <v>344.2</v>
      </c>
      <c r="C142">
        <f>'Wetland Design'!L213</f>
        <v>14</v>
      </c>
      <c r="D142">
        <f>'Wetland Design'!M213</f>
        <v>18</v>
      </c>
      <c r="AF142"/>
      <c r="AT142"/>
      <c r="BG142"/>
    </row>
    <row r="143" spans="1:59" x14ac:dyDescent="0.25">
      <c r="A143">
        <v>100</v>
      </c>
      <c r="B143">
        <f>'Wetland Design'!K214</f>
        <v>441.8</v>
      </c>
      <c r="C143">
        <f>'Wetland Design'!L214</f>
        <v>16</v>
      </c>
      <c r="D143">
        <f>'Wetland Design'!M214</f>
        <v>20</v>
      </c>
      <c r="AF143"/>
      <c r="AT143"/>
      <c r="BG143"/>
    </row>
    <row r="144" spans="1:59" x14ac:dyDescent="0.25">
      <c r="A144">
        <v>150</v>
      </c>
      <c r="B144">
        <f>'Wetland Design'!K215</f>
        <v>669</v>
      </c>
      <c r="C144">
        <f>'Wetland Design'!L215</f>
        <v>30</v>
      </c>
      <c r="D144">
        <f>'Wetland Design'!M215</f>
        <v>34</v>
      </c>
      <c r="AF144"/>
      <c r="AT144"/>
      <c r="BG144"/>
    </row>
    <row r="145" spans="1:172" x14ac:dyDescent="0.25">
      <c r="A145">
        <v>200</v>
      </c>
      <c r="B145">
        <f>'Wetland Design'!K216</f>
        <v>861.2</v>
      </c>
      <c r="C145">
        <f>'Wetland Design'!L216</f>
        <v>34</v>
      </c>
      <c r="D145">
        <f>'Wetland Design'!M216</f>
        <v>38</v>
      </c>
      <c r="AF145"/>
      <c r="AT145"/>
      <c r="BG145"/>
    </row>
    <row r="146" spans="1:172" x14ac:dyDescent="0.25">
      <c r="A146">
        <v>300</v>
      </c>
      <c r="B146">
        <f>'Wetland Design'!K217</f>
        <v>861.2</v>
      </c>
      <c r="C146">
        <f>'Wetland Design'!L217</f>
        <v>34</v>
      </c>
      <c r="D146">
        <f>'Wetland Design'!M217</f>
        <v>38</v>
      </c>
      <c r="AF146"/>
      <c r="AT146"/>
      <c r="BG146"/>
    </row>
    <row r="147" spans="1:172" x14ac:dyDescent="0.25">
      <c r="A147">
        <v>400</v>
      </c>
      <c r="B147">
        <f>'Wetland Design'!K218</f>
        <v>861.2</v>
      </c>
      <c r="C147">
        <f>'Wetland Design'!L218</f>
        <v>34</v>
      </c>
      <c r="D147">
        <f>'Wetland Design'!M218</f>
        <v>38</v>
      </c>
      <c r="AF147"/>
      <c r="AT147"/>
      <c r="BG147"/>
    </row>
    <row r="148" spans="1:172" x14ac:dyDescent="0.25">
      <c r="A148">
        <v>500</v>
      </c>
      <c r="B148">
        <f>'Wetland Design'!K219</f>
        <v>1061</v>
      </c>
      <c r="C148">
        <f>'Wetland Design'!L219</f>
        <v>38</v>
      </c>
      <c r="D148">
        <f>'Wetland Design'!M219</f>
        <v>42</v>
      </c>
      <c r="AF148"/>
      <c r="AT148"/>
      <c r="BG148"/>
    </row>
    <row r="149" spans="1:172" x14ac:dyDescent="0.25">
      <c r="A149">
        <v>600</v>
      </c>
      <c r="B149">
        <f>'Wetland Design'!K220</f>
        <v>1040.5</v>
      </c>
      <c r="C149">
        <f>'Wetland Design'!L220</f>
        <v>38</v>
      </c>
      <c r="D149">
        <f>'Wetland Design'!M220</f>
        <v>42</v>
      </c>
      <c r="AF149"/>
      <c r="AT149"/>
      <c r="BG149"/>
    </row>
    <row r="150" spans="1:172" x14ac:dyDescent="0.25">
      <c r="A150">
        <v>700</v>
      </c>
      <c r="B150">
        <f>'Wetland Design'!K221</f>
        <v>1003.1000000000001</v>
      </c>
      <c r="C150">
        <f>'Wetland Design'!L221</f>
        <v>37</v>
      </c>
      <c r="D150">
        <f>'Wetland Design'!M221</f>
        <v>41</v>
      </c>
      <c r="AF150"/>
      <c r="AT150"/>
      <c r="BG150"/>
    </row>
    <row r="151" spans="1:172" x14ac:dyDescent="0.25">
      <c r="A151">
        <v>800</v>
      </c>
      <c r="B151">
        <f>'Wetland Design'!K222</f>
        <v>995.1</v>
      </c>
      <c r="C151">
        <f>'Wetland Design'!L222</f>
        <v>37</v>
      </c>
      <c r="D151">
        <f>'Wetland Design'!M222</f>
        <v>41</v>
      </c>
      <c r="AF151"/>
      <c r="AT151"/>
      <c r="BG151"/>
    </row>
    <row r="152" spans="1:172" x14ac:dyDescent="0.25">
      <c r="A152">
        <v>1000</v>
      </c>
      <c r="B152">
        <f>'Wetland Design'!K223</f>
        <v>1061</v>
      </c>
      <c r="C152">
        <f>'Wetland Design'!L223</f>
        <v>38</v>
      </c>
      <c r="D152">
        <f>'Wetland Design'!M223</f>
        <v>42</v>
      </c>
      <c r="AF152"/>
      <c r="AT152"/>
      <c r="BG152"/>
    </row>
    <row r="153" spans="1:172" ht="15.75" thickBot="1" x14ac:dyDescent="0.3">
      <c r="AF153"/>
      <c r="AT153"/>
      <c r="BG153"/>
    </row>
    <row r="154" spans="1:172" s="88" customFormat="1" ht="19.5" thickBot="1" x14ac:dyDescent="0.35">
      <c r="A154" s="144" t="s">
        <v>463</v>
      </c>
      <c r="B154" s="145"/>
      <c r="C154" s="145"/>
      <c r="D154" s="145"/>
      <c r="E154" s="145"/>
      <c r="F154" s="145"/>
      <c r="G154" s="146"/>
      <c r="H154" s="138" t="s">
        <v>55</v>
      </c>
      <c r="I154" s="138"/>
      <c r="J154" s="138"/>
      <c r="K154" s="138"/>
      <c r="L154" s="138"/>
      <c r="M154" s="138"/>
      <c r="N154" s="138"/>
      <c r="O154" s="138"/>
      <c r="P154" s="138"/>
      <c r="Q154" s="138"/>
      <c r="R154" s="139"/>
      <c r="S154" s="137" t="s">
        <v>135</v>
      </c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9"/>
      <c r="AD154" s="137" t="s">
        <v>165</v>
      </c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9"/>
      <c r="AO154" s="137" t="s">
        <v>275</v>
      </c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9"/>
      <c r="AZ154" s="137" t="s">
        <v>294</v>
      </c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9"/>
      <c r="BK154" s="137" t="s">
        <v>303</v>
      </c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9"/>
      <c r="BV154" s="137" t="s">
        <v>311</v>
      </c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9"/>
      <c r="CG154" s="137" t="s">
        <v>740</v>
      </c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9"/>
      <c r="CR154" s="137" t="s">
        <v>741</v>
      </c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9"/>
      <c r="DC154" s="137" t="s">
        <v>742</v>
      </c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9"/>
      <c r="DN154" s="137" t="s">
        <v>743</v>
      </c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9"/>
      <c r="DY154" s="137" t="s">
        <v>744</v>
      </c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9"/>
      <c r="EJ154" s="137" t="s">
        <v>745</v>
      </c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9"/>
      <c r="EU154" s="137" t="s">
        <v>746</v>
      </c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9"/>
      <c r="FF154" s="137" t="s">
        <v>747</v>
      </c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9"/>
    </row>
    <row r="155" spans="1:172" x14ac:dyDescent="0.25">
      <c r="AF155"/>
      <c r="AT155"/>
      <c r="BG155"/>
    </row>
    <row r="156" spans="1:172" x14ac:dyDescent="0.25">
      <c r="C156" t="s">
        <v>915</v>
      </c>
      <c r="E156" t="s">
        <v>794</v>
      </c>
      <c r="I156" s="10" t="s">
        <v>944</v>
      </c>
      <c r="T156" s="10" t="s">
        <v>944</v>
      </c>
      <c r="AE156" s="10" t="s">
        <v>944</v>
      </c>
      <c r="AF156"/>
      <c r="AP156" s="10" t="s">
        <v>944</v>
      </c>
      <c r="AT156"/>
      <c r="BA156" s="10" t="s">
        <v>944</v>
      </c>
      <c r="BG156"/>
      <c r="BL156" s="10" t="s">
        <v>944</v>
      </c>
      <c r="BW156" s="10" t="s">
        <v>944</v>
      </c>
      <c r="CH156" s="10" t="s">
        <v>944</v>
      </c>
      <c r="CS156" s="10" t="s">
        <v>944</v>
      </c>
      <c r="DD156" s="10" t="s">
        <v>944</v>
      </c>
      <c r="DO156" s="10" t="s">
        <v>944</v>
      </c>
      <c r="DZ156" s="10" t="s">
        <v>944</v>
      </c>
      <c r="EK156" s="10" t="s">
        <v>944</v>
      </c>
      <c r="EV156" s="10" t="s">
        <v>944</v>
      </c>
      <c r="FH156" s="10" t="s">
        <v>944</v>
      </c>
    </row>
    <row r="157" spans="1:172" x14ac:dyDescent="0.25">
      <c r="B157" t="s">
        <v>914</v>
      </c>
      <c r="C157" t="s">
        <v>916</v>
      </c>
      <c r="E157">
        <f>Index!$C$90</f>
        <v>35.125005520162802</v>
      </c>
      <c r="I157" t="s">
        <v>80</v>
      </c>
      <c r="K157" t="s">
        <v>2</v>
      </c>
      <c r="L157" t="s">
        <v>81</v>
      </c>
      <c r="M157" t="s">
        <v>82</v>
      </c>
      <c r="N157" t="s">
        <v>59</v>
      </c>
      <c r="T157" t="s">
        <v>80</v>
      </c>
      <c r="V157" t="s">
        <v>2</v>
      </c>
      <c r="W157" t="s">
        <v>81</v>
      </c>
      <c r="X157" t="s">
        <v>82</v>
      </c>
      <c r="Y157" t="s">
        <v>59</v>
      </c>
      <c r="AE157" t="s">
        <v>80</v>
      </c>
      <c r="AF157"/>
      <c r="AG157" t="s">
        <v>2</v>
      </c>
      <c r="AH157" t="s">
        <v>81</v>
      </c>
      <c r="AI157" t="s">
        <v>82</v>
      </c>
      <c r="AJ157" t="s">
        <v>59</v>
      </c>
      <c r="AP157" t="s">
        <v>80</v>
      </c>
      <c r="AR157" t="s">
        <v>2</v>
      </c>
      <c r="AS157" t="s">
        <v>81</v>
      </c>
      <c r="AT157" t="s">
        <v>82</v>
      </c>
      <c r="AU157" t="s">
        <v>59</v>
      </c>
      <c r="BA157" t="s">
        <v>80</v>
      </c>
      <c r="BC157" t="s">
        <v>2</v>
      </c>
      <c r="BD157" t="s">
        <v>81</v>
      </c>
      <c r="BE157" t="s">
        <v>82</v>
      </c>
      <c r="BF157" t="s">
        <v>59</v>
      </c>
      <c r="BG157"/>
      <c r="BL157" t="s">
        <v>80</v>
      </c>
      <c r="BN157" t="s">
        <v>2</v>
      </c>
      <c r="BO157" t="s">
        <v>81</v>
      </c>
      <c r="BP157" t="s">
        <v>82</v>
      </c>
      <c r="BQ157" t="s">
        <v>59</v>
      </c>
      <c r="BW157" t="s">
        <v>80</v>
      </c>
      <c r="BY157" t="s">
        <v>2</v>
      </c>
      <c r="BZ157" t="s">
        <v>81</v>
      </c>
      <c r="CA157" t="s">
        <v>82</v>
      </c>
      <c r="CB157" t="s">
        <v>59</v>
      </c>
      <c r="CH157" t="s">
        <v>80</v>
      </c>
      <c r="CJ157" t="s">
        <v>2</v>
      </c>
      <c r="CK157" t="s">
        <v>81</v>
      </c>
      <c r="CL157" t="s">
        <v>82</v>
      </c>
      <c r="CM157" t="s">
        <v>59</v>
      </c>
      <c r="CS157" t="s">
        <v>80</v>
      </c>
      <c r="CU157" t="s">
        <v>2</v>
      </c>
      <c r="CV157" t="s">
        <v>81</v>
      </c>
      <c r="CW157" t="s">
        <v>82</v>
      </c>
      <c r="CX157" t="s">
        <v>59</v>
      </c>
      <c r="DD157" t="s">
        <v>80</v>
      </c>
      <c r="DF157" t="s">
        <v>2</v>
      </c>
      <c r="DG157" t="s">
        <v>81</v>
      </c>
      <c r="DH157" t="s">
        <v>82</v>
      </c>
      <c r="DI157" t="s">
        <v>59</v>
      </c>
      <c r="DO157" t="s">
        <v>80</v>
      </c>
      <c r="DQ157" t="s">
        <v>2</v>
      </c>
      <c r="DR157" t="s">
        <v>81</v>
      </c>
      <c r="DS157" t="s">
        <v>82</v>
      </c>
      <c r="DT157" t="s">
        <v>59</v>
      </c>
      <c r="DZ157" t="s">
        <v>80</v>
      </c>
      <c r="EB157" t="s">
        <v>2</v>
      </c>
      <c r="EC157" t="s">
        <v>81</v>
      </c>
      <c r="ED157" t="s">
        <v>82</v>
      </c>
      <c r="EE157" t="s">
        <v>59</v>
      </c>
      <c r="EK157" t="s">
        <v>80</v>
      </c>
      <c r="EM157" t="s">
        <v>2</v>
      </c>
      <c r="EN157" t="s">
        <v>81</v>
      </c>
      <c r="EO157" t="s">
        <v>82</v>
      </c>
      <c r="EP157" t="s">
        <v>59</v>
      </c>
      <c r="EV157" t="s">
        <v>80</v>
      </c>
      <c r="EX157" t="s">
        <v>2</v>
      </c>
      <c r="EY157" t="s">
        <v>81</v>
      </c>
      <c r="EZ157" t="s">
        <v>82</v>
      </c>
      <c r="FA157" t="s">
        <v>59</v>
      </c>
      <c r="FH157" t="s">
        <v>80</v>
      </c>
      <c r="FJ157" t="s">
        <v>2</v>
      </c>
      <c r="FK157" t="s">
        <v>81</v>
      </c>
      <c r="FL157" t="s">
        <v>82</v>
      </c>
      <c r="FM157" t="s">
        <v>59</v>
      </c>
    </row>
    <row r="158" spans="1:172" x14ac:dyDescent="0.25">
      <c r="B158" t="s">
        <v>917</v>
      </c>
      <c r="C158" t="s">
        <v>475</v>
      </c>
      <c r="E158">
        <f>E157</f>
        <v>35.125005520162802</v>
      </c>
      <c r="I158" t="s">
        <v>972</v>
      </c>
      <c r="J158" t="s">
        <v>14</v>
      </c>
      <c r="K158">
        <f>P7*P8*0.2</f>
        <v>5</v>
      </c>
      <c r="L158">
        <f>Index!$C$68</f>
        <v>11.38</v>
      </c>
      <c r="M158">
        <f>L158*(1.02)^3</f>
        <v>12.076547039999999</v>
      </c>
      <c r="N158">
        <f>M158*K158</f>
        <v>60.382735199999999</v>
      </c>
      <c r="T158" t="s">
        <v>972</v>
      </c>
      <c r="U158" t="s">
        <v>14</v>
      </c>
      <c r="V158">
        <f>AA7*AA8*0.2</f>
        <v>10.082000000000001</v>
      </c>
      <c r="W158">
        <f>Index!$C$68</f>
        <v>11.38</v>
      </c>
      <c r="X158">
        <f>W158*(1.02)^3</f>
        <v>12.076547039999999</v>
      </c>
      <c r="Y158">
        <f>X158*V158</f>
        <v>121.75574725728001</v>
      </c>
      <c r="AE158" t="s">
        <v>972</v>
      </c>
      <c r="AF158" t="s">
        <v>14</v>
      </c>
      <c r="AG158">
        <f>AL7*AL8*0.2</f>
        <v>20</v>
      </c>
      <c r="AH158">
        <f>Index!$C$68</f>
        <v>11.38</v>
      </c>
      <c r="AI158">
        <f>AH158*(1.02)^3</f>
        <v>12.076547039999999</v>
      </c>
      <c r="AJ158">
        <f>AI158*AG158</f>
        <v>241.5309408</v>
      </c>
      <c r="AP158" t="s">
        <v>972</v>
      </c>
      <c r="AQ158" t="s">
        <v>14</v>
      </c>
      <c r="AR158">
        <f>AW7*AW8*0.2</f>
        <v>30.257999999999996</v>
      </c>
      <c r="AS158">
        <f>Index!$C$68</f>
        <v>11.38</v>
      </c>
      <c r="AT158">
        <f>AS158*(1.02)^3</f>
        <v>12.076547039999999</v>
      </c>
      <c r="AU158">
        <f>AT158*AR158</f>
        <v>365.41216033631991</v>
      </c>
      <c r="BA158" t="s">
        <v>972</v>
      </c>
      <c r="BB158" t="s">
        <v>14</v>
      </c>
      <c r="BC158">
        <f>BH7*BH8*0.2</f>
        <v>50.562000000000005</v>
      </c>
      <c r="BD158">
        <f>Index!$C$68</f>
        <v>11.38</v>
      </c>
      <c r="BE158">
        <f>BD158*(1.02)^3</f>
        <v>12.076547039999999</v>
      </c>
      <c r="BF158">
        <f>BE158*BC158</f>
        <v>610.61437143648004</v>
      </c>
      <c r="BG158"/>
      <c r="BL158" t="s">
        <v>972</v>
      </c>
      <c r="BM158" t="s">
        <v>14</v>
      </c>
      <c r="BN158">
        <f>BS7*BS8*0.2</f>
        <v>75.27200000000002</v>
      </c>
      <c r="BO158">
        <f>Index!$C$68</f>
        <v>11.38</v>
      </c>
      <c r="BP158">
        <f>BO158*(1.02)^3</f>
        <v>12.076547039999999</v>
      </c>
      <c r="BQ158">
        <f>BP158*BN158</f>
        <v>909.02584879488018</v>
      </c>
      <c r="BW158" t="s">
        <v>972</v>
      </c>
      <c r="BX158" t="s">
        <v>14</v>
      </c>
      <c r="BY158">
        <f>CD7*CD8*0.2</f>
        <v>100.35200000000003</v>
      </c>
      <c r="BZ158">
        <f>Index!$C$68</f>
        <v>11.38</v>
      </c>
      <c r="CA158">
        <f>BZ158*(1.02)^3</f>
        <v>12.076547039999999</v>
      </c>
      <c r="CB158">
        <f>CA158*BY158</f>
        <v>1211.9056485580804</v>
      </c>
      <c r="CH158" t="s">
        <v>972</v>
      </c>
      <c r="CI158" t="s">
        <v>14</v>
      </c>
      <c r="CJ158">
        <f>CO90*CO91*0.2*CO98</f>
        <v>150.54400000000004</v>
      </c>
      <c r="CK158">
        <f>Index!$C$68</f>
        <v>11.38</v>
      </c>
      <c r="CL158">
        <f>CK158*(1.02)^3</f>
        <v>12.076547039999999</v>
      </c>
      <c r="CM158">
        <f>CL158*CJ158</f>
        <v>1818.0516975897604</v>
      </c>
      <c r="CS158" t="s">
        <v>972</v>
      </c>
      <c r="CT158" t="s">
        <v>14</v>
      </c>
      <c r="CU158">
        <f>CZ90*CZ91*0.2*CZ98</f>
        <v>200.70400000000006</v>
      </c>
      <c r="CV158">
        <f>Index!$C$68</f>
        <v>11.38</v>
      </c>
      <c r="CW158">
        <f>CV158*(1.02)^3</f>
        <v>12.076547039999999</v>
      </c>
      <c r="CX158">
        <f>CW158*CU158</f>
        <v>2423.8112971161609</v>
      </c>
      <c r="DD158" t="s">
        <v>972</v>
      </c>
      <c r="DE158" t="s">
        <v>14</v>
      </c>
      <c r="DF158">
        <f>DK90*DK91*0.2*DK98</f>
        <v>301.0560000000001</v>
      </c>
      <c r="DG158">
        <f>Index!$C$68</f>
        <v>11.38</v>
      </c>
      <c r="DH158">
        <f>DG158*(1.02)^3</f>
        <v>12.076547039999999</v>
      </c>
      <c r="DI158">
        <f>DH158*DF158</f>
        <v>3635.7169456742408</v>
      </c>
      <c r="DO158" t="s">
        <v>972</v>
      </c>
      <c r="DP158" t="s">
        <v>14</v>
      </c>
      <c r="DQ158">
        <f>DV90*DV91*0.2*DV98</f>
        <v>401.40800000000013</v>
      </c>
      <c r="DR158">
        <f>Index!$C$68</f>
        <v>11.38</v>
      </c>
      <c r="DS158">
        <f>DR158*(1.02)^3</f>
        <v>12.076547039999999</v>
      </c>
      <c r="DT158">
        <f>DS158*DQ158</f>
        <v>4847.6225942323217</v>
      </c>
      <c r="DZ158" t="s">
        <v>972</v>
      </c>
      <c r="EA158" t="s">
        <v>14</v>
      </c>
      <c r="EB158">
        <f>EG90*EG91*0.2*EG98</f>
        <v>500</v>
      </c>
      <c r="EC158">
        <f>Index!$C$68</f>
        <v>11.38</v>
      </c>
      <c r="ED158">
        <f>EC158*(1.02)^3</f>
        <v>12.076547039999999</v>
      </c>
      <c r="EE158">
        <f>ED158*EB158</f>
        <v>6038.2735199999997</v>
      </c>
      <c r="EK158" t="s">
        <v>972</v>
      </c>
      <c r="EL158" t="s">
        <v>14</v>
      </c>
      <c r="EM158">
        <f>ER90*ER91*0.2*ER98</f>
        <v>600.25</v>
      </c>
      <c r="EN158">
        <f>Index!$C$68</f>
        <v>11.38</v>
      </c>
      <c r="EO158">
        <f>EN158*(1.02)^3</f>
        <v>12.076547039999999</v>
      </c>
      <c r="EP158">
        <f>EO158*EM158</f>
        <v>7248.9473607599994</v>
      </c>
      <c r="EV158" t="s">
        <v>972</v>
      </c>
      <c r="EW158" t="s">
        <v>14</v>
      </c>
      <c r="EX158">
        <f>FC90*FC91*0.2*FC98</f>
        <v>702.76800000000014</v>
      </c>
      <c r="EY158">
        <f>Index!$C$68</f>
        <v>11.38</v>
      </c>
      <c r="EZ158">
        <f>EY158*(1.02)^3</f>
        <v>12.076547039999999</v>
      </c>
      <c r="FA158">
        <f>EZ158*EX158</f>
        <v>8487.0108102067206</v>
      </c>
      <c r="FH158" t="s">
        <v>972</v>
      </c>
      <c r="FI158" t="s">
        <v>14</v>
      </c>
      <c r="FJ158">
        <f>FO90*FO91*0.2*FO98</f>
        <v>806.4</v>
      </c>
      <c r="FK158">
        <f>Index!$C$68</f>
        <v>11.38</v>
      </c>
      <c r="FL158">
        <f>FK158*(1.02)^3</f>
        <v>12.076547039999999</v>
      </c>
      <c r="FM158">
        <f>FL158*FJ158</f>
        <v>9738.5275330559998</v>
      </c>
    </row>
    <row r="159" spans="1:172" x14ac:dyDescent="0.25">
      <c r="I159" t="s">
        <v>973</v>
      </c>
      <c r="T159" t="s">
        <v>973</v>
      </c>
      <c r="AE159" t="s">
        <v>973</v>
      </c>
      <c r="AF159"/>
      <c r="AP159" t="s">
        <v>973</v>
      </c>
      <c r="AT159"/>
      <c r="BA159" t="s">
        <v>973</v>
      </c>
      <c r="BG159"/>
      <c r="BL159" t="s">
        <v>973</v>
      </c>
      <c r="BW159" t="s">
        <v>973</v>
      </c>
      <c r="CH159" t="s">
        <v>973</v>
      </c>
      <c r="CS159" t="s">
        <v>973</v>
      </c>
      <c r="DD159" t="s">
        <v>973</v>
      </c>
      <c r="DO159" t="s">
        <v>973</v>
      </c>
      <c r="DZ159" t="s">
        <v>973</v>
      </c>
      <c r="EK159" t="s">
        <v>973</v>
      </c>
      <c r="EV159" t="s">
        <v>973</v>
      </c>
      <c r="FH159" t="s">
        <v>973</v>
      </c>
    </row>
    <row r="160" spans="1:172" x14ac:dyDescent="0.25">
      <c r="B160" t="s">
        <v>593</v>
      </c>
      <c r="J160" t="s">
        <v>863</v>
      </c>
      <c r="K160">
        <f>K158*(0.15/0.2)*(2/3)</f>
        <v>2.4999999999999996</v>
      </c>
      <c r="L160">
        <f>Index!$C$46</f>
        <v>38</v>
      </c>
      <c r="M160">
        <f>L160*(1.02)^3</f>
        <v>40.325903999999994</v>
      </c>
      <c r="N160">
        <f t="shared" ref="N160:N163" si="62">M160*K160</f>
        <v>100.81475999999996</v>
      </c>
      <c r="U160" t="s">
        <v>863</v>
      </c>
      <c r="V160">
        <f>V158*(0.15/0.2)*(2/3)</f>
        <v>5.0409999999999995</v>
      </c>
      <c r="W160">
        <f>Index!$C$46</f>
        <v>38</v>
      </c>
      <c r="X160">
        <f>W160*(1.02)^3</f>
        <v>40.325903999999994</v>
      </c>
      <c r="Y160">
        <f t="shared" ref="Y160:Y161" si="63">X160*V160</f>
        <v>203.28288206399995</v>
      </c>
      <c r="AF160" t="s">
        <v>863</v>
      </c>
      <c r="AG160">
        <f>AG158*(0.15/0.2)*(2/3)</f>
        <v>9.9999999999999982</v>
      </c>
      <c r="AH160">
        <f>Index!$C$46</f>
        <v>38</v>
      </c>
      <c r="AI160">
        <f>AH160*(1.02)^3</f>
        <v>40.325903999999994</v>
      </c>
      <c r="AJ160">
        <f t="shared" ref="AJ160:AJ161" si="64">AI160*AG160</f>
        <v>403.25903999999986</v>
      </c>
      <c r="AQ160" t="s">
        <v>863</v>
      </c>
      <c r="AR160">
        <f>AR158*(0.15/0.2)*(2/3)</f>
        <v>15.128999999999994</v>
      </c>
      <c r="AS160">
        <f>Index!$C$46</f>
        <v>38</v>
      </c>
      <c r="AT160">
        <f>AS160*(1.02)^3</f>
        <v>40.325903999999994</v>
      </c>
      <c r="AU160">
        <f t="shared" ref="AU160:AU161" si="65">AT160*AR160</f>
        <v>610.09060161599973</v>
      </c>
      <c r="BB160" t="s">
        <v>863</v>
      </c>
      <c r="BC160">
        <f>BC158*(0.15/0.2)*(2/3)</f>
        <v>25.280999999999995</v>
      </c>
      <c r="BD160">
        <f>Index!$C$46</f>
        <v>38</v>
      </c>
      <c r="BE160">
        <f>BD160*(1.02)^3</f>
        <v>40.325903999999994</v>
      </c>
      <c r="BF160">
        <f t="shared" ref="BF160:BF161" si="66">BE160*BC160</f>
        <v>1019.4791790239997</v>
      </c>
      <c r="BG160"/>
      <c r="BM160" t="s">
        <v>863</v>
      </c>
      <c r="BN160">
        <f>BN158*(0.15/0.2)*(2/3)</f>
        <v>37.636000000000003</v>
      </c>
      <c r="BO160">
        <f>Index!$C$46</f>
        <v>38</v>
      </c>
      <c r="BP160">
        <f>BO160*(1.02)^3</f>
        <v>40.325903999999994</v>
      </c>
      <c r="BQ160">
        <f t="shared" ref="BQ160:BQ161" si="67">BP160*BN160</f>
        <v>1517.7057229439999</v>
      </c>
      <c r="BX160" t="s">
        <v>863</v>
      </c>
      <c r="BY160">
        <f>BY158*(0.15/0.2)*(2/3)</f>
        <v>50.176000000000002</v>
      </c>
      <c r="BZ160">
        <f>Index!$C$46</f>
        <v>38</v>
      </c>
      <c r="CA160">
        <f>BZ160*(1.02)^3</f>
        <v>40.325903999999994</v>
      </c>
      <c r="CB160">
        <f t="shared" ref="CB160:CB161" si="68">CA160*BY160</f>
        <v>2023.3925591039997</v>
      </c>
      <c r="CI160" t="s">
        <v>863</v>
      </c>
      <c r="CJ160">
        <f>CJ158*(0.15/0.2)*(2/3)</f>
        <v>75.272000000000006</v>
      </c>
      <c r="CK160">
        <f>Index!$C$46</f>
        <v>38</v>
      </c>
      <c r="CL160">
        <f>CK160*(1.02)^3</f>
        <v>40.325903999999994</v>
      </c>
      <c r="CM160">
        <f t="shared" ref="CM160:CM161" si="69">CL160*CJ160</f>
        <v>3035.4114458879999</v>
      </c>
      <c r="CT160" t="s">
        <v>863</v>
      </c>
      <c r="CU160">
        <f>CU158*(0.15/0.2)*(2/3)</f>
        <v>100.352</v>
      </c>
      <c r="CV160">
        <f>Index!$C$46</f>
        <v>38</v>
      </c>
      <c r="CW160">
        <f>CV160*(1.02)^3</f>
        <v>40.325903999999994</v>
      </c>
      <c r="CX160">
        <f t="shared" ref="CX160:CX161" si="70">CW160*CU160</f>
        <v>4046.7851182079994</v>
      </c>
      <c r="DE160" t="s">
        <v>863</v>
      </c>
      <c r="DF160">
        <f>DF158*(0.15/0.2)*(2/3)</f>
        <v>150.52800000000002</v>
      </c>
      <c r="DG160">
        <f>Index!$C$46</f>
        <v>38</v>
      </c>
      <c r="DH160">
        <f>DG160*(1.02)^3</f>
        <v>40.325903999999994</v>
      </c>
      <c r="DI160">
        <f t="shared" ref="DI160:DI161" si="71">DH160*DF160</f>
        <v>6070.177677312</v>
      </c>
      <c r="DP160" t="s">
        <v>863</v>
      </c>
      <c r="DQ160">
        <f>DQ158*(0.15/0.2)*(2/3)</f>
        <v>200.70400000000001</v>
      </c>
      <c r="DR160">
        <f>Index!$C$46</f>
        <v>38</v>
      </c>
      <c r="DS160">
        <f>DR160*(1.02)^3</f>
        <v>40.325903999999994</v>
      </c>
      <c r="DT160">
        <f t="shared" ref="DT160:DT161" si="72">DS160*DQ160</f>
        <v>8093.5702364159988</v>
      </c>
      <c r="EA160" t="s">
        <v>863</v>
      </c>
      <c r="EB160">
        <f>EB158*(0.15/0.2)*(2/3)</f>
        <v>249.99999999999994</v>
      </c>
      <c r="EC160">
        <f>Index!$C$46</f>
        <v>38</v>
      </c>
      <c r="ED160">
        <f>EC160*(1.02)^3</f>
        <v>40.325903999999994</v>
      </c>
      <c r="EE160">
        <f t="shared" ref="EE160:EE161" si="73">ED160*EB160</f>
        <v>10081.475999999997</v>
      </c>
      <c r="EL160" t="s">
        <v>863</v>
      </c>
      <c r="EM160">
        <f>EM158*(0.15/0.2)*(2/3)</f>
        <v>300.12499999999994</v>
      </c>
      <c r="EN160">
        <f>Index!$C$46</f>
        <v>38</v>
      </c>
      <c r="EO160">
        <f>EN160*(1.02)^3</f>
        <v>40.325903999999994</v>
      </c>
      <c r="EP160">
        <f t="shared" ref="EP160:EP161" si="74">EO160*EM160</f>
        <v>12102.811937999995</v>
      </c>
      <c r="EW160" t="s">
        <v>863</v>
      </c>
      <c r="EX160">
        <f>EX158*(0.15/0.2)*(2/3)</f>
        <v>351.38400000000001</v>
      </c>
      <c r="EY160">
        <f>Index!$C$46</f>
        <v>38</v>
      </c>
      <c r="EZ160">
        <f>EY160*(1.02)^3</f>
        <v>40.325903999999994</v>
      </c>
      <c r="FA160">
        <f t="shared" ref="FA160:FA161" si="75">EZ160*EX160</f>
        <v>14169.877451135999</v>
      </c>
      <c r="FI160" t="s">
        <v>863</v>
      </c>
      <c r="FJ160">
        <f>FJ158*(0.15/0.2)*(2/3)</f>
        <v>403.19999999999987</v>
      </c>
      <c r="FK160">
        <f>Index!$C$46</f>
        <v>38</v>
      </c>
      <c r="FL160">
        <f>FK160*(1.02)^3</f>
        <v>40.325903999999994</v>
      </c>
      <c r="FM160">
        <f t="shared" ref="FM160:FM161" si="76">FL160*FJ160</f>
        <v>16259.404492799993</v>
      </c>
    </row>
    <row r="161" spans="2:169" x14ac:dyDescent="0.25">
      <c r="B161" t="s">
        <v>944</v>
      </c>
      <c r="J161" t="s">
        <v>974</v>
      </c>
      <c r="K161">
        <f>K158-K160</f>
        <v>2.5000000000000004</v>
      </c>
      <c r="L161">
        <f>Index!$C$36</f>
        <v>36.718627421191144</v>
      </c>
      <c r="M161">
        <f>L161*(1.02)^3</f>
        <v>38.966101168387411</v>
      </c>
      <c r="N161">
        <f t="shared" si="62"/>
        <v>97.415252920968541</v>
      </c>
      <c r="U161" t="s">
        <v>974</v>
      </c>
      <c r="V161">
        <f>V158-V160</f>
        <v>5.0410000000000013</v>
      </c>
      <c r="W161">
        <f>Index!$C$36</f>
        <v>36.718627421191144</v>
      </c>
      <c r="X161">
        <f>W161*(1.02)^3</f>
        <v>38.966101168387411</v>
      </c>
      <c r="Y161">
        <f t="shared" si="63"/>
        <v>196.42811598984099</v>
      </c>
      <c r="AF161" t="s">
        <v>974</v>
      </c>
      <c r="AG161">
        <f>AG158-AG160</f>
        <v>10.000000000000002</v>
      </c>
      <c r="AH161">
        <f>Index!$C$36</f>
        <v>36.718627421191144</v>
      </c>
      <c r="AI161">
        <f>AH161*(1.02)^3</f>
        <v>38.966101168387411</v>
      </c>
      <c r="AJ161">
        <f t="shared" si="64"/>
        <v>389.66101168387416</v>
      </c>
      <c r="AQ161" t="s">
        <v>974</v>
      </c>
      <c r="AR161">
        <f>AR158-AR160</f>
        <v>15.129000000000001</v>
      </c>
      <c r="AS161">
        <f>Index!$C$36</f>
        <v>36.718627421191144</v>
      </c>
      <c r="AT161">
        <f>AS161*(1.02)^3</f>
        <v>38.966101168387411</v>
      </c>
      <c r="AU161">
        <f t="shared" si="65"/>
        <v>589.51814457653325</v>
      </c>
      <c r="BB161" t="s">
        <v>974</v>
      </c>
      <c r="BC161">
        <f>BC158-BC160</f>
        <v>25.281000000000009</v>
      </c>
      <c r="BD161">
        <f>Index!$C$36</f>
        <v>36.718627421191144</v>
      </c>
      <c r="BE161">
        <f>BD161*(1.02)^3</f>
        <v>38.966101168387411</v>
      </c>
      <c r="BF161">
        <f t="shared" si="66"/>
        <v>985.10200363800254</v>
      </c>
      <c r="BG161"/>
      <c r="BM161" t="s">
        <v>974</v>
      </c>
      <c r="BN161">
        <f>BN158-BN160</f>
        <v>37.636000000000017</v>
      </c>
      <c r="BO161">
        <f>Index!$C$36</f>
        <v>36.718627421191144</v>
      </c>
      <c r="BP161">
        <f>BO161*(1.02)^3</f>
        <v>38.966101168387411</v>
      </c>
      <c r="BQ161">
        <f t="shared" si="67"/>
        <v>1466.5281835734293</v>
      </c>
      <c r="BX161" t="s">
        <v>974</v>
      </c>
      <c r="BY161">
        <f>BY158-BY160</f>
        <v>50.17600000000003</v>
      </c>
      <c r="BZ161">
        <f>Index!$C$36</f>
        <v>36.718627421191144</v>
      </c>
      <c r="CA161">
        <f>BZ161*(1.02)^3</f>
        <v>38.966101168387411</v>
      </c>
      <c r="CB161">
        <f t="shared" si="68"/>
        <v>1955.1630922250079</v>
      </c>
      <c r="CI161" t="s">
        <v>974</v>
      </c>
      <c r="CJ161">
        <f>CJ158-CJ160</f>
        <v>75.272000000000034</v>
      </c>
      <c r="CK161">
        <f>Index!$C$36</f>
        <v>36.718627421191144</v>
      </c>
      <c r="CL161">
        <f>CK161*(1.02)^3</f>
        <v>38.966101168387411</v>
      </c>
      <c r="CM161">
        <f t="shared" si="69"/>
        <v>2933.0563671468585</v>
      </c>
      <c r="CT161" t="s">
        <v>974</v>
      </c>
      <c r="CU161">
        <f>CU158-CU160</f>
        <v>100.35200000000006</v>
      </c>
      <c r="CV161">
        <f>Index!$C$36</f>
        <v>36.718627421191144</v>
      </c>
      <c r="CW161">
        <f>CV161*(1.02)^3</f>
        <v>38.966101168387411</v>
      </c>
      <c r="CX161">
        <f t="shared" si="70"/>
        <v>3910.3261844500157</v>
      </c>
      <c r="DE161" t="s">
        <v>974</v>
      </c>
      <c r="DF161">
        <f>DF158-DF160</f>
        <v>150.52800000000008</v>
      </c>
      <c r="DG161">
        <f>Index!$C$36</f>
        <v>36.718627421191144</v>
      </c>
      <c r="DH161">
        <f>DG161*(1.02)^3</f>
        <v>38.966101168387411</v>
      </c>
      <c r="DI161">
        <f t="shared" si="71"/>
        <v>5865.4892766750236</v>
      </c>
      <c r="DP161" t="s">
        <v>974</v>
      </c>
      <c r="DQ161">
        <f>DQ158-DQ160</f>
        <v>200.70400000000012</v>
      </c>
      <c r="DR161">
        <f>Index!$C$36</f>
        <v>36.718627421191144</v>
      </c>
      <c r="DS161">
        <f>DR161*(1.02)^3</f>
        <v>38.966101168387411</v>
      </c>
      <c r="DT161">
        <f t="shared" si="72"/>
        <v>7820.6523689000314</v>
      </c>
      <c r="EA161" t="s">
        <v>974</v>
      </c>
      <c r="EB161">
        <f>EB158-EB160</f>
        <v>250.00000000000006</v>
      </c>
      <c r="EC161">
        <f>Index!$C$36</f>
        <v>36.718627421191144</v>
      </c>
      <c r="ED161">
        <f>EC161*(1.02)^3</f>
        <v>38.966101168387411</v>
      </c>
      <c r="EE161">
        <f t="shared" si="73"/>
        <v>9741.5252920968542</v>
      </c>
      <c r="EL161" t="s">
        <v>974</v>
      </c>
      <c r="EM161">
        <f>EM158-EM160</f>
        <v>300.12500000000006</v>
      </c>
      <c r="EN161">
        <f>Index!$C$36</f>
        <v>36.718627421191144</v>
      </c>
      <c r="EO161">
        <f>EN161*(1.02)^3</f>
        <v>38.966101168387411</v>
      </c>
      <c r="EP161">
        <f t="shared" si="74"/>
        <v>11694.701113162273</v>
      </c>
      <c r="EW161" t="s">
        <v>974</v>
      </c>
      <c r="EX161">
        <f>EX158-EX160</f>
        <v>351.38400000000013</v>
      </c>
      <c r="EY161">
        <f>Index!$C$36</f>
        <v>36.718627421191144</v>
      </c>
      <c r="EZ161">
        <f>EY161*(1.02)^3</f>
        <v>38.966101168387411</v>
      </c>
      <c r="FA161">
        <f t="shared" si="75"/>
        <v>13692.064492952646</v>
      </c>
      <c r="FI161" t="s">
        <v>974</v>
      </c>
      <c r="FJ161">
        <f>FJ158-FJ160</f>
        <v>403.2000000000001</v>
      </c>
      <c r="FK161">
        <f>Index!$C$36</f>
        <v>36.718627421191144</v>
      </c>
      <c r="FL161">
        <f>FK161*(1.02)^3</f>
        <v>38.966101168387411</v>
      </c>
      <c r="FM161">
        <f t="shared" si="76"/>
        <v>15711.131991093807</v>
      </c>
    </row>
    <row r="162" spans="2:169" x14ac:dyDescent="0.25">
      <c r="B162" t="s">
        <v>945</v>
      </c>
      <c r="AF162"/>
      <c r="AT162"/>
      <c r="BG162"/>
    </row>
    <row r="163" spans="2:169" x14ac:dyDescent="0.25">
      <c r="B163" t="s">
        <v>946</v>
      </c>
      <c r="E163" t="s">
        <v>14</v>
      </c>
      <c r="I163" t="s">
        <v>947</v>
      </c>
      <c r="J163" t="s">
        <v>847</v>
      </c>
      <c r="K163">
        <f>J11</f>
        <v>100</v>
      </c>
      <c r="L163">
        <f>Index!$C$131</f>
        <v>1.25</v>
      </c>
      <c r="M163">
        <f>L163*(1.02)^4</f>
        <v>1.3530401999999999</v>
      </c>
      <c r="N163">
        <f t="shared" si="62"/>
        <v>135.30401999999998</v>
      </c>
      <c r="T163" t="s">
        <v>947</v>
      </c>
      <c r="U163" t="s">
        <v>847</v>
      </c>
      <c r="V163">
        <f>U11</f>
        <v>202</v>
      </c>
      <c r="W163">
        <f>Index!$C$131</f>
        <v>1.25</v>
      </c>
      <c r="X163">
        <f>W163*(1.02)^4</f>
        <v>1.3530401999999999</v>
      </c>
      <c r="Y163">
        <f t="shared" ref="Y163" si="77">X163*V163</f>
        <v>273.31412039999998</v>
      </c>
      <c r="AE163" t="s">
        <v>947</v>
      </c>
      <c r="AF163" t="s">
        <v>847</v>
      </c>
      <c r="AG163">
        <f>AF11</f>
        <v>400</v>
      </c>
      <c r="AH163">
        <f>Index!$C$131</f>
        <v>1.25</v>
      </c>
      <c r="AI163">
        <f>AH163*(1.02)^4</f>
        <v>1.3530401999999999</v>
      </c>
      <c r="AJ163">
        <f t="shared" ref="AJ163" si="78">AI163*AG163</f>
        <v>541.21607999999992</v>
      </c>
      <c r="AP163" t="s">
        <v>947</v>
      </c>
      <c r="AQ163" t="s">
        <v>847</v>
      </c>
      <c r="AR163">
        <f>AQ11</f>
        <v>606</v>
      </c>
      <c r="AS163">
        <f>Index!$C$131</f>
        <v>1.25</v>
      </c>
      <c r="AT163">
        <f>AS163*(1.02)^4</f>
        <v>1.3530401999999999</v>
      </c>
      <c r="AU163">
        <f t="shared" ref="AU163" si="79">AT163*AR163</f>
        <v>819.94236119999994</v>
      </c>
      <c r="BA163" t="s">
        <v>947</v>
      </c>
      <c r="BB163" t="s">
        <v>847</v>
      </c>
      <c r="BC163">
        <f>BB11</f>
        <v>1012</v>
      </c>
      <c r="BD163">
        <f>Index!$C$131</f>
        <v>1.25</v>
      </c>
      <c r="BE163">
        <f>BD163*(1.02)^4</f>
        <v>1.3530401999999999</v>
      </c>
      <c r="BF163">
        <f t="shared" ref="BF163" si="80">BE163*BC163</f>
        <v>1369.2766824</v>
      </c>
      <c r="BG163"/>
      <c r="BL163" t="s">
        <v>947</v>
      </c>
      <c r="BM163" t="s">
        <v>847</v>
      </c>
      <c r="BN163">
        <f>BM11</f>
        <v>1506</v>
      </c>
      <c r="BO163">
        <f>Index!$C$131</f>
        <v>1.25</v>
      </c>
      <c r="BP163">
        <f>BO163*(1.02)^4</f>
        <v>1.3530401999999999</v>
      </c>
      <c r="BQ163">
        <f t="shared" ref="BQ163" si="81">BP163*BN163</f>
        <v>2037.6785411999999</v>
      </c>
      <c r="BW163" t="s">
        <v>947</v>
      </c>
      <c r="BX163" t="s">
        <v>847</v>
      </c>
      <c r="BY163">
        <f>BX11</f>
        <v>2008</v>
      </c>
      <c r="BZ163">
        <f>Index!$C$131</f>
        <v>1.25</v>
      </c>
      <c r="CA163">
        <f>BZ163*(1.02)^4</f>
        <v>1.3530401999999999</v>
      </c>
      <c r="CB163">
        <f t="shared" ref="CB163" si="82">CA163*BY163</f>
        <v>2716.9047215999999</v>
      </c>
      <c r="CH163" t="s">
        <v>947</v>
      </c>
      <c r="CI163" t="s">
        <v>847</v>
      </c>
      <c r="CJ163">
        <f>CI94</f>
        <v>3011</v>
      </c>
      <c r="CK163">
        <f>Index!$C$131</f>
        <v>1.25</v>
      </c>
      <c r="CL163">
        <f>CK163*(1.02)^4</f>
        <v>1.3530401999999999</v>
      </c>
      <c r="CM163">
        <f t="shared" ref="CM163" si="83">CL163*CJ163</f>
        <v>4074.0040421999997</v>
      </c>
      <c r="CS163" t="s">
        <v>947</v>
      </c>
      <c r="CT163" t="s">
        <v>847</v>
      </c>
      <c r="CU163">
        <f>CT94</f>
        <v>4015</v>
      </c>
      <c r="CV163">
        <f>Index!$C$131</f>
        <v>1.25</v>
      </c>
      <c r="CW163">
        <f>CV163*(1.02)^4</f>
        <v>1.3530401999999999</v>
      </c>
      <c r="CX163">
        <f t="shared" ref="CX163" si="84">CW163*CU163</f>
        <v>5432.4564029999992</v>
      </c>
      <c r="DD163" t="s">
        <v>947</v>
      </c>
      <c r="DE163" t="s">
        <v>847</v>
      </c>
      <c r="DF163">
        <f>DE94</f>
        <v>6022</v>
      </c>
      <c r="DG163">
        <f>Index!$C$131</f>
        <v>1.25</v>
      </c>
      <c r="DH163">
        <f>DG163*(1.02)^4</f>
        <v>1.3530401999999999</v>
      </c>
      <c r="DI163">
        <f t="shared" ref="DI163" si="85">DH163*DF163</f>
        <v>8148.0080843999995</v>
      </c>
      <c r="DO163" t="s">
        <v>947</v>
      </c>
      <c r="DP163" t="s">
        <v>847</v>
      </c>
      <c r="DQ163">
        <f>DP94</f>
        <v>8029</v>
      </c>
      <c r="DR163">
        <f>Index!$C$131</f>
        <v>1.25</v>
      </c>
      <c r="DS163">
        <f>DR163*(1.02)^4</f>
        <v>1.3530401999999999</v>
      </c>
      <c r="DT163">
        <f t="shared" ref="DT163" si="86">DS163*DQ163</f>
        <v>10863.559765799999</v>
      </c>
      <c r="DZ163" t="s">
        <v>947</v>
      </c>
      <c r="EA163" t="s">
        <v>847</v>
      </c>
      <c r="EB163">
        <f>EA94</f>
        <v>10000</v>
      </c>
      <c r="EC163">
        <f>Index!$C$131</f>
        <v>1.25</v>
      </c>
      <c r="ED163">
        <f>EC163*(1.02)^4</f>
        <v>1.3530401999999999</v>
      </c>
      <c r="EE163">
        <f t="shared" ref="EE163" si="87">ED163*EB163</f>
        <v>13530.402</v>
      </c>
      <c r="EK163" t="s">
        <v>947</v>
      </c>
      <c r="EL163" t="s">
        <v>847</v>
      </c>
      <c r="EM163">
        <f>EL94</f>
        <v>12005</v>
      </c>
      <c r="EN163">
        <f>Index!$C$131</f>
        <v>1.25</v>
      </c>
      <c r="EO163">
        <f>EN163*(1.02)^4</f>
        <v>1.3530401999999999</v>
      </c>
      <c r="EP163">
        <f t="shared" ref="EP163" si="88">EO163*EM163</f>
        <v>16243.247600999999</v>
      </c>
      <c r="EV163" t="s">
        <v>947</v>
      </c>
      <c r="EW163" t="s">
        <v>847</v>
      </c>
      <c r="EX163">
        <f>EW94</f>
        <v>14056</v>
      </c>
      <c r="EY163">
        <f>Index!$C$131</f>
        <v>1.25</v>
      </c>
      <c r="EZ163">
        <f>EY163*(1.02)^4</f>
        <v>1.3530401999999999</v>
      </c>
      <c r="FA163">
        <f t="shared" ref="FA163" si="89">EZ163*EX163</f>
        <v>19018.333051199999</v>
      </c>
      <c r="FH163" t="s">
        <v>947</v>
      </c>
      <c r="FI163" t="s">
        <v>847</v>
      </c>
      <c r="FJ163">
        <f>FI94</f>
        <v>16128</v>
      </c>
      <c r="FK163">
        <f>Index!$C$131</f>
        <v>1.25</v>
      </c>
      <c r="FL163">
        <f>FK163*(1.02)^4</f>
        <v>1.3530401999999999</v>
      </c>
      <c r="FM163">
        <f t="shared" ref="FM163" si="90">FL163*FJ163</f>
        <v>21821.8323456</v>
      </c>
    </row>
    <row r="164" spans="2:169" x14ac:dyDescent="0.25">
      <c r="B164" t="s">
        <v>947</v>
      </c>
      <c r="E164" t="s">
        <v>950</v>
      </c>
      <c r="AF164"/>
      <c r="AT164"/>
      <c r="BG164"/>
    </row>
    <row r="165" spans="2:169" x14ac:dyDescent="0.25">
      <c r="B165" t="s">
        <v>948</v>
      </c>
      <c r="E165" t="s">
        <v>949</v>
      </c>
      <c r="M165" s="10" t="s">
        <v>125</v>
      </c>
      <c r="N165" s="10">
        <f>SUM(N158:N163)</f>
        <v>393.91676812096847</v>
      </c>
      <c r="X165" s="10" t="s">
        <v>125</v>
      </c>
      <c r="Y165" s="10">
        <f>SUM(Y158:Y163)</f>
        <v>794.7808657111209</v>
      </c>
      <c r="AF165"/>
      <c r="AI165" s="10" t="s">
        <v>125</v>
      </c>
      <c r="AJ165" s="10">
        <f>SUM(AJ158:AJ163)</f>
        <v>1575.6670724838739</v>
      </c>
      <c r="AT165" s="10" t="s">
        <v>125</v>
      </c>
      <c r="AU165" s="10">
        <f>SUM(AU158:AU163)</f>
        <v>2384.9632677288528</v>
      </c>
      <c r="BE165" s="10" t="s">
        <v>125</v>
      </c>
      <c r="BF165" s="10">
        <f>SUM(BF158:BF163)</f>
        <v>3984.4722364984823</v>
      </c>
      <c r="BG165"/>
      <c r="BP165" s="10" t="s">
        <v>125</v>
      </c>
      <c r="BQ165" s="10">
        <f>SUM(BQ158:BQ163)</f>
        <v>5930.9382965123095</v>
      </c>
      <c r="CA165" s="10" t="s">
        <v>125</v>
      </c>
      <c r="CB165" s="10">
        <f>SUM(CB158:CB163)</f>
        <v>7907.3660214870879</v>
      </c>
      <c r="CL165" s="10" t="s">
        <v>125</v>
      </c>
      <c r="CM165" s="10">
        <f>SUM(CM158:CM163)</f>
        <v>11860.523552824619</v>
      </c>
      <c r="CW165" s="10" t="s">
        <v>125</v>
      </c>
      <c r="CX165" s="10">
        <f>SUM(CX158:CX163)</f>
        <v>15813.379002774174</v>
      </c>
      <c r="DH165" s="10" t="s">
        <v>125</v>
      </c>
      <c r="DI165" s="10">
        <f>SUM(DI158:DI163)</f>
        <v>23719.391984061265</v>
      </c>
      <c r="DS165" s="10" t="s">
        <v>125</v>
      </c>
      <c r="DT165" s="10">
        <f>SUM(DT158:DT163)</f>
        <v>31625.404965348353</v>
      </c>
      <c r="ED165" s="10" t="s">
        <v>125</v>
      </c>
      <c r="EE165" s="10">
        <f>SUM(EE158:EE163)</f>
        <v>39391.676812096855</v>
      </c>
      <c r="EO165" s="10" t="s">
        <v>125</v>
      </c>
      <c r="EP165" s="10">
        <f>SUM(EP158:EP163)</f>
        <v>47289.70801292226</v>
      </c>
      <c r="EZ165" s="10" t="s">
        <v>125</v>
      </c>
      <c r="FA165" s="10">
        <f>SUM(FA158:FA163)</f>
        <v>55367.285805495369</v>
      </c>
      <c r="FL165" s="10" t="s">
        <v>125</v>
      </c>
      <c r="FM165" s="10">
        <f>SUM(FM158:FM163)</f>
        <v>63530.8963625498</v>
      </c>
    </row>
    <row r="166" spans="2:169" x14ac:dyDescent="0.25">
      <c r="AF166"/>
      <c r="AT166"/>
      <c r="BG166"/>
    </row>
    <row r="167" spans="2:169" x14ac:dyDescent="0.25">
      <c r="AF167"/>
      <c r="AT167"/>
      <c r="BG167"/>
    </row>
    <row r="168" spans="2:169" x14ac:dyDescent="0.25">
      <c r="AF168"/>
      <c r="AT168"/>
      <c r="BG168"/>
    </row>
    <row r="169" spans="2:169" x14ac:dyDescent="0.25">
      <c r="I169" t="s">
        <v>940</v>
      </c>
      <c r="K169" t="s">
        <v>2</v>
      </c>
      <c r="L169" t="s">
        <v>81</v>
      </c>
      <c r="M169" t="s">
        <v>82</v>
      </c>
      <c r="N169" t="s">
        <v>59</v>
      </c>
      <c r="T169" t="s">
        <v>940</v>
      </c>
      <c r="V169" t="s">
        <v>2</v>
      </c>
      <c r="W169" t="s">
        <v>81</v>
      </c>
      <c r="X169" t="s">
        <v>82</v>
      </c>
      <c r="Y169" t="s">
        <v>59</v>
      </c>
      <c r="AE169" t="s">
        <v>940</v>
      </c>
      <c r="AF169"/>
      <c r="AG169" t="s">
        <v>2</v>
      </c>
      <c r="AH169" t="s">
        <v>81</v>
      </c>
      <c r="AI169" t="s">
        <v>82</v>
      </c>
      <c r="AJ169" t="s">
        <v>59</v>
      </c>
      <c r="AP169" t="s">
        <v>940</v>
      </c>
      <c r="AR169" t="s">
        <v>2</v>
      </c>
      <c r="AS169" t="s">
        <v>81</v>
      </c>
      <c r="AT169" t="s">
        <v>82</v>
      </c>
      <c r="AU169" t="s">
        <v>59</v>
      </c>
      <c r="BA169" t="s">
        <v>940</v>
      </c>
      <c r="BC169" t="s">
        <v>2</v>
      </c>
      <c r="BD169" t="s">
        <v>81</v>
      </c>
      <c r="BE169" t="s">
        <v>82</v>
      </c>
      <c r="BF169" t="s">
        <v>59</v>
      </c>
      <c r="BG169"/>
      <c r="BL169" t="s">
        <v>940</v>
      </c>
      <c r="BN169" t="s">
        <v>2</v>
      </c>
      <c r="BO169" t="s">
        <v>81</v>
      </c>
      <c r="BP169" t="s">
        <v>82</v>
      </c>
      <c r="BQ169" t="s">
        <v>59</v>
      </c>
      <c r="BW169" t="s">
        <v>940</v>
      </c>
      <c r="BY169" t="s">
        <v>2</v>
      </c>
      <c r="BZ169" t="s">
        <v>81</v>
      </c>
      <c r="CA169" t="s">
        <v>82</v>
      </c>
      <c r="CB169" t="s">
        <v>59</v>
      </c>
      <c r="CH169" t="s">
        <v>940</v>
      </c>
      <c r="CJ169" t="s">
        <v>2</v>
      </c>
      <c r="CK169" t="s">
        <v>81</v>
      </c>
      <c r="CL169" t="s">
        <v>82</v>
      </c>
      <c r="CM169" t="s">
        <v>59</v>
      </c>
      <c r="CS169" t="s">
        <v>940</v>
      </c>
      <c r="CU169" t="s">
        <v>2</v>
      </c>
      <c r="CV169" t="s">
        <v>81</v>
      </c>
      <c r="CW169" t="s">
        <v>82</v>
      </c>
      <c r="CX169" t="s">
        <v>59</v>
      </c>
      <c r="DD169" t="s">
        <v>940</v>
      </c>
      <c r="DF169" t="s">
        <v>2</v>
      </c>
      <c r="DG169" t="s">
        <v>81</v>
      </c>
      <c r="DH169" t="s">
        <v>82</v>
      </c>
      <c r="DI169" t="s">
        <v>59</v>
      </c>
      <c r="DO169" t="s">
        <v>940</v>
      </c>
      <c r="DQ169" t="s">
        <v>2</v>
      </c>
      <c r="DR169" t="s">
        <v>81</v>
      </c>
      <c r="DS169" t="s">
        <v>82</v>
      </c>
      <c r="DT169" t="s">
        <v>59</v>
      </c>
      <c r="DZ169" t="s">
        <v>940</v>
      </c>
      <c r="EB169" t="s">
        <v>2</v>
      </c>
      <c r="EC169" t="s">
        <v>81</v>
      </c>
      <c r="ED169" t="s">
        <v>82</v>
      </c>
      <c r="EE169" t="s">
        <v>59</v>
      </c>
      <c r="EK169" t="s">
        <v>940</v>
      </c>
      <c r="EM169" t="s">
        <v>2</v>
      </c>
      <c r="EN169" t="s">
        <v>81</v>
      </c>
      <c r="EO169" t="s">
        <v>82</v>
      </c>
      <c r="EP169" t="s">
        <v>59</v>
      </c>
      <c r="EV169" t="s">
        <v>940</v>
      </c>
      <c r="EX169" t="s">
        <v>2</v>
      </c>
      <c r="EY169" t="s">
        <v>81</v>
      </c>
      <c r="EZ169" t="s">
        <v>82</v>
      </c>
      <c r="FA169" t="s">
        <v>59</v>
      </c>
      <c r="FH169" t="s">
        <v>940</v>
      </c>
      <c r="FJ169" t="s">
        <v>2</v>
      </c>
      <c r="FK169" t="s">
        <v>81</v>
      </c>
      <c r="FL169" t="s">
        <v>82</v>
      </c>
      <c r="FM169" t="s">
        <v>59</v>
      </c>
    </row>
    <row r="170" spans="2:169" x14ac:dyDescent="0.25">
      <c r="I170" t="s">
        <v>975</v>
      </c>
      <c r="K170">
        <v>12</v>
      </c>
      <c r="L170">
        <f>$E$157</f>
        <v>35.125005520162802</v>
      </c>
      <c r="M170">
        <f>L170</f>
        <v>35.125005520162802</v>
      </c>
      <c r="N170">
        <f t="shared" ref="N170:N171" si="91">M170*K170</f>
        <v>421.50006624195362</v>
      </c>
      <c r="T170" t="s">
        <v>975</v>
      </c>
      <c r="V170">
        <v>12</v>
      </c>
      <c r="W170">
        <f>$E$157</f>
        <v>35.125005520162802</v>
      </c>
      <c r="X170">
        <f>W170</f>
        <v>35.125005520162802</v>
      </c>
      <c r="Y170">
        <f t="shared" ref="Y170:Y171" si="92">X170*V170</f>
        <v>421.50006624195362</v>
      </c>
      <c r="AE170" t="s">
        <v>975</v>
      </c>
      <c r="AF170"/>
      <c r="AG170">
        <v>12</v>
      </c>
      <c r="AH170">
        <f>$E$157</f>
        <v>35.125005520162802</v>
      </c>
      <c r="AI170">
        <f>AH170</f>
        <v>35.125005520162802</v>
      </c>
      <c r="AJ170">
        <f t="shared" ref="AJ170:AJ171" si="93">AI170*AG170</f>
        <v>421.50006624195362</v>
      </c>
      <c r="AP170" t="s">
        <v>975</v>
      </c>
      <c r="AR170">
        <v>12</v>
      </c>
      <c r="AS170">
        <f>$E$157</f>
        <v>35.125005520162802</v>
      </c>
      <c r="AT170">
        <f>AS170</f>
        <v>35.125005520162802</v>
      </c>
      <c r="AU170">
        <f t="shared" ref="AU170:AU171" si="94">AT170*AR170</f>
        <v>421.50006624195362</v>
      </c>
      <c r="BA170" t="s">
        <v>975</v>
      </c>
      <c r="BC170">
        <v>12</v>
      </c>
      <c r="BD170">
        <f>$E$157</f>
        <v>35.125005520162802</v>
      </c>
      <c r="BE170">
        <f>BD170</f>
        <v>35.125005520162802</v>
      </c>
      <c r="BF170">
        <f t="shared" ref="BF170:BF171" si="95">BE170*BC170</f>
        <v>421.50006624195362</v>
      </c>
      <c r="BG170"/>
      <c r="BL170" t="s">
        <v>975</v>
      </c>
      <c r="BN170">
        <v>12</v>
      </c>
      <c r="BO170">
        <f>$E$157</f>
        <v>35.125005520162802</v>
      </c>
      <c r="BP170">
        <f>BO170</f>
        <v>35.125005520162802</v>
      </c>
      <c r="BQ170">
        <f t="shared" ref="BQ170:BQ171" si="96">BP170*BN170</f>
        <v>421.50006624195362</v>
      </c>
      <c r="BW170" t="s">
        <v>975</v>
      </c>
      <c r="BY170">
        <v>12</v>
      </c>
      <c r="BZ170">
        <f>$E$157</f>
        <v>35.125005520162802</v>
      </c>
      <c r="CA170">
        <f>BZ170</f>
        <v>35.125005520162802</v>
      </c>
      <c r="CB170">
        <f t="shared" ref="CB170:CB171" si="97">CA170*BY170</f>
        <v>421.50006624195362</v>
      </c>
      <c r="CH170" t="s">
        <v>975</v>
      </c>
      <c r="CJ170">
        <v>12</v>
      </c>
      <c r="CK170">
        <f>$E$157</f>
        <v>35.125005520162802</v>
      </c>
      <c r="CL170">
        <f>CK170</f>
        <v>35.125005520162802</v>
      </c>
      <c r="CM170">
        <f t="shared" ref="CM170:CM171" si="98">CL170*CJ170</f>
        <v>421.50006624195362</v>
      </c>
      <c r="CS170" t="s">
        <v>975</v>
      </c>
      <c r="CU170">
        <v>12</v>
      </c>
      <c r="CV170">
        <f>$E$157</f>
        <v>35.125005520162802</v>
      </c>
      <c r="CW170">
        <f>CV170</f>
        <v>35.125005520162802</v>
      </c>
      <c r="CX170">
        <f t="shared" ref="CX170:CX171" si="99">CW170*CU170</f>
        <v>421.50006624195362</v>
      </c>
      <c r="DD170" t="s">
        <v>975</v>
      </c>
      <c r="DF170">
        <v>12</v>
      </c>
      <c r="DG170">
        <f>$E$157</f>
        <v>35.125005520162802</v>
      </c>
      <c r="DH170">
        <f>DG170</f>
        <v>35.125005520162802</v>
      </c>
      <c r="DI170">
        <f t="shared" ref="DI170:DI171" si="100">DH170*DF170</f>
        <v>421.50006624195362</v>
      </c>
      <c r="DO170" t="s">
        <v>975</v>
      </c>
      <c r="DQ170">
        <v>12</v>
      </c>
      <c r="DR170">
        <f>$E$157</f>
        <v>35.125005520162802</v>
      </c>
      <c r="DS170">
        <f>DR170</f>
        <v>35.125005520162802</v>
      </c>
      <c r="DT170">
        <f t="shared" ref="DT170:DT171" si="101">DS170*DQ170</f>
        <v>421.50006624195362</v>
      </c>
      <c r="DZ170" t="s">
        <v>975</v>
      </c>
      <c r="EB170">
        <v>12</v>
      </c>
      <c r="EC170">
        <f>$E$157</f>
        <v>35.125005520162802</v>
      </c>
      <c r="ED170">
        <f>EC170</f>
        <v>35.125005520162802</v>
      </c>
      <c r="EE170">
        <f t="shared" ref="EE170:EE171" si="102">ED170*EB170</f>
        <v>421.50006624195362</v>
      </c>
      <c r="EK170" t="s">
        <v>975</v>
      </c>
      <c r="EM170">
        <v>12</v>
      </c>
      <c r="EN170">
        <f>$E$157</f>
        <v>35.125005520162802</v>
      </c>
      <c r="EO170">
        <f>EN170</f>
        <v>35.125005520162802</v>
      </c>
      <c r="EP170">
        <f t="shared" ref="EP170:EP171" si="103">EO170*EM170</f>
        <v>421.50006624195362</v>
      </c>
      <c r="EV170" t="s">
        <v>975</v>
      </c>
      <c r="EX170">
        <v>12</v>
      </c>
      <c r="EY170">
        <f>$E$157</f>
        <v>35.125005520162802</v>
      </c>
      <c r="EZ170">
        <f>EY170</f>
        <v>35.125005520162802</v>
      </c>
      <c r="FA170">
        <f t="shared" ref="FA170:FA171" si="104">EZ170*EX170</f>
        <v>421.50006624195362</v>
      </c>
      <c r="FH170" t="s">
        <v>975</v>
      </c>
      <c r="FJ170">
        <v>12</v>
      </c>
      <c r="FK170">
        <f>$E$157</f>
        <v>35.125005520162802</v>
      </c>
      <c r="FL170">
        <f>FK170</f>
        <v>35.125005520162802</v>
      </c>
      <c r="FM170">
        <f t="shared" ref="FM170:FM171" si="105">FL170*FJ170</f>
        <v>421.50006624195362</v>
      </c>
    </row>
    <row r="171" spans="2:169" x14ac:dyDescent="0.25">
      <c r="I171" t="s">
        <v>976</v>
      </c>
      <c r="K171">
        <v>1</v>
      </c>
      <c r="L171">
        <f>$E$158</f>
        <v>35.125005520162802</v>
      </c>
      <c r="M171">
        <f>L171</f>
        <v>35.125005520162802</v>
      </c>
      <c r="N171">
        <f t="shared" si="91"/>
        <v>35.125005520162802</v>
      </c>
      <c r="T171" t="s">
        <v>976</v>
      </c>
      <c r="V171">
        <v>1</v>
      </c>
      <c r="W171">
        <f>$E$158</f>
        <v>35.125005520162802</v>
      </c>
      <c r="X171">
        <f>W171</f>
        <v>35.125005520162802</v>
      </c>
      <c r="Y171">
        <f t="shared" si="92"/>
        <v>35.125005520162802</v>
      </c>
      <c r="AE171" t="s">
        <v>976</v>
      </c>
      <c r="AF171"/>
      <c r="AG171">
        <v>1</v>
      </c>
      <c r="AH171">
        <f>$E$158</f>
        <v>35.125005520162802</v>
      </c>
      <c r="AI171">
        <f>AH171</f>
        <v>35.125005520162802</v>
      </c>
      <c r="AJ171">
        <f t="shared" si="93"/>
        <v>35.125005520162802</v>
      </c>
      <c r="AP171" t="s">
        <v>976</v>
      </c>
      <c r="AR171">
        <v>1</v>
      </c>
      <c r="AS171">
        <f>$E$158</f>
        <v>35.125005520162802</v>
      </c>
      <c r="AT171">
        <f>AS171</f>
        <v>35.125005520162802</v>
      </c>
      <c r="AU171">
        <f t="shared" si="94"/>
        <v>35.125005520162802</v>
      </c>
      <c r="BA171" t="s">
        <v>976</v>
      </c>
      <c r="BC171">
        <v>1</v>
      </c>
      <c r="BD171">
        <f>$E$158</f>
        <v>35.125005520162802</v>
      </c>
      <c r="BE171">
        <f>BD171</f>
        <v>35.125005520162802</v>
      </c>
      <c r="BF171">
        <f t="shared" si="95"/>
        <v>35.125005520162802</v>
      </c>
      <c r="BG171"/>
      <c r="BL171" t="s">
        <v>976</v>
      </c>
      <c r="BN171">
        <v>1</v>
      </c>
      <c r="BO171">
        <f>$E$158</f>
        <v>35.125005520162802</v>
      </c>
      <c r="BP171">
        <f>BO171</f>
        <v>35.125005520162802</v>
      </c>
      <c r="BQ171">
        <f t="shared" si="96"/>
        <v>35.125005520162802</v>
      </c>
      <c r="BW171" t="s">
        <v>976</v>
      </c>
      <c r="BY171">
        <v>1</v>
      </c>
      <c r="BZ171">
        <f>$E$158</f>
        <v>35.125005520162802</v>
      </c>
      <c r="CA171">
        <f>BZ171</f>
        <v>35.125005520162802</v>
      </c>
      <c r="CB171">
        <f t="shared" si="97"/>
        <v>35.125005520162802</v>
      </c>
      <c r="CH171" t="s">
        <v>976</v>
      </c>
      <c r="CJ171">
        <v>1</v>
      </c>
      <c r="CK171">
        <f>$E$158</f>
        <v>35.125005520162802</v>
      </c>
      <c r="CL171">
        <f>CK171</f>
        <v>35.125005520162802</v>
      </c>
      <c r="CM171">
        <f t="shared" si="98"/>
        <v>35.125005520162802</v>
      </c>
      <c r="CS171" t="s">
        <v>976</v>
      </c>
      <c r="CU171">
        <v>1</v>
      </c>
      <c r="CV171">
        <f>$E$158</f>
        <v>35.125005520162802</v>
      </c>
      <c r="CW171">
        <f>CV171</f>
        <v>35.125005520162802</v>
      </c>
      <c r="CX171">
        <f t="shared" si="99"/>
        <v>35.125005520162802</v>
      </c>
      <c r="DD171" t="s">
        <v>976</v>
      </c>
      <c r="DF171">
        <v>1</v>
      </c>
      <c r="DG171">
        <f>$E$158</f>
        <v>35.125005520162802</v>
      </c>
      <c r="DH171">
        <f>DG171</f>
        <v>35.125005520162802</v>
      </c>
      <c r="DI171">
        <f t="shared" si="100"/>
        <v>35.125005520162802</v>
      </c>
      <c r="DO171" t="s">
        <v>976</v>
      </c>
      <c r="DQ171">
        <v>1</v>
      </c>
      <c r="DR171">
        <f>$E$158</f>
        <v>35.125005520162802</v>
      </c>
      <c r="DS171">
        <f>DR171</f>
        <v>35.125005520162802</v>
      </c>
      <c r="DT171">
        <f t="shared" si="101"/>
        <v>35.125005520162802</v>
      </c>
      <c r="DZ171" t="s">
        <v>976</v>
      </c>
      <c r="EB171">
        <v>1</v>
      </c>
      <c r="EC171">
        <f>$E$158</f>
        <v>35.125005520162802</v>
      </c>
      <c r="ED171">
        <f>EC171</f>
        <v>35.125005520162802</v>
      </c>
      <c r="EE171">
        <f t="shared" si="102"/>
        <v>35.125005520162802</v>
      </c>
      <c r="EK171" t="s">
        <v>976</v>
      </c>
      <c r="EM171">
        <v>1</v>
      </c>
      <c r="EN171">
        <f>$E$158</f>
        <v>35.125005520162802</v>
      </c>
      <c r="EO171">
        <f>EN171</f>
        <v>35.125005520162802</v>
      </c>
      <c r="EP171">
        <f t="shared" si="103"/>
        <v>35.125005520162802</v>
      </c>
      <c r="EV171" t="s">
        <v>976</v>
      </c>
      <c r="EX171">
        <v>1</v>
      </c>
      <c r="EY171">
        <f>$E$158</f>
        <v>35.125005520162802</v>
      </c>
      <c r="EZ171">
        <f>EY171</f>
        <v>35.125005520162802</v>
      </c>
      <c r="FA171">
        <f t="shared" si="104"/>
        <v>35.125005520162802</v>
      </c>
      <c r="FH171" t="s">
        <v>976</v>
      </c>
      <c r="FJ171">
        <v>1</v>
      </c>
      <c r="FK171">
        <f>$E$158</f>
        <v>35.125005520162802</v>
      </c>
      <c r="FL171">
        <f>FK171</f>
        <v>35.125005520162802</v>
      </c>
      <c r="FM171">
        <f t="shared" si="105"/>
        <v>35.125005520162802</v>
      </c>
    </row>
    <row r="172" spans="2:169" x14ac:dyDescent="0.25">
      <c r="AF172"/>
      <c r="AT172"/>
      <c r="BG172"/>
    </row>
    <row r="173" spans="2:169" x14ac:dyDescent="0.25">
      <c r="M173" s="10" t="s">
        <v>125</v>
      </c>
      <c r="N173" s="10">
        <f>SUM(N170:N171)</f>
        <v>456.62507176211642</v>
      </c>
      <c r="X173" s="10" t="s">
        <v>125</v>
      </c>
      <c r="Y173" s="10">
        <f>SUM(Y170:Y171)</f>
        <v>456.62507176211642</v>
      </c>
      <c r="AF173"/>
      <c r="AI173" s="10" t="s">
        <v>125</v>
      </c>
      <c r="AJ173" s="10">
        <f>SUM(AJ170:AJ171)</f>
        <v>456.62507176211642</v>
      </c>
      <c r="AT173" s="10" t="s">
        <v>125</v>
      </c>
      <c r="AU173" s="10">
        <f>SUM(AU170:AU171)</f>
        <v>456.62507176211642</v>
      </c>
      <c r="BE173" s="10" t="s">
        <v>125</v>
      </c>
      <c r="BF173" s="10">
        <f>SUM(BF170:BF171)</f>
        <v>456.62507176211642</v>
      </c>
      <c r="BG173"/>
      <c r="BP173" s="10" t="s">
        <v>125</v>
      </c>
      <c r="BQ173" s="10">
        <f>SUM(BQ170:BQ171)</f>
        <v>456.62507176211642</v>
      </c>
      <c r="CA173" s="10" t="s">
        <v>125</v>
      </c>
      <c r="CB173" s="10">
        <f>SUM(CB170:CB171)</f>
        <v>456.62507176211642</v>
      </c>
      <c r="CL173" s="10" t="s">
        <v>125</v>
      </c>
      <c r="CM173" s="10">
        <f>SUM(CM170:CM171)</f>
        <v>456.62507176211642</v>
      </c>
      <c r="CW173" s="10" t="s">
        <v>125</v>
      </c>
      <c r="CX173" s="10">
        <f>SUM(CX170:CX171)</f>
        <v>456.62507176211642</v>
      </c>
      <c r="DH173" s="10" t="s">
        <v>125</v>
      </c>
      <c r="DI173" s="10">
        <f>SUM(DI170:DI171)</f>
        <v>456.62507176211642</v>
      </c>
      <c r="DS173" s="10" t="s">
        <v>125</v>
      </c>
      <c r="DT173" s="10">
        <f>SUM(DT170:DT171)</f>
        <v>456.62507176211642</v>
      </c>
      <c r="ED173" s="10" t="s">
        <v>125</v>
      </c>
      <c r="EE173" s="10">
        <f>SUM(EE170:EE171)</f>
        <v>456.62507176211642</v>
      </c>
      <c r="EO173" s="10" t="s">
        <v>125</v>
      </c>
      <c r="EP173" s="10">
        <f>SUM(EP170:EP171)</f>
        <v>456.62507176211642</v>
      </c>
      <c r="EZ173" s="10" t="s">
        <v>125</v>
      </c>
      <c r="FA173" s="10">
        <f>SUM(FA170:FA171)</f>
        <v>456.62507176211642</v>
      </c>
      <c r="FL173" s="10" t="s">
        <v>125</v>
      </c>
      <c r="FM173" s="10">
        <f>SUM(FM170:FM171)</f>
        <v>456.62507176211642</v>
      </c>
    </row>
    <row r="174" spans="2:169" x14ac:dyDescent="0.25">
      <c r="AF174"/>
      <c r="AT174"/>
      <c r="BG174"/>
    </row>
    <row r="175" spans="2:169" x14ac:dyDescent="0.25">
      <c r="AF175"/>
      <c r="AT175"/>
      <c r="BG175"/>
    </row>
    <row r="176" spans="2:169" x14ac:dyDescent="0.25">
      <c r="AF176"/>
      <c r="AT176"/>
      <c r="BG176"/>
    </row>
    <row r="177" spans="1:172" x14ac:dyDescent="0.25">
      <c r="I177" t="s">
        <v>983</v>
      </c>
      <c r="T177" t="s">
        <v>977</v>
      </c>
      <c r="AE177" t="s">
        <v>977</v>
      </c>
      <c r="AF177"/>
      <c r="AP177" t="s">
        <v>977</v>
      </c>
      <c r="AT177"/>
      <c r="BA177" t="s">
        <v>977</v>
      </c>
      <c r="BG177"/>
      <c r="BL177" t="s">
        <v>977</v>
      </c>
      <c r="BW177" t="s">
        <v>977</v>
      </c>
      <c r="CH177" t="s">
        <v>977</v>
      </c>
      <c r="CS177" t="s">
        <v>977</v>
      </c>
      <c r="DD177" t="s">
        <v>977</v>
      </c>
      <c r="DO177" t="s">
        <v>977</v>
      </c>
      <c r="DZ177" t="s">
        <v>977</v>
      </c>
      <c r="EK177" t="s">
        <v>977</v>
      </c>
      <c r="EV177" t="s">
        <v>977</v>
      </c>
      <c r="FH177" t="s">
        <v>977</v>
      </c>
    </row>
    <row r="178" spans="1:172" x14ac:dyDescent="0.25">
      <c r="I178" t="s">
        <v>979</v>
      </c>
      <c r="J178" s="10" t="s">
        <v>978</v>
      </c>
      <c r="L178" s="10" t="s">
        <v>935</v>
      </c>
      <c r="N178" s="10" t="s">
        <v>625</v>
      </c>
      <c r="T178" t="s">
        <v>979</v>
      </c>
      <c r="U178" s="10" t="s">
        <v>978</v>
      </c>
      <c r="W178" s="10" t="s">
        <v>935</v>
      </c>
      <c r="Y178" s="10" t="s">
        <v>625</v>
      </c>
      <c r="AE178" t="s">
        <v>979</v>
      </c>
      <c r="AF178" s="10" t="s">
        <v>978</v>
      </c>
      <c r="AH178" s="10" t="s">
        <v>935</v>
      </c>
      <c r="AJ178" s="10" t="s">
        <v>625</v>
      </c>
      <c r="AP178" t="s">
        <v>979</v>
      </c>
      <c r="AQ178" s="10" t="s">
        <v>978</v>
      </c>
      <c r="AS178" s="10" t="s">
        <v>935</v>
      </c>
      <c r="AT178"/>
      <c r="AU178" s="10" t="s">
        <v>625</v>
      </c>
      <c r="BA178" t="s">
        <v>979</v>
      </c>
      <c r="BB178" s="10" t="s">
        <v>978</v>
      </c>
      <c r="BD178" s="10" t="s">
        <v>935</v>
      </c>
      <c r="BF178" s="10" t="s">
        <v>625</v>
      </c>
      <c r="BG178"/>
      <c r="BL178" t="s">
        <v>979</v>
      </c>
      <c r="BM178" s="10" t="s">
        <v>978</v>
      </c>
      <c r="BO178" s="10" t="s">
        <v>935</v>
      </c>
      <c r="BQ178" s="10" t="s">
        <v>625</v>
      </c>
      <c r="BW178" t="s">
        <v>979</v>
      </c>
      <c r="BX178" s="10" t="s">
        <v>978</v>
      </c>
      <c r="BZ178" s="10" t="s">
        <v>935</v>
      </c>
      <c r="CB178" s="10" t="s">
        <v>625</v>
      </c>
      <c r="CH178" t="s">
        <v>979</v>
      </c>
      <c r="CI178" s="10" t="s">
        <v>978</v>
      </c>
      <c r="CK178" s="10" t="s">
        <v>935</v>
      </c>
      <c r="CM178" s="10" t="s">
        <v>625</v>
      </c>
      <c r="CS178" t="s">
        <v>979</v>
      </c>
      <c r="CT178" s="10" t="s">
        <v>978</v>
      </c>
      <c r="CV178" s="10" t="s">
        <v>935</v>
      </c>
      <c r="CX178" s="10" t="s">
        <v>625</v>
      </c>
      <c r="DD178" t="s">
        <v>979</v>
      </c>
      <c r="DE178" s="10" t="s">
        <v>978</v>
      </c>
      <c r="DG178" s="10" t="s">
        <v>935</v>
      </c>
      <c r="DI178" s="10" t="s">
        <v>625</v>
      </c>
      <c r="DO178" t="s">
        <v>979</v>
      </c>
      <c r="DP178" s="10" t="s">
        <v>978</v>
      </c>
      <c r="DR178" s="10" t="s">
        <v>935</v>
      </c>
      <c r="DT178" s="10" t="s">
        <v>625</v>
      </c>
      <c r="DZ178" t="s">
        <v>979</v>
      </c>
      <c r="EA178" s="10" t="s">
        <v>978</v>
      </c>
      <c r="EC178" s="10" t="s">
        <v>935</v>
      </c>
      <c r="EE178" s="10" t="s">
        <v>625</v>
      </c>
      <c r="EK178" t="s">
        <v>979</v>
      </c>
      <c r="EL178" s="10" t="s">
        <v>978</v>
      </c>
      <c r="EN178" s="10" t="s">
        <v>935</v>
      </c>
      <c r="EP178" s="10" t="s">
        <v>625</v>
      </c>
      <c r="EV178" t="s">
        <v>979</v>
      </c>
      <c r="EW178" s="10" t="s">
        <v>978</v>
      </c>
      <c r="EY178" s="10" t="s">
        <v>935</v>
      </c>
      <c r="FA178" s="10" t="s">
        <v>625</v>
      </c>
      <c r="FH178" t="s">
        <v>979</v>
      </c>
      <c r="FI178" s="10" t="s">
        <v>978</v>
      </c>
      <c r="FK178" s="10" t="s">
        <v>935</v>
      </c>
      <c r="FM178" s="10" t="s">
        <v>625</v>
      </c>
    </row>
    <row r="179" spans="1:172" x14ac:dyDescent="0.25">
      <c r="I179">
        <v>5</v>
      </c>
      <c r="J179">
        <f>N$165/I179</f>
        <v>78.783353624193694</v>
      </c>
      <c r="L179">
        <f>N$173</f>
        <v>456.62507176211642</v>
      </c>
      <c r="N179">
        <f>J179+L179</f>
        <v>535.40842538631011</v>
      </c>
      <c r="T179">
        <v>5</v>
      </c>
      <c r="U179">
        <f>Y$165/T179</f>
        <v>158.95617314222417</v>
      </c>
      <c r="W179">
        <f>Y$173</f>
        <v>456.62507176211642</v>
      </c>
      <c r="Y179">
        <f>U179+W179</f>
        <v>615.58124490434056</v>
      </c>
      <c r="AE179">
        <v>5</v>
      </c>
      <c r="AF179">
        <f>AJ$165/AE179</f>
        <v>315.13341449677478</v>
      </c>
      <c r="AH179">
        <f>AJ$173</f>
        <v>456.62507176211642</v>
      </c>
      <c r="AJ179">
        <f>AF179+AH179</f>
        <v>771.75848625889125</v>
      </c>
      <c r="AP179">
        <v>5</v>
      </c>
      <c r="AQ179">
        <f>AU$165/AP179</f>
        <v>476.99265354577057</v>
      </c>
      <c r="AS179">
        <f>AU$173</f>
        <v>456.62507176211642</v>
      </c>
      <c r="AT179"/>
      <c r="AU179">
        <f>AQ179+AS179</f>
        <v>933.61772530788699</v>
      </c>
      <c r="BA179">
        <v>5</v>
      </c>
      <c r="BB179">
        <f>BF$165/BA179</f>
        <v>796.89444729969648</v>
      </c>
      <c r="BD179">
        <f>BF$173</f>
        <v>456.62507176211642</v>
      </c>
      <c r="BF179">
        <f>BB179+BD179</f>
        <v>1253.5195190618128</v>
      </c>
      <c r="BG179"/>
      <c r="BL179">
        <v>5</v>
      </c>
      <c r="BM179">
        <f>BQ$165/BL179</f>
        <v>1186.187659302462</v>
      </c>
      <c r="BO179">
        <f>BQ$173</f>
        <v>456.62507176211642</v>
      </c>
      <c r="BQ179">
        <f>BM179+BO179</f>
        <v>1642.8127310645784</v>
      </c>
      <c r="BW179">
        <v>5</v>
      </c>
      <c r="BX179">
        <f>CB$165/BW179</f>
        <v>1581.4732042974176</v>
      </c>
      <c r="BZ179">
        <f>CB$173</f>
        <v>456.62507176211642</v>
      </c>
      <c r="CB179">
        <f>BX179+BZ179</f>
        <v>2038.0982760595341</v>
      </c>
      <c r="CH179">
        <v>5</v>
      </c>
      <c r="CI179">
        <f>CM$165/CH179</f>
        <v>2372.1047105649241</v>
      </c>
      <c r="CK179">
        <f>CM$173</f>
        <v>456.62507176211642</v>
      </c>
      <c r="CM179">
        <f>CI179+CK179</f>
        <v>2828.7297823270405</v>
      </c>
      <c r="CS179">
        <v>5</v>
      </c>
      <c r="CT179">
        <f>CX$165/CS179</f>
        <v>3162.675800554835</v>
      </c>
      <c r="CV179">
        <f>CX$173</f>
        <v>456.62507176211642</v>
      </c>
      <c r="CX179">
        <f>CT179+CV179</f>
        <v>3619.3008723169514</v>
      </c>
      <c r="DD179">
        <v>5</v>
      </c>
      <c r="DE179">
        <f>DI$165/DD179</f>
        <v>4743.8783968122534</v>
      </c>
      <c r="DG179">
        <f>DI$173</f>
        <v>456.62507176211642</v>
      </c>
      <c r="DI179">
        <f>DE179+DG179</f>
        <v>5200.5034685743694</v>
      </c>
      <c r="DO179">
        <v>5</v>
      </c>
      <c r="DP179">
        <f>DT$165/DO179</f>
        <v>6325.0809930696705</v>
      </c>
      <c r="DR179">
        <f>DT$173</f>
        <v>456.62507176211642</v>
      </c>
      <c r="DT179">
        <f>DP179+DR179</f>
        <v>6781.7060648317865</v>
      </c>
      <c r="DZ179">
        <v>5</v>
      </c>
      <c r="EA179">
        <f>EE$165/DZ179</f>
        <v>7878.3353624193714</v>
      </c>
      <c r="EC179">
        <f>EE$173</f>
        <v>456.62507176211642</v>
      </c>
      <c r="EE179">
        <f>EA179+EC179</f>
        <v>8334.9604341814884</v>
      </c>
      <c r="EK179">
        <v>5</v>
      </c>
      <c r="EL179">
        <f>EP$165/EK179</f>
        <v>9457.9416025844512</v>
      </c>
      <c r="EN179">
        <f>EP$173</f>
        <v>456.62507176211642</v>
      </c>
      <c r="EP179">
        <f>EL179+EN179</f>
        <v>9914.5666743465681</v>
      </c>
      <c r="EV179">
        <v>5</v>
      </c>
      <c r="EW179">
        <f>FA$165/EV179</f>
        <v>11073.457161099073</v>
      </c>
      <c r="EY179">
        <f>FA$173</f>
        <v>456.62507176211642</v>
      </c>
      <c r="FA179">
        <f>EW179+EY179</f>
        <v>11530.08223286119</v>
      </c>
      <c r="FH179">
        <v>5</v>
      </c>
      <c r="FI179">
        <f>FM$165/FH179</f>
        <v>12706.17927250996</v>
      </c>
      <c r="FK179">
        <f>FM$173</f>
        <v>456.62507176211642</v>
      </c>
      <c r="FM179">
        <f>FI179+FK179</f>
        <v>13162.804344272077</v>
      </c>
    </row>
    <row r="180" spans="1:172" x14ac:dyDescent="0.25">
      <c r="I180">
        <v>6</v>
      </c>
      <c r="J180">
        <f t="shared" ref="J180:J184" si="106">N$165/I180</f>
        <v>65.652794686828074</v>
      </c>
      <c r="L180">
        <f>N$173</f>
        <v>456.62507176211642</v>
      </c>
      <c r="N180">
        <f t="shared" ref="N180:N184" si="107">J180+L180</f>
        <v>522.27786644894445</v>
      </c>
      <c r="T180">
        <v>6</v>
      </c>
      <c r="U180">
        <f t="shared" ref="U180:U184" si="108">Y$165/T180</f>
        <v>132.46347761852016</v>
      </c>
      <c r="W180">
        <f t="shared" ref="W180:W184" si="109">Y$173</f>
        <v>456.62507176211642</v>
      </c>
      <c r="Y180">
        <f t="shared" ref="Y180:Y184" si="110">U180+W180</f>
        <v>589.08854938063655</v>
      </c>
      <c r="AE180">
        <v>6</v>
      </c>
      <c r="AF180">
        <f t="shared" ref="AF180:AF184" si="111">AJ$165/AE180</f>
        <v>262.61117874731229</v>
      </c>
      <c r="AH180">
        <f t="shared" ref="AH180:AH184" si="112">AJ$173</f>
        <v>456.62507176211642</v>
      </c>
      <c r="AJ180">
        <f t="shared" ref="AJ180:AJ184" si="113">AF180+AH180</f>
        <v>719.23625050942871</v>
      </c>
      <c r="AP180">
        <v>6</v>
      </c>
      <c r="AQ180">
        <f t="shared" ref="AQ180:AQ184" si="114">AU$165/AP180</f>
        <v>397.4938779548088</v>
      </c>
      <c r="AS180">
        <f t="shared" ref="AS180:AS184" si="115">AU$173</f>
        <v>456.62507176211642</v>
      </c>
      <c r="AT180"/>
      <c r="AU180">
        <f t="shared" ref="AU180:AU184" si="116">AQ180+AS180</f>
        <v>854.11894971692527</v>
      </c>
      <c r="BA180">
        <v>6</v>
      </c>
      <c r="BB180">
        <f t="shared" ref="BB180:BB184" si="117">BF$165/BA180</f>
        <v>664.07870608308042</v>
      </c>
      <c r="BD180">
        <f t="shared" ref="BD180:BD184" si="118">BF$173</f>
        <v>456.62507176211642</v>
      </c>
      <c r="BF180">
        <f t="shared" ref="BF180:BF184" si="119">BB180+BD180</f>
        <v>1120.7037778451968</v>
      </c>
      <c r="BG180"/>
      <c r="BL180">
        <v>6</v>
      </c>
      <c r="BM180">
        <f t="shared" ref="BM180:BM184" si="120">BQ$165/BL180</f>
        <v>988.48971608538488</v>
      </c>
      <c r="BO180">
        <f t="shared" ref="BO180:BO184" si="121">BQ$173</f>
        <v>456.62507176211642</v>
      </c>
      <c r="BQ180">
        <f t="shared" ref="BQ180:BQ184" si="122">BM180+BO180</f>
        <v>1445.1147878475012</v>
      </c>
      <c r="BW180">
        <v>6</v>
      </c>
      <c r="BX180">
        <f t="shared" ref="BX180:BX184" si="123">CB$165/BW180</f>
        <v>1317.8943369145147</v>
      </c>
      <c r="BZ180">
        <f t="shared" ref="BZ180:BZ184" si="124">CB$173</f>
        <v>456.62507176211642</v>
      </c>
      <c r="CB180">
        <f t="shared" ref="CB180:CB184" si="125">BX180+BZ180</f>
        <v>1774.5194086766312</v>
      </c>
      <c r="CH180">
        <v>6</v>
      </c>
      <c r="CI180">
        <f t="shared" ref="CI180:CI184" si="126">CM$165/CH180</f>
        <v>1976.7539254707699</v>
      </c>
      <c r="CK180">
        <f t="shared" ref="CK180:CK184" si="127">CM$173</f>
        <v>456.62507176211642</v>
      </c>
      <c r="CM180">
        <f t="shared" ref="CM180:CM184" si="128">CI180+CK180</f>
        <v>2433.3789972328864</v>
      </c>
      <c r="CS180">
        <v>6</v>
      </c>
      <c r="CT180">
        <f t="shared" ref="CT180:CT184" si="129">CX$165/CS180</f>
        <v>2635.5631671290289</v>
      </c>
      <c r="CV180">
        <f t="shared" ref="CV180:CV184" si="130">CX$173</f>
        <v>456.62507176211642</v>
      </c>
      <c r="CX180">
        <f t="shared" ref="CX180:CX184" si="131">CT180+CV180</f>
        <v>3092.1882388911454</v>
      </c>
      <c r="DD180">
        <v>6</v>
      </c>
      <c r="DE180">
        <f t="shared" ref="DE180:DE184" si="132">DI$165/DD180</f>
        <v>3953.2319973435442</v>
      </c>
      <c r="DG180">
        <f t="shared" ref="DG180:DG184" si="133">DI$173</f>
        <v>456.62507176211642</v>
      </c>
      <c r="DI180">
        <f t="shared" ref="DI180:DI184" si="134">DE180+DG180</f>
        <v>4409.8570691056602</v>
      </c>
      <c r="DO180">
        <v>6</v>
      </c>
      <c r="DP180">
        <f t="shared" ref="DP180:DP184" si="135">DT$165/DO180</f>
        <v>5270.9008275580591</v>
      </c>
      <c r="DR180">
        <f t="shared" ref="DR180:DR184" si="136">DT$173</f>
        <v>456.62507176211642</v>
      </c>
      <c r="DT180">
        <f t="shared" ref="DT180:DT184" si="137">DP180+DR180</f>
        <v>5727.5258993201751</v>
      </c>
      <c r="DZ180">
        <v>6</v>
      </c>
      <c r="EA180">
        <f t="shared" ref="EA180:EA184" si="138">EE$165/DZ180</f>
        <v>6565.2794686828092</v>
      </c>
      <c r="EC180">
        <f t="shared" ref="EC180:EC184" si="139">EE$173</f>
        <v>456.62507176211642</v>
      </c>
      <c r="EE180">
        <f t="shared" ref="EE180:EE184" si="140">EA180+EC180</f>
        <v>7021.9045404449253</v>
      </c>
      <c r="EK180">
        <v>6</v>
      </c>
      <c r="EL180">
        <f t="shared" ref="EL180:EL184" si="141">EP$165/EK180</f>
        <v>7881.6180021537102</v>
      </c>
      <c r="EN180">
        <f t="shared" ref="EN180:EN184" si="142">EP$173</f>
        <v>456.62507176211642</v>
      </c>
      <c r="EP180">
        <f t="shared" ref="EP180:EP184" si="143">EL180+EN180</f>
        <v>8338.2430739158262</v>
      </c>
      <c r="EV180">
        <v>6</v>
      </c>
      <c r="EW180">
        <f t="shared" ref="EW180:EW184" si="144">FA$165/EV180</f>
        <v>9227.8809675825614</v>
      </c>
      <c r="EY180">
        <f t="shared" ref="EY180:EY184" si="145">FA$173</f>
        <v>456.62507176211642</v>
      </c>
      <c r="FA180">
        <f t="shared" ref="FA180:FA184" si="146">EW180+EY180</f>
        <v>9684.5060393446784</v>
      </c>
      <c r="FH180">
        <v>6</v>
      </c>
      <c r="FI180">
        <f t="shared" ref="FI180:FI184" si="147">FM$165/FH180</f>
        <v>10588.482727091634</v>
      </c>
      <c r="FK180">
        <f t="shared" ref="FK180:FK184" si="148">FM$173</f>
        <v>456.62507176211642</v>
      </c>
      <c r="FM180">
        <f t="shared" ref="FM180:FM184" si="149">FI180+FK180</f>
        <v>11045.107798853751</v>
      </c>
    </row>
    <row r="181" spans="1:172" x14ac:dyDescent="0.25">
      <c r="I181">
        <v>7</v>
      </c>
      <c r="J181">
        <f>N$165/I181</f>
        <v>56.273824017281207</v>
      </c>
      <c r="L181">
        <f>N$173</f>
        <v>456.62507176211642</v>
      </c>
      <c r="N181">
        <f>J181+L181</f>
        <v>512.89889577939766</v>
      </c>
      <c r="T181">
        <v>7</v>
      </c>
      <c r="U181">
        <f t="shared" si="108"/>
        <v>113.54012367301728</v>
      </c>
      <c r="W181">
        <f t="shared" si="109"/>
        <v>456.62507176211642</v>
      </c>
      <c r="Y181">
        <f t="shared" si="110"/>
        <v>570.16519543513368</v>
      </c>
      <c r="AE181">
        <v>7</v>
      </c>
      <c r="AF181">
        <f t="shared" si="111"/>
        <v>225.09529606912483</v>
      </c>
      <c r="AH181">
        <f t="shared" si="112"/>
        <v>456.62507176211642</v>
      </c>
      <c r="AJ181">
        <f t="shared" si="113"/>
        <v>681.72036783124122</v>
      </c>
      <c r="AP181">
        <v>7</v>
      </c>
      <c r="AQ181">
        <f t="shared" si="114"/>
        <v>340.70903824697899</v>
      </c>
      <c r="AS181">
        <f t="shared" si="115"/>
        <v>456.62507176211642</v>
      </c>
      <c r="AT181"/>
      <c r="AU181">
        <f t="shared" si="116"/>
        <v>797.33411000909541</v>
      </c>
      <c r="BA181">
        <v>7</v>
      </c>
      <c r="BB181">
        <f t="shared" si="117"/>
        <v>569.21031949978317</v>
      </c>
      <c r="BD181">
        <f t="shared" si="118"/>
        <v>456.62507176211642</v>
      </c>
      <c r="BF181">
        <f t="shared" si="119"/>
        <v>1025.8353912618995</v>
      </c>
      <c r="BG181"/>
      <c r="BL181">
        <v>7</v>
      </c>
      <c r="BM181">
        <f t="shared" si="120"/>
        <v>847.27689950175852</v>
      </c>
      <c r="BO181">
        <f t="shared" si="121"/>
        <v>456.62507176211642</v>
      </c>
      <c r="BQ181">
        <f t="shared" si="122"/>
        <v>1303.9019712638749</v>
      </c>
      <c r="BW181">
        <v>7</v>
      </c>
      <c r="BX181">
        <f>CB$165/BW181</f>
        <v>1129.6237173552984</v>
      </c>
      <c r="BZ181">
        <f t="shared" si="124"/>
        <v>456.62507176211642</v>
      </c>
      <c r="CB181">
        <f>BX181+BZ181</f>
        <v>1586.2487891174148</v>
      </c>
      <c r="CH181">
        <v>7</v>
      </c>
      <c r="CI181">
        <f t="shared" si="126"/>
        <v>1694.3605075463743</v>
      </c>
      <c r="CK181">
        <f t="shared" si="127"/>
        <v>456.62507176211642</v>
      </c>
      <c r="CM181">
        <f t="shared" si="128"/>
        <v>2150.9855793084907</v>
      </c>
      <c r="CS181">
        <v>7</v>
      </c>
      <c r="CT181">
        <f t="shared" si="129"/>
        <v>2259.0541432534533</v>
      </c>
      <c r="CV181">
        <f t="shared" si="130"/>
        <v>456.62507176211642</v>
      </c>
      <c r="CX181">
        <f t="shared" si="131"/>
        <v>2715.6792150155698</v>
      </c>
      <c r="DD181">
        <v>7</v>
      </c>
      <c r="DE181">
        <f t="shared" si="132"/>
        <v>3388.4845691516093</v>
      </c>
      <c r="DG181">
        <f t="shared" si="133"/>
        <v>456.62507176211642</v>
      </c>
      <c r="DI181">
        <f t="shared" si="134"/>
        <v>3845.1096409137258</v>
      </c>
      <c r="DO181">
        <v>7</v>
      </c>
      <c r="DP181">
        <f t="shared" si="135"/>
        <v>4517.9149950497649</v>
      </c>
      <c r="DR181">
        <f t="shared" si="136"/>
        <v>456.62507176211642</v>
      </c>
      <c r="DT181">
        <f t="shared" si="137"/>
        <v>4974.5400668118809</v>
      </c>
      <c r="DZ181">
        <v>7</v>
      </c>
      <c r="EA181">
        <f t="shared" si="138"/>
        <v>5627.3824017281222</v>
      </c>
      <c r="EC181">
        <f t="shared" si="139"/>
        <v>456.62507176211642</v>
      </c>
      <c r="EE181">
        <f t="shared" si="140"/>
        <v>6084.0074734902382</v>
      </c>
      <c r="EK181">
        <v>7</v>
      </c>
      <c r="EL181">
        <f t="shared" si="141"/>
        <v>6755.6725732746081</v>
      </c>
      <c r="EN181">
        <f t="shared" si="142"/>
        <v>456.62507176211642</v>
      </c>
      <c r="EP181">
        <f t="shared" si="143"/>
        <v>7212.2976450367241</v>
      </c>
      <c r="EV181">
        <v>7</v>
      </c>
      <c r="EW181">
        <f t="shared" si="144"/>
        <v>7909.6122579279099</v>
      </c>
      <c r="EY181">
        <f t="shared" si="145"/>
        <v>456.62507176211642</v>
      </c>
      <c r="FA181">
        <f t="shared" si="146"/>
        <v>8366.2373296900259</v>
      </c>
      <c r="FH181">
        <v>7</v>
      </c>
      <c r="FI181">
        <f t="shared" si="147"/>
        <v>9075.8423375071143</v>
      </c>
      <c r="FK181">
        <f t="shared" si="148"/>
        <v>456.62507176211642</v>
      </c>
      <c r="FM181">
        <f t="shared" si="149"/>
        <v>9532.4674092692312</v>
      </c>
    </row>
    <row r="182" spans="1:172" x14ac:dyDescent="0.25">
      <c r="I182">
        <v>8</v>
      </c>
      <c r="J182">
        <f t="shared" si="106"/>
        <v>49.239596015121059</v>
      </c>
      <c r="L182">
        <f t="shared" ref="L182:L184" si="150">N$173</f>
        <v>456.62507176211642</v>
      </c>
      <c r="N182">
        <f t="shared" si="107"/>
        <v>505.86466777723746</v>
      </c>
      <c r="T182">
        <v>8</v>
      </c>
      <c r="U182">
        <f t="shared" si="108"/>
        <v>99.347608213890112</v>
      </c>
      <c r="W182">
        <f t="shared" si="109"/>
        <v>456.62507176211642</v>
      </c>
      <c r="Y182">
        <f t="shared" si="110"/>
        <v>555.97267997600648</v>
      </c>
      <c r="AE182">
        <v>8</v>
      </c>
      <c r="AF182">
        <f t="shared" si="111"/>
        <v>196.95838406048424</v>
      </c>
      <c r="AH182">
        <f t="shared" si="112"/>
        <v>456.62507176211642</v>
      </c>
      <c r="AJ182">
        <f t="shared" si="113"/>
        <v>653.58345582260063</v>
      </c>
      <c r="AP182">
        <v>8</v>
      </c>
      <c r="AQ182">
        <f t="shared" si="114"/>
        <v>298.1204084661066</v>
      </c>
      <c r="AS182">
        <f t="shared" si="115"/>
        <v>456.62507176211642</v>
      </c>
      <c r="AT182"/>
      <c r="AU182">
        <f t="shared" si="116"/>
        <v>754.74548022822296</v>
      </c>
      <c r="BA182">
        <v>8</v>
      </c>
      <c r="BB182">
        <f t="shared" si="117"/>
        <v>498.05902956231029</v>
      </c>
      <c r="BD182">
        <f t="shared" si="118"/>
        <v>456.62507176211642</v>
      </c>
      <c r="BF182">
        <f t="shared" si="119"/>
        <v>954.68410132442671</v>
      </c>
      <c r="BG182"/>
      <c r="BL182">
        <v>8</v>
      </c>
      <c r="BM182">
        <f t="shared" si="120"/>
        <v>741.36728706403869</v>
      </c>
      <c r="BO182">
        <f t="shared" si="121"/>
        <v>456.62507176211642</v>
      </c>
      <c r="BQ182">
        <f t="shared" si="122"/>
        <v>1197.9923588261552</v>
      </c>
      <c r="BW182">
        <v>8</v>
      </c>
      <c r="BX182">
        <f t="shared" si="123"/>
        <v>988.42075268588599</v>
      </c>
      <c r="BZ182">
        <f t="shared" si="124"/>
        <v>456.62507176211642</v>
      </c>
      <c r="CB182">
        <f t="shared" si="125"/>
        <v>1445.0458244480023</v>
      </c>
      <c r="CH182">
        <v>8</v>
      </c>
      <c r="CI182">
        <f t="shared" si="126"/>
        <v>1482.5654441030774</v>
      </c>
      <c r="CK182">
        <f t="shared" si="127"/>
        <v>456.62507176211642</v>
      </c>
      <c r="CM182">
        <f t="shared" si="128"/>
        <v>1939.1905158651939</v>
      </c>
      <c r="CS182">
        <v>8</v>
      </c>
      <c r="CT182">
        <f t="shared" si="129"/>
        <v>1976.6723753467718</v>
      </c>
      <c r="CV182">
        <f t="shared" si="130"/>
        <v>456.62507176211642</v>
      </c>
      <c r="CX182">
        <f t="shared" si="131"/>
        <v>2433.2974471088883</v>
      </c>
      <c r="DD182">
        <v>8</v>
      </c>
      <c r="DE182">
        <f t="shared" si="132"/>
        <v>2964.9239980076582</v>
      </c>
      <c r="DG182">
        <f t="shared" si="133"/>
        <v>456.62507176211642</v>
      </c>
      <c r="DI182">
        <f t="shared" si="134"/>
        <v>3421.5490697697746</v>
      </c>
      <c r="DO182">
        <v>8</v>
      </c>
      <c r="DP182">
        <f t="shared" si="135"/>
        <v>3953.1756206685441</v>
      </c>
      <c r="DR182">
        <f t="shared" si="136"/>
        <v>456.62507176211642</v>
      </c>
      <c r="DT182">
        <f t="shared" si="137"/>
        <v>4409.8006924306601</v>
      </c>
      <c r="DZ182">
        <v>8</v>
      </c>
      <c r="EA182">
        <f t="shared" si="138"/>
        <v>4923.9596015121069</v>
      </c>
      <c r="EC182">
        <f t="shared" si="139"/>
        <v>456.62507176211642</v>
      </c>
      <c r="EE182">
        <f t="shared" si="140"/>
        <v>5380.584673274223</v>
      </c>
      <c r="EK182">
        <v>8</v>
      </c>
      <c r="EL182">
        <f t="shared" si="141"/>
        <v>5911.2135016152824</v>
      </c>
      <c r="EN182">
        <f t="shared" si="142"/>
        <v>456.62507176211642</v>
      </c>
      <c r="EP182">
        <f t="shared" si="143"/>
        <v>6367.8385733773985</v>
      </c>
      <c r="EV182">
        <v>8</v>
      </c>
      <c r="EW182">
        <f t="shared" si="144"/>
        <v>6920.9107256869211</v>
      </c>
      <c r="EY182">
        <f t="shared" si="145"/>
        <v>456.62507176211642</v>
      </c>
      <c r="FA182">
        <f t="shared" si="146"/>
        <v>7377.5357974490371</v>
      </c>
      <c r="FH182">
        <v>8</v>
      </c>
      <c r="FI182">
        <f t="shared" si="147"/>
        <v>7941.362045318725</v>
      </c>
      <c r="FK182">
        <f t="shared" si="148"/>
        <v>456.62507176211642</v>
      </c>
      <c r="FM182">
        <f t="shared" si="149"/>
        <v>8397.9871170808419</v>
      </c>
    </row>
    <row r="183" spans="1:172" x14ac:dyDescent="0.25">
      <c r="I183">
        <v>9</v>
      </c>
      <c r="J183">
        <f t="shared" si="106"/>
        <v>43.768529791218718</v>
      </c>
      <c r="L183">
        <f t="shared" si="150"/>
        <v>456.62507176211642</v>
      </c>
      <c r="N183">
        <f t="shared" si="107"/>
        <v>500.39360155333515</v>
      </c>
      <c r="T183">
        <v>9</v>
      </c>
      <c r="U183">
        <f t="shared" si="108"/>
        <v>88.308985079013439</v>
      </c>
      <c r="W183">
        <f t="shared" si="109"/>
        <v>456.62507176211642</v>
      </c>
      <c r="Y183">
        <f t="shared" si="110"/>
        <v>544.93405684112986</v>
      </c>
      <c r="AE183">
        <v>9</v>
      </c>
      <c r="AF183">
        <f t="shared" si="111"/>
        <v>175.07411916487487</v>
      </c>
      <c r="AH183">
        <f t="shared" si="112"/>
        <v>456.62507176211642</v>
      </c>
      <c r="AJ183">
        <f t="shared" si="113"/>
        <v>631.69919092699126</v>
      </c>
      <c r="AP183">
        <v>9</v>
      </c>
      <c r="AQ183">
        <f t="shared" si="114"/>
        <v>264.99591863653922</v>
      </c>
      <c r="AS183">
        <f t="shared" si="115"/>
        <v>456.62507176211642</v>
      </c>
      <c r="AT183"/>
      <c r="AU183">
        <f t="shared" si="116"/>
        <v>721.62099039865564</v>
      </c>
      <c r="BA183">
        <v>9</v>
      </c>
      <c r="BB183">
        <f t="shared" si="117"/>
        <v>442.71913738872024</v>
      </c>
      <c r="BD183">
        <f t="shared" si="118"/>
        <v>456.62507176211642</v>
      </c>
      <c r="BF183">
        <f t="shared" si="119"/>
        <v>899.3442091508366</v>
      </c>
      <c r="BG183"/>
      <c r="BL183">
        <v>9</v>
      </c>
      <c r="BM183">
        <f t="shared" si="120"/>
        <v>658.99314405692326</v>
      </c>
      <c r="BO183">
        <f t="shared" si="121"/>
        <v>456.62507176211642</v>
      </c>
      <c r="BQ183">
        <f t="shared" si="122"/>
        <v>1115.6182158190397</v>
      </c>
      <c r="BW183">
        <v>9</v>
      </c>
      <c r="BX183">
        <f t="shared" si="123"/>
        <v>878.59622460967648</v>
      </c>
      <c r="BZ183">
        <f t="shared" si="124"/>
        <v>456.62507176211642</v>
      </c>
      <c r="CB183">
        <f t="shared" si="125"/>
        <v>1335.221296371793</v>
      </c>
      <c r="CH183">
        <v>9</v>
      </c>
      <c r="CI183">
        <f t="shared" si="126"/>
        <v>1317.8359503138465</v>
      </c>
      <c r="CK183">
        <f t="shared" si="127"/>
        <v>456.62507176211642</v>
      </c>
      <c r="CM183">
        <f t="shared" si="128"/>
        <v>1774.461022075963</v>
      </c>
      <c r="CS183">
        <v>9</v>
      </c>
      <c r="CT183">
        <f t="shared" si="129"/>
        <v>1757.0421114193528</v>
      </c>
      <c r="CV183">
        <f t="shared" si="130"/>
        <v>456.62507176211642</v>
      </c>
      <c r="CX183">
        <f t="shared" si="131"/>
        <v>2213.6671831814692</v>
      </c>
      <c r="DD183">
        <v>9</v>
      </c>
      <c r="DE183">
        <f t="shared" si="132"/>
        <v>2635.4879982290295</v>
      </c>
      <c r="DG183">
        <f t="shared" si="133"/>
        <v>456.62507176211642</v>
      </c>
      <c r="DI183">
        <f t="shared" si="134"/>
        <v>3092.1130699911459</v>
      </c>
      <c r="DO183">
        <v>9</v>
      </c>
      <c r="DP183">
        <f t="shared" si="135"/>
        <v>3513.9338850387057</v>
      </c>
      <c r="DR183">
        <f t="shared" si="136"/>
        <v>456.62507176211642</v>
      </c>
      <c r="DT183">
        <f t="shared" si="137"/>
        <v>3970.5589568008222</v>
      </c>
      <c r="DZ183">
        <v>9</v>
      </c>
      <c r="EA183">
        <f t="shared" si="138"/>
        <v>4376.8529791218725</v>
      </c>
      <c r="EC183">
        <f t="shared" si="139"/>
        <v>456.62507176211642</v>
      </c>
      <c r="EE183">
        <f t="shared" si="140"/>
        <v>4833.4780508839885</v>
      </c>
      <c r="EK183">
        <v>9</v>
      </c>
      <c r="EL183">
        <f t="shared" si="141"/>
        <v>5254.4120014358068</v>
      </c>
      <c r="EN183">
        <f t="shared" si="142"/>
        <v>456.62507176211642</v>
      </c>
      <c r="EP183">
        <f t="shared" si="143"/>
        <v>5711.0370731979228</v>
      </c>
      <c r="EV183">
        <v>9</v>
      </c>
      <c r="EW183">
        <f t="shared" si="144"/>
        <v>6151.9206450550409</v>
      </c>
      <c r="EY183">
        <f t="shared" si="145"/>
        <v>456.62507176211642</v>
      </c>
      <c r="FA183">
        <f t="shared" si="146"/>
        <v>6608.545716817157</v>
      </c>
      <c r="FH183">
        <v>9</v>
      </c>
      <c r="FI183">
        <f t="shared" si="147"/>
        <v>7058.9884847277553</v>
      </c>
      <c r="FK183">
        <f t="shared" si="148"/>
        <v>456.62507176211642</v>
      </c>
      <c r="FM183">
        <f t="shared" si="149"/>
        <v>7515.6135564898714</v>
      </c>
    </row>
    <row r="184" spans="1:172" x14ac:dyDescent="0.25">
      <c r="I184">
        <v>10</v>
      </c>
      <c r="J184">
        <f t="shared" si="106"/>
        <v>39.391676812096847</v>
      </c>
      <c r="L184">
        <f t="shared" si="150"/>
        <v>456.62507176211642</v>
      </c>
      <c r="N184">
        <f t="shared" si="107"/>
        <v>496.01674857421324</v>
      </c>
      <c r="T184">
        <v>10</v>
      </c>
      <c r="U184">
        <f t="shared" si="108"/>
        <v>79.478086571112087</v>
      </c>
      <c r="W184">
        <f t="shared" si="109"/>
        <v>456.62507176211642</v>
      </c>
      <c r="Y184">
        <f t="shared" si="110"/>
        <v>536.10315833322852</v>
      </c>
      <c r="AE184">
        <v>10</v>
      </c>
      <c r="AF184">
        <f t="shared" si="111"/>
        <v>157.56670724838739</v>
      </c>
      <c r="AH184">
        <f t="shared" si="112"/>
        <v>456.62507176211642</v>
      </c>
      <c r="AJ184">
        <f t="shared" si="113"/>
        <v>614.19177901050375</v>
      </c>
      <c r="AP184">
        <v>10</v>
      </c>
      <c r="AQ184">
        <f t="shared" si="114"/>
        <v>238.49632677288528</v>
      </c>
      <c r="AS184">
        <f t="shared" si="115"/>
        <v>456.62507176211642</v>
      </c>
      <c r="AT184"/>
      <c r="AU184">
        <f t="shared" si="116"/>
        <v>695.12139853500173</v>
      </c>
      <c r="BA184">
        <v>10</v>
      </c>
      <c r="BB184">
        <f t="shared" si="117"/>
        <v>398.44722364984824</v>
      </c>
      <c r="BD184">
        <f t="shared" si="118"/>
        <v>456.62507176211642</v>
      </c>
      <c r="BF184">
        <f t="shared" si="119"/>
        <v>855.07229541196466</v>
      </c>
      <c r="BG184"/>
      <c r="BL184">
        <v>10</v>
      </c>
      <c r="BM184">
        <f t="shared" si="120"/>
        <v>593.09382965123098</v>
      </c>
      <c r="BO184">
        <f t="shared" si="121"/>
        <v>456.62507176211642</v>
      </c>
      <c r="BQ184">
        <f t="shared" si="122"/>
        <v>1049.7189014133473</v>
      </c>
      <c r="BW184">
        <v>10</v>
      </c>
      <c r="BX184">
        <f t="shared" si="123"/>
        <v>790.73660214870881</v>
      </c>
      <c r="BZ184">
        <f t="shared" si="124"/>
        <v>456.62507176211642</v>
      </c>
      <c r="CB184">
        <f t="shared" si="125"/>
        <v>1247.3616739108252</v>
      </c>
      <c r="CH184">
        <v>10</v>
      </c>
      <c r="CI184">
        <f t="shared" si="126"/>
        <v>1186.052355282462</v>
      </c>
      <c r="CK184">
        <f t="shared" si="127"/>
        <v>456.62507176211642</v>
      </c>
      <c r="CM184">
        <f t="shared" si="128"/>
        <v>1642.6774270445785</v>
      </c>
      <c r="CS184">
        <v>10</v>
      </c>
      <c r="CT184">
        <f t="shared" si="129"/>
        <v>1581.3379002774175</v>
      </c>
      <c r="CV184">
        <f t="shared" si="130"/>
        <v>456.62507176211642</v>
      </c>
      <c r="CX184">
        <f t="shared" si="131"/>
        <v>2037.962972039534</v>
      </c>
      <c r="DD184">
        <v>10</v>
      </c>
      <c r="DE184">
        <f t="shared" si="132"/>
        <v>2371.9391984061267</v>
      </c>
      <c r="DG184">
        <f t="shared" si="133"/>
        <v>456.62507176211642</v>
      </c>
      <c r="DI184">
        <f t="shared" si="134"/>
        <v>2828.5642701682432</v>
      </c>
      <c r="DO184">
        <v>10</v>
      </c>
      <c r="DP184">
        <f t="shared" si="135"/>
        <v>3162.5404965348353</v>
      </c>
      <c r="DR184">
        <f t="shared" si="136"/>
        <v>456.62507176211642</v>
      </c>
      <c r="DT184">
        <f t="shared" si="137"/>
        <v>3619.1655682969517</v>
      </c>
      <c r="DZ184">
        <v>10</v>
      </c>
      <c r="EA184">
        <f t="shared" si="138"/>
        <v>3939.1676812096857</v>
      </c>
      <c r="EC184">
        <f t="shared" si="139"/>
        <v>456.62507176211642</v>
      </c>
      <c r="EE184">
        <f t="shared" si="140"/>
        <v>4395.7927529718017</v>
      </c>
      <c r="EK184">
        <v>10</v>
      </c>
      <c r="EL184">
        <f t="shared" si="141"/>
        <v>4728.9708012922256</v>
      </c>
      <c r="EN184">
        <f t="shared" si="142"/>
        <v>456.62507176211642</v>
      </c>
      <c r="EP184">
        <f t="shared" si="143"/>
        <v>5185.5958730543416</v>
      </c>
      <c r="EV184">
        <v>10</v>
      </c>
      <c r="EW184">
        <f t="shared" si="144"/>
        <v>5536.7285805495367</v>
      </c>
      <c r="EY184">
        <f t="shared" si="145"/>
        <v>456.62507176211642</v>
      </c>
      <c r="FA184">
        <f t="shared" si="146"/>
        <v>5993.3536523116527</v>
      </c>
      <c r="FH184">
        <v>10</v>
      </c>
      <c r="FI184">
        <f t="shared" si="147"/>
        <v>6353.0896362549802</v>
      </c>
      <c r="FK184">
        <f t="shared" si="148"/>
        <v>456.62507176211642</v>
      </c>
      <c r="FM184">
        <f t="shared" si="149"/>
        <v>6809.7147080170962</v>
      </c>
    </row>
    <row r="185" spans="1:172" ht="15.75" thickBot="1" x14ac:dyDescent="0.3">
      <c r="AF185"/>
      <c r="AT185"/>
      <c r="BG185"/>
    </row>
    <row r="186" spans="1:172" s="88" customFormat="1" ht="15.75" thickBot="1" x14ac:dyDescent="0.3">
      <c r="A186" s="86" t="s">
        <v>1612</v>
      </c>
      <c r="G186" s="90"/>
      <c r="R186" s="90"/>
      <c r="AC186" s="90"/>
      <c r="AN186" s="90"/>
      <c r="AY186" s="90"/>
      <c r="BJ186" s="90"/>
      <c r="BU186" s="90"/>
      <c r="CF186" s="90"/>
      <c r="CQ186" s="90"/>
      <c r="DB186" s="90"/>
      <c r="DM186" s="90"/>
      <c r="DX186" s="90"/>
      <c r="EI186" s="90"/>
      <c r="ET186" s="90"/>
      <c r="FE186" s="90"/>
      <c r="FP186" s="90"/>
    </row>
    <row r="187" spans="1:172" x14ac:dyDescent="0.25">
      <c r="AF187"/>
      <c r="AT187"/>
      <c r="BG187"/>
    </row>
    <row r="188" spans="1:172" x14ac:dyDescent="0.25">
      <c r="J188" t="s">
        <v>1614</v>
      </c>
      <c r="K188" t="s">
        <v>1614</v>
      </c>
      <c r="U188" t="s">
        <v>1614</v>
      </c>
      <c r="V188" t="s">
        <v>1614</v>
      </c>
      <c r="AF188" t="s">
        <v>1614</v>
      </c>
      <c r="AG188" t="s">
        <v>1614</v>
      </c>
      <c r="AQ188" t="s">
        <v>1614</v>
      </c>
      <c r="AR188" t="s">
        <v>1614</v>
      </c>
      <c r="AT188"/>
      <c r="BB188" t="s">
        <v>1614</v>
      </c>
      <c r="BC188" t="s">
        <v>1614</v>
      </c>
      <c r="BG188"/>
      <c r="BM188" t="s">
        <v>1614</v>
      </c>
      <c r="BN188" t="s">
        <v>1614</v>
      </c>
      <c r="BX188" t="s">
        <v>1614</v>
      </c>
      <c r="BY188" t="s">
        <v>1614</v>
      </c>
      <c r="CI188" t="s">
        <v>1614</v>
      </c>
      <c r="CJ188" t="s">
        <v>1614</v>
      </c>
      <c r="CT188" t="s">
        <v>1614</v>
      </c>
      <c r="CU188" t="s">
        <v>1614</v>
      </c>
      <c r="DE188" t="s">
        <v>1614</v>
      </c>
      <c r="DF188" t="s">
        <v>1614</v>
      </c>
      <c r="DP188" t="s">
        <v>1614</v>
      </c>
      <c r="DQ188" t="s">
        <v>1614</v>
      </c>
      <c r="EA188" t="s">
        <v>1614</v>
      </c>
      <c r="EB188" t="s">
        <v>1614</v>
      </c>
      <c r="EL188" t="s">
        <v>1614</v>
      </c>
      <c r="EM188" t="s">
        <v>1614</v>
      </c>
      <c r="EW188" t="s">
        <v>1614</v>
      </c>
      <c r="EX188" t="s">
        <v>1614</v>
      </c>
      <c r="FI188" t="s">
        <v>1614</v>
      </c>
      <c r="FJ188" t="s">
        <v>1614</v>
      </c>
    </row>
    <row r="189" spans="1:172" x14ac:dyDescent="0.25">
      <c r="I189" t="s">
        <v>1613</v>
      </c>
      <c r="J189">
        <v>0</v>
      </c>
      <c r="K189">
        <v>3.5000000000000003E-2</v>
      </c>
      <c r="L189">
        <v>0.06</v>
      </c>
      <c r="T189" t="s">
        <v>1613</v>
      </c>
      <c r="U189">
        <v>0</v>
      </c>
      <c r="V189">
        <v>3.5000000000000003E-2</v>
      </c>
      <c r="W189">
        <v>0.06</v>
      </c>
      <c r="AE189" t="s">
        <v>1613</v>
      </c>
      <c r="AF189">
        <v>0</v>
      </c>
      <c r="AG189">
        <v>3.5000000000000003E-2</v>
      </c>
      <c r="AH189">
        <v>0.06</v>
      </c>
      <c r="AP189" t="s">
        <v>1613</v>
      </c>
      <c r="AQ189">
        <v>0</v>
      </c>
      <c r="AR189">
        <v>3.5000000000000003E-2</v>
      </c>
      <c r="AS189">
        <v>0.06</v>
      </c>
      <c r="AT189"/>
      <c r="BA189" t="s">
        <v>1613</v>
      </c>
      <c r="BB189">
        <v>0</v>
      </c>
      <c r="BC189">
        <v>3.5000000000000003E-2</v>
      </c>
      <c r="BD189">
        <v>0.06</v>
      </c>
      <c r="BG189"/>
      <c r="BL189" t="s">
        <v>1613</v>
      </c>
      <c r="BM189">
        <v>0</v>
      </c>
      <c r="BN189">
        <v>3.5000000000000003E-2</v>
      </c>
      <c r="BO189">
        <v>0.06</v>
      </c>
      <c r="BW189" t="s">
        <v>1613</v>
      </c>
      <c r="BX189">
        <v>0</v>
      </c>
      <c r="BY189">
        <v>3.5000000000000003E-2</v>
      </c>
      <c r="BZ189">
        <v>0.06</v>
      </c>
      <c r="CH189" t="s">
        <v>1613</v>
      </c>
      <c r="CI189">
        <v>0</v>
      </c>
      <c r="CJ189">
        <v>3.5000000000000003E-2</v>
      </c>
      <c r="CK189">
        <v>0.06</v>
      </c>
      <c r="CS189" t="s">
        <v>1613</v>
      </c>
      <c r="CT189">
        <v>0</v>
      </c>
      <c r="CU189">
        <v>3.5000000000000003E-2</v>
      </c>
      <c r="CV189">
        <v>0.06</v>
      </c>
      <c r="DD189" t="s">
        <v>1613</v>
      </c>
      <c r="DE189">
        <v>0</v>
      </c>
      <c r="DF189">
        <v>3.5000000000000003E-2</v>
      </c>
      <c r="DG189">
        <v>0.06</v>
      </c>
      <c r="DO189" t="s">
        <v>1613</v>
      </c>
      <c r="DP189">
        <v>0</v>
      </c>
      <c r="DQ189">
        <v>3.5000000000000003E-2</v>
      </c>
      <c r="DR189">
        <v>0.06</v>
      </c>
      <c r="DZ189" t="s">
        <v>1613</v>
      </c>
      <c r="EA189">
        <v>0</v>
      </c>
      <c r="EB189">
        <v>3.5000000000000003E-2</v>
      </c>
      <c r="EC189">
        <v>0.06</v>
      </c>
      <c r="EK189" t="s">
        <v>1613</v>
      </c>
      <c r="EL189">
        <v>0</v>
      </c>
      <c r="EM189">
        <v>3.5000000000000003E-2</v>
      </c>
      <c r="EN189">
        <v>0.06</v>
      </c>
      <c r="EV189" t="s">
        <v>1613</v>
      </c>
      <c r="EW189">
        <v>0</v>
      </c>
      <c r="EX189">
        <v>3.5000000000000003E-2</v>
      </c>
      <c r="EY189">
        <v>0.06</v>
      </c>
      <c r="FH189" t="s">
        <v>1613</v>
      </c>
      <c r="FI189">
        <v>0</v>
      </c>
      <c r="FJ189">
        <v>3.5000000000000003E-2</v>
      </c>
      <c r="FK189">
        <v>0.06</v>
      </c>
    </row>
    <row r="190" spans="1:172" x14ac:dyDescent="0.25">
      <c r="I190">
        <v>1</v>
      </c>
      <c r="J190">
        <f>N173</f>
        <v>456.62507176211642</v>
      </c>
      <c r="K190">
        <f>J190/((1+K$189)^I190)</f>
        <v>441.18364421460529</v>
      </c>
      <c r="L190">
        <f t="shared" ref="L190:L192" si="151">J190/((1+L$189)^I190)</f>
        <v>430.77836958690227</v>
      </c>
      <c r="T190">
        <v>1</v>
      </c>
      <c r="U190">
        <f>Y173</f>
        <v>456.62507176211642</v>
      </c>
      <c r="V190">
        <f>U190/((1+V$189)^T190)</f>
        <v>441.18364421460529</v>
      </c>
      <c r="W190">
        <f t="shared" ref="W190:W192" si="152">U190/((1+W$189)^T190)</f>
        <v>430.77836958690227</v>
      </c>
      <c r="AE190">
        <v>1</v>
      </c>
      <c r="AF190">
        <f>AJ173</f>
        <v>456.62507176211642</v>
      </c>
      <c r="AG190">
        <f>AF190/((1+AG$189)^AE190)</f>
        <v>441.18364421460529</v>
      </c>
      <c r="AH190">
        <f t="shared" ref="AH190:AH192" si="153">AF190/((1+AH$189)^AE190)</f>
        <v>430.77836958690227</v>
      </c>
      <c r="AP190">
        <v>1</v>
      </c>
      <c r="AQ190">
        <f>AU173</f>
        <v>456.62507176211642</v>
      </c>
      <c r="AR190">
        <f>AQ190/((1+AR$189)^AP190)</f>
        <v>441.18364421460529</v>
      </c>
      <c r="AS190">
        <f t="shared" ref="AS190:AS192" si="154">AQ190/((1+AS$189)^AP190)</f>
        <v>430.77836958690227</v>
      </c>
      <c r="AT190"/>
      <c r="BA190">
        <v>1</v>
      </c>
      <c r="BB190">
        <f>BF173</f>
        <v>456.62507176211642</v>
      </c>
      <c r="BC190">
        <f>BB190/((1+BC$189)^BA190)</f>
        <v>441.18364421460529</v>
      </c>
      <c r="BD190">
        <f t="shared" ref="BD190:BD192" si="155">BB190/((1+BD$189)^BA190)</f>
        <v>430.77836958690227</v>
      </c>
      <c r="BG190"/>
      <c r="BL190">
        <v>1</v>
      </c>
      <c r="BM190">
        <f>BQ173</f>
        <v>456.62507176211642</v>
      </c>
      <c r="BN190">
        <f>BM190/((1+BN$189)^BL190)</f>
        <v>441.18364421460529</v>
      </c>
      <c r="BO190">
        <f t="shared" ref="BO190:BO192" si="156">BM190/((1+BO$189)^BL190)</f>
        <v>430.77836958690227</v>
      </c>
      <c r="BW190">
        <v>1</v>
      </c>
      <c r="BX190">
        <f>CB173</f>
        <v>456.62507176211642</v>
      </c>
      <c r="BY190">
        <f>BX190/((1+BY$189)^BW190)</f>
        <v>441.18364421460529</v>
      </c>
      <c r="BZ190">
        <f t="shared" ref="BZ190:BZ192" si="157">BX190/((1+BZ$189)^BW190)</f>
        <v>430.77836958690227</v>
      </c>
      <c r="CH190">
        <v>1</v>
      </c>
      <c r="CI190">
        <f>CM173</f>
        <v>456.62507176211642</v>
      </c>
      <c r="CJ190">
        <f>CI190/((1+CJ$189)^CH190)</f>
        <v>441.18364421460529</v>
      </c>
      <c r="CK190">
        <f t="shared" ref="CK190:CK192" si="158">CI190/((1+CK$189)^CH190)</f>
        <v>430.77836958690227</v>
      </c>
      <c r="CS190">
        <v>1</v>
      </c>
      <c r="CT190">
        <f>CX173</f>
        <v>456.62507176211642</v>
      </c>
      <c r="CU190">
        <f>CT190/((1+CU$189)^CS190)</f>
        <v>441.18364421460529</v>
      </c>
      <c r="CV190">
        <f t="shared" ref="CV190:CV192" si="159">CT190/((1+CV$189)^CS190)</f>
        <v>430.77836958690227</v>
      </c>
      <c r="DD190">
        <v>1</v>
      </c>
      <c r="DE190">
        <f>DI173</f>
        <v>456.62507176211642</v>
      </c>
      <c r="DF190">
        <f>DE190/((1+DF$189)^DD190)</f>
        <v>441.18364421460529</v>
      </c>
      <c r="DG190">
        <f t="shared" ref="DG190:DG192" si="160">DE190/((1+DG$189)^DD190)</f>
        <v>430.77836958690227</v>
      </c>
      <c r="DO190">
        <v>1</v>
      </c>
      <c r="DP190">
        <f>DT173</f>
        <v>456.62507176211642</v>
      </c>
      <c r="DQ190">
        <f>DP190/((1+DQ$189)^DO190)</f>
        <v>441.18364421460529</v>
      </c>
      <c r="DR190">
        <f t="shared" ref="DR190:DR192" si="161">DP190/((1+DR$189)^DO190)</f>
        <v>430.77836958690227</v>
      </c>
      <c r="DZ190">
        <v>1</v>
      </c>
      <c r="EA190">
        <f>EE173</f>
        <v>456.62507176211642</v>
      </c>
      <c r="EB190">
        <f>EA190/((1+EB$189)^DZ190)</f>
        <v>441.18364421460529</v>
      </c>
      <c r="EC190">
        <f t="shared" ref="EC190:EC192" si="162">EA190/((1+EC$189)^DZ190)</f>
        <v>430.77836958690227</v>
      </c>
      <c r="EK190">
        <v>1</v>
      </c>
      <c r="EL190">
        <f>EP173</f>
        <v>456.62507176211642</v>
      </c>
      <c r="EM190">
        <f>EL190/((1+EM$189)^EK190)</f>
        <v>441.18364421460529</v>
      </c>
      <c r="EN190">
        <f t="shared" ref="EN190:EN192" si="163">EL190/((1+EN$189)^EK190)</f>
        <v>430.77836958690227</v>
      </c>
      <c r="EV190">
        <v>1</v>
      </c>
      <c r="EW190">
        <f>FA173</f>
        <v>456.62507176211642</v>
      </c>
      <c r="EX190">
        <f>EW190/((1+EX$189)^EV190)</f>
        <v>441.18364421460529</v>
      </c>
      <c r="EY190">
        <f t="shared" ref="EY190:EY192" si="164">EW190/((1+EY$189)^EV190)</f>
        <v>430.77836958690227</v>
      </c>
      <c r="FH190">
        <v>1</v>
      </c>
      <c r="FI190">
        <f>FM173</f>
        <v>456.62507176211642</v>
      </c>
      <c r="FJ190">
        <f>FI190/((1+FJ$189)^FH190)</f>
        <v>441.18364421460529</v>
      </c>
      <c r="FK190">
        <f t="shared" ref="FK190:FK192" si="165">FI190/((1+FK$189)^FH190)</f>
        <v>430.77836958690227</v>
      </c>
    </row>
    <row r="191" spans="1:172" x14ac:dyDescent="0.25">
      <c r="I191">
        <v>2</v>
      </c>
      <c r="J191">
        <f>J190</f>
        <v>456.62507176211642</v>
      </c>
      <c r="K191">
        <f t="shared" ref="K191:K193" si="166">J191/((1+K$189)^I191)</f>
        <v>426.26439054551236</v>
      </c>
      <c r="L191">
        <f t="shared" si="151"/>
        <v>406.39468828953039</v>
      </c>
      <c r="T191">
        <v>2</v>
      </c>
      <c r="U191">
        <f>U190</f>
        <v>456.62507176211642</v>
      </c>
      <c r="V191">
        <f t="shared" ref="V191:V219" si="167">U191/((1+V$189)^T191)</f>
        <v>426.26439054551236</v>
      </c>
      <c r="W191">
        <f t="shared" si="152"/>
        <v>406.39468828953039</v>
      </c>
      <c r="AE191">
        <v>2</v>
      </c>
      <c r="AF191">
        <f>AF190</f>
        <v>456.62507176211642</v>
      </c>
      <c r="AG191">
        <f t="shared" ref="AG191:AG219" si="168">AF191/((1+AG$189)^AE191)</f>
        <v>426.26439054551236</v>
      </c>
      <c r="AH191">
        <f t="shared" si="153"/>
        <v>406.39468828953039</v>
      </c>
      <c r="AP191">
        <v>2</v>
      </c>
      <c r="AQ191">
        <f>AQ190</f>
        <v>456.62507176211642</v>
      </c>
      <c r="AR191">
        <f t="shared" ref="AR191:AR219" si="169">AQ191/((1+AR$189)^AP191)</f>
        <v>426.26439054551236</v>
      </c>
      <c r="AS191">
        <f t="shared" si="154"/>
        <v>406.39468828953039</v>
      </c>
      <c r="AT191"/>
      <c r="BA191">
        <v>2</v>
      </c>
      <c r="BB191">
        <f>BB190</f>
        <v>456.62507176211642</v>
      </c>
      <c r="BC191">
        <f t="shared" ref="BC191:BC219" si="170">BB191/((1+BC$189)^BA191)</f>
        <v>426.26439054551236</v>
      </c>
      <c r="BD191">
        <f t="shared" si="155"/>
        <v>406.39468828953039</v>
      </c>
      <c r="BG191"/>
      <c r="BL191">
        <v>2</v>
      </c>
      <c r="BM191">
        <f>BM190</f>
        <v>456.62507176211642</v>
      </c>
      <c r="BN191">
        <f t="shared" ref="BN191:BN219" si="171">BM191/((1+BN$189)^BL191)</f>
        <v>426.26439054551236</v>
      </c>
      <c r="BO191">
        <f t="shared" si="156"/>
        <v>406.39468828953039</v>
      </c>
      <c r="BW191">
        <v>2</v>
      </c>
      <c r="BX191">
        <f>BX190</f>
        <v>456.62507176211642</v>
      </c>
      <c r="BY191">
        <f t="shared" ref="BY191:BY219" si="172">BX191/((1+BY$189)^BW191)</f>
        <v>426.26439054551236</v>
      </c>
      <c r="BZ191">
        <f t="shared" si="157"/>
        <v>406.39468828953039</v>
      </c>
      <c r="CH191">
        <v>2</v>
      </c>
      <c r="CI191">
        <f>CI190</f>
        <v>456.62507176211642</v>
      </c>
      <c r="CJ191">
        <f t="shared" ref="CJ191:CJ219" si="173">CI191/((1+CJ$189)^CH191)</f>
        <v>426.26439054551236</v>
      </c>
      <c r="CK191">
        <f t="shared" si="158"/>
        <v>406.39468828953039</v>
      </c>
      <c r="CS191">
        <v>2</v>
      </c>
      <c r="CT191">
        <f>CT190</f>
        <v>456.62507176211642</v>
      </c>
      <c r="CU191">
        <f t="shared" ref="CU191:CU219" si="174">CT191/((1+CU$189)^CS191)</f>
        <v>426.26439054551236</v>
      </c>
      <c r="CV191">
        <f t="shared" si="159"/>
        <v>406.39468828953039</v>
      </c>
      <c r="DD191">
        <v>2</v>
      </c>
      <c r="DE191">
        <f>DE190</f>
        <v>456.62507176211642</v>
      </c>
      <c r="DF191">
        <f t="shared" ref="DF191:DF219" si="175">DE191/((1+DF$189)^DD191)</f>
        <v>426.26439054551236</v>
      </c>
      <c r="DG191">
        <f t="shared" si="160"/>
        <v>406.39468828953039</v>
      </c>
      <c r="DO191">
        <v>2</v>
      </c>
      <c r="DP191">
        <f>DP190</f>
        <v>456.62507176211642</v>
      </c>
      <c r="DQ191">
        <f t="shared" ref="DQ191:DQ219" si="176">DP191/((1+DQ$189)^DO191)</f>
        <v>426.26439054551236</v>
      </c>
      <c r="DR191">
        <f t="shared" si="161"/>
        <v>406.39468828953039</v>
      </c>
      <c r="DZ191">
        <v>2</v>
      </c>
      <c r="EA191">
        <f>EA190</f>
        <v>456.62507176211642</v>
      </c>
      <c r="EB191">
        <f t="shared" ref="EB191:EB219" si="177">EA191/((1+EB$189)^DZ191)</f>
        <v>426.26439054551236</v>
      </c>
      <c r="EC191">
        <f t="shared" si="162"/>
        <v>406.39468828953039</v>
      </c>
      <c r="EK191">
        <v>2</v>
      </c>
      <c r="EL191">
        <f>EL190</f>
        <v>456.62507176211642</v>
      </c>
      <c r="EM191">
        <f t="shared" ref="EM191:EM219" si="178">EL191/((1+EM$189)^EK191)</f>
        <v>426.26439054551236</v>
      </c>
      <c r="EN191">
        <f t="shared" si="163"/>
        <v>406.39468828953039</v>
      </c>
      <c r="EV191">
        <v>2</v>
      </c>
      <c r="EW191">
        <f>EW190</f>
        <v>456.62507176211642</v>
      </c>
      <c r="EX191">
        <f t="shared" ref="EX191:EX219" si="179">EW191/((1+EX$189)^EV191)</f>
        <v>426.26439054551236</v>
      </c>
      <c r="EY191">
        <f t="shared" si="164"/>
        <v>406.39468828953039</v>
      </c>
      <c r="FH191">
        <v>2</v>
      </c>
      <c r="FI191">
        <f>FI190</f>
        <v>456.62507176211642</v>
      </c>
      <c r="FJ191">
        <f t="shared" ref="FJ191:FJ219" si="180">FI191/((1+FJ$189)^FH191)</f>
        <v>426.26439054551236</v>
      </c>
      <c r="FK191">
        <f t="shared" si="165"/>
        <v>406.39468828953039</v>
      </c>
    </row>
    <row r="192" spans="1:172" x14ac:dyDescent="0.25">
      <c r="I192">
        <v>3</v>
      </c>
      <c r="J192">
        <f t="shared" ref="J192:J195" si="181">J191</f>
        <v>456.62507176211642</v>
      </c>
      <c r="K192">
        <f t="shared" si="166"/>
        <v>411.8496527009782</v>
      </c>
      <c r="L192">
        <f t="shared" si="151"/>
        <v>383.39121536748149</v>
      </c>
      <c r="T192">
        <v>3</v>
      </c>
      <c r="U192">
        <f t="shared" ref="U192:U195" si="182">U191</f>
        <v>456.62507176211642</v>
      </c>
      <c r="V192">
        <f t="shared" si="167"/>
        <v>411.8496527009782</v>
      </c>
      <c r="W192">
        <f t="shared" si="152"/>
        <v>383.39121536748149</v>
      </c>
      <c r="AE192">
        <v>3</v>
      </c>
      <c r="AF192">
        <f t="shared" ref="AF192:AF195" si="183">AF191</f>
        <v>456.62507176211642</v>
      </c>
      <c r="AG192">
        <f t="shared" si="168"/>
        <v>411.8496527009782</v>
      </c>
      <c r="AH192">
        <f t="shared" si="153"/>
        <v>383.39121536748149</v>
      </c>
      <c r="AP192">
        <v>3</v>
      </c>
      <c r="AQ192">
        <f t="shared" ref="AQ192:AQ195" si="184">AQ191</f>
        <v>456.62507176211642</v>
      </c>
      <c r="AR192">
        <f t="shared" si="169"/>
        <v>411.8496527009782</v>
      </c>
      <c r="AS192">
        <f t="shared" si="154"/>
        <v>383.39121536748149</v>
      </c>
      <c r="AT192"/>
      <c r="BA192">
        <v>3</v>
      </c>
      <c r="BB192">
        <f t="shared" ref="BB192:BB195" si="185">BB191</f>
        <v>456.62507176211642</v>
      </c>
      <c r="BC192">
        <f t="shared" si="170"/>
        <v>411.8496527009782</v>
      </c>
      <c r="BD192">
        <f t="shared" si="155"/>
        <v>383.39121536748149</v>
      </c>
      <c r="BG192"/>
      <c r="BL192">
        <v>3</v>
      </c>
      <c r="BM192">
        <f t="shared" ref="BM192:BM195" si="186">BM191</f>
        <v>456.62507176211642</v>
      </c>
      <c r="BN192">
        <f t="shared" si="171"/>
        <v>411.8496527009782</v>
      </c>
      <c r="BO192">
        <f t="shared" si="156"/>
        <v>383.39121536748149</v>
      </c>
      <c r="BW192">
        <v>3</v>
      </c>
      <c r="BX192">
        <f t="shared" ref="BX192:BX195" si="187">BX191</f>
        <v>456.62507176211642</v>
      </c>
      <c r="BY192">
        <f t="shared" si="172"/>
        <v>411.8496527009782</v>
      </c>
      <c r="BZ192">
        <f t="shared" si="157"/>
        <v>383.39121536748149</v>
      </c>
      <c r="CH192">
        <v>3</v>
      </c>
      <c r="CI192">
        <f t="shared" ref="CI192:CI195" si="188">CI191</f>
        <v>456.62507176211642</v>
      </c>
      <c r="CJ192">
        <f t="shared" si="173"/>
        <v>411.8496527009782</v>
      </c>
      <c r="CK192">
        <f t="shared" si="158"/>
        <v>383.39121536748149</v>
      </c>
      <c r="CS192">
        <v>3</v>
      </c>
      <c r="CT192">
        <f t="shared" ref="CT192:CT195" si="189">CT191</f>
        <v>456.62507176211642</v>
      </c>
      <c r="CU192">
        <f t="shared" si="174"/>
        <v>411.8496527009782</v>
      </c>
      <c r="CV192">
        <f t="shared" si="159"/>
        <v>383.39121536748149</v>
      </c>
      <c r="DD192">
        <v>3</v>
      </c>
      <c r="DE192">
        <f t="shared" ref="DE192:DE195" si="190">DE191</f>
        <v>456.62507176211642</v>
      </c>
      <c r="DF192">
        <f t="shared" si="175"/>
        <v>411.8496527009782</v>
      </c>
      <c r="DG192">
        <f t="shared" si="160"/>
        <v>383.39121536748149</v>
      </c>
      <c r="DO192">
        <v>3</v>
      </c>
      <c r="DP192">
        <f t="shared" ref="DP192:DP195" si="191">DP191</f>
        <v>456.62507176211642</v>
      </c>
      <c r="DQ192">
        <f t="shared" si="176"/>
        <v>411.8496527009782</v>
      </c>
      <c r="DR192">
        <f t="shared" si="161"/>
        <v>383.39121536748149</v>
      </c>
      <c r="DZ192">
        <v>3</v>
      </c>
      <c r="EA192">
        <f t="shared" ref="EA192:EA195" si="192">EA191</f>
        <v>456.62507176211642</v>
      </c>
      <c r="EB192">
        <f t="shared" si="177"/>
        <v>411.8496527009782</v>
      </c>
      <c r="EC192">
        <f t="shared" si="162"/>
        <v>383.39121536748149</v>
      </c>
      <c r="EK192">
        <v>3</v>
      </c>
      <c r="EL192">
        <f t="shared" ref="EL192:EL195" si="193">EL191</f>
        <v>456.62507176211642</v>
      </c>
      <c r="EM192">
        <f t="shared" si="178"/>
        <v>411.8496527009782</v>
      </c>
      <c r="EN192">
        <f t="shared" si="163"/>
        <v>383.39121536748149</v>
      </c>
      <c r="EV192">
        <v>3</v>
      </c>
      <c r="EW192">
        <f t="shared" ref="EW192:EW195" si="194">EW191</f>
        <v>456.62507176211642</v>
      </c>
      <c r="EX192">
        <f t="shared" si="179"/>
        <v>411.8496527009782</v>
      </c>
      <c r="EY192">
        <f t="shared" si="164"/>
        <v>383.39121536748149</v>
      </c>
      <c r="FH192">
        <v>3</v>
      </c>
      <c r="FI192">
        <f t="shared" ref="FI192:FI195" si="195">FI191</f>
        <v>456.62507176211642</v>
      </c>
      <c r="FJ192">
        <f t="shared" si="180"/>
        <v>411.8496527009782</v>
      </c>
      <c r="FK192">
        <f t="shared" si="165"/>
        <v>383.39121536748149</v>
      </c>
    </row>
    <row r="193" spans="9:167" x14ac:dyDescent="0.25">
      <c r="I193">
        <v>4</v>
      </c>
      <c r="J193">
        <f t="shared" si="181"/>
        <v>456.62507176211642</v>
      </c>
      <c r="K193">
        <f t="shared" si="166"/>
        <v>397.9223697593992</v>
      </c>
      <c r="L193">
        <f>J193/((1+L$189)^I193)</f>
        <v>361.68982581837872</v>
      </c>
      <c r="T193">
        <v>4</v>
      </c>
      <c r="U193">
        <f t="shared" si="182"/>
        <v>456.62507176211642</v>
      </c>
      <c r="V193">
        <f t="shared" si="167"/>
        <v>397.9223697593992</v>
      </c>
      <c r="W193">
        <f>U193/((1+W$189)^T193)</f>
        <v>361.68982581837872</v>
      </c>
      <c r="AE193">
        <v>4</v>
      </c>
      <c r="AF193">
        <f t="shared" si="183"/>
        <v>456.62507176211642</v>
      </c>
      <c r="AG193">
        <f t="shared" si="168"/>
        <v>397.9223697593992</v>
      </c>
      <c r="AH193">
        <f>AF193/((1+AH$189)^AE193)</f>
        <v>361.68982581837872</v>
      </c>
      <c r="AP193">
        <v>4</v>
      </c>
      <c r="AQ193">
        <f t="shared" si="184"/>
        <v>456.62507176211642</v>
      </c>
      <c r="AR193">
        <f t="shared" si="169"/>
        <v>397.9223697593992</v>
      </c>
      <c r="AS193">
        <f>AQ193/((1+AS$189)^AP193)</f>
        <v>361.68982581837872</v>
      </c>
      <c r="AT193"/>
      <c r="BA193">
        <v>4</v>
      </c>
      <c r="BB193">
        <f t="shared" si="185"/>
        <v>456.62507176211642</v>
      </c>
      <c r="BC193">
        <f t="shared" si="170"/>
        <v>397.9223697593992</v>
      </c>
      <c r="BD193">
        <f>BB193/((1+BD$189)^BA193)</f>
        <v>361.68982581837872</v>
      </c>
      <c r="BG193"/>
      <c r="BL193">
        <v>4</v>
      </c>
      <c r="BM193">
        <f t="shared" si="186"/>
        <v>456.62507176211642</v>
      </c>
      <c r="BN193">
        <f t="shared" si="171"/>
        <v>397.9223697593992</v>
      </c>
      <c r="BO193">
        <f>BM193/((1+BO$189)^BL193)</f>
        <v>361.68982581837872</v>
      </c>
      <c r="BW193">
        <v>4</v>
      </c>
      <c r="BX193">
        <f t="shared" si="187"/>
        <v>456.62507176211642</v>
      </c>
      <c r="BY193">
        <f t="shared" si="172"/>
        <v>397.9223697593992</v>
      </c>
      <c r="BZ193">
        <f>BX193/((1+BZ$189)^BW193)</f>
        <v>361.68982581837872</v>
      </c>
      <c r="CH193">
        <v>4</v>
      </c>
      <c r="CI193">
        <f t="shared" si="188"/>
        <v>456.62507176211642</v>
      </c>
      <c r="CJ193">
        <f t="shared" si="173"/>
        <v>397.9223697593992</v>
      </c>
      <c r="CK193">
        <f>CI193/((1+CK$189)^CH193)</f>
        <v>361.68982581837872</v>
      </c>
      <c r="CS193">
        <v>4</v>
      </c>
      <c r="CT193">
        <f t="shared" si="189"/>
        <v>456.62507176211642</v>
      </c>
      <c r="CU193">
        <f t="shared" si="174"/>
        <v>397.9223697593992</v>
      </c>
      <c r="CV193">
        <f>CT193/((1+CV$189)^CS193)</f>
        <v>361.68982581837872</v>
      </c>
      <c r="DD193">
        <v>4</v>
      </c>
      <c r="DE193">
        <f t="shared" si="190"/>
        <v>456.62507176211642</v>
      </c>
      <c r="DF193">
        <f t="shared" si="175"/>
        <v>397.9223697593992</v>
      </c>
      <c r="DG193">
        <f>DE193/((1+DG$189)^DD193)</f>
        <v>361.68982581837872</v>
      </c>
      <c r="DO193">
        <v>4</v>
      </c>
      <c r="DP193">
        <f t="shared" si="191"/>
        <v>456.62507176211642</v>
      </c>
      <c r="DQ193">
        <f t="shared" si="176"/>
        <v>397.9223697593992</v>
      </c>
      <c r="DR193">
        <f>DP193/((1+DR$189)^DO193)</f>
        <v>361.68982581837872</v>
      </c>
      <c r="DZ193">
        <v>4</v>
      </c>
      <c r="EA193">
        <f t="shared" si="192"/>
        <v>456.62507176211642</v>
      </c>
      <c r="EB193">
        <f t="shared" si="177"/>
        <v>397.9223697593992</v>
      </c>
      <c r="EC193">
        <f>EA193/((1+EC$189)^DZ193)</f>
        <v>361.68982581837872</v>
      </c>
      <c r="EK193">
        <v>4</v>
      </c>
      <c r="EL193">
        <f t="shared" si="193"/>
        <v>456.62507176211642</v>
      </c>
      <c r="EM193">
        <f t="shared" si="178"/>
        <v>397.9223697593992</v>
      </c>
      <c r="EN193">
        <f>EL193/((1+EN$189)^EK193)</f>
        <v>361.68982581837872</v>
      </c>
      <c r="EV193">
        <v>4</v>
      </c>
      <c r="EW193">
        <f t="shared" si="194"/>
        <v>456.62507176211642</v>
      </c>
      <c r="EX193">
        <f t="shared" si="179"/>
        <v>397.9223697593992</v>
      </c>
      <c r="EY193">
        <f>EW193/((1+EY$189)^EV193)</f>
        <v>361.68982581837872</v>
      </c>
      <c r="FH193">
        <v>4</v>
      </c>
      <c r="FI193">
        <f t="shared" si="195"/>
        <v>456.62507176211642</v>
      </c>
      <c r="FJ193">
        <f t="shared" si="180"/>
        <v>397.9223697593992</v>
      </c>
      <c r="FK193">
        <f>FI193/((1+FK$189)^FH193)</f>
        <v>361.68982581837872</v>
      </c>
    </row>
    <row r="194" spans="9:167" x14ac:dyDescent="0.25">
      <c r="I194">
        <v>5</v>
      </c>
      <c r="J194">
        <f t="shared" si="181"/>
        <v>456.62507176211642</v>
      </c>
      <c r="K194">
        <f t="shared" ref="K194:K219" si="196">J194/((1+K$189)^I194)</f>
        <v>384.46605773855003</v>
      </c>
      <c r="L194">
        <f t="shared" ref="L194:L219" si="197">J194/((1+L$189)^I194)</f>
        <v>341.21681680979123</v>
      </c>
      <c r="T194">
        <v>5</v>
      </c>
      <c r="U194">
        <f t="shared" si="182"/>
        <v>456.62507176211642</v>
      </c>
      <c r="V194">
        <f t="shared" si="167"/>
        <v>384.46605773855003</v>
      </c>
      <c r="W194">
        <f t="shared" ref="W194:W219" si="198">U194/((1+W$189)^T194)</f>
        <v>341.21681680979123</v>
      </c>
      <c r="AE194">
        <v>5</v>
      </c>
      <c r="AF194">
        <f t="shared" si="183"/>
        <v>456.62507176211642</v>
      </c>
      <c r="AG194">
        <f t="shared" si="168"/>
        <v>384.46605773855003</v>
      </c>
      <c r="AH194">
        <f t="shared" ref="AH194:AH219" si="199">AF194/((1+AH$189)^AE194)</f>
        <v>341.21681680979123</v>
      </c>
      <c r="AP194">
        <v>5</v>
      </c>
      <c r="AQ194">
        <f t="shared" si="184"/>
        <v>456.62507176211642</v>
      </c>
      <c r="AR194">
        <f t="shared" si="169"/>
        <v>384.46605773855003</v>
      </c>
      <c r="AS194">
        <f t="shared" ref="AS194:AS219" si="200">AQ194/((1+AS$189)^AP194)</f>
        <v>341.21681680979123</v>
      </c>
      <c r="AT194"/>
      <c r="BA194">
        <v>5</v>
      </c>
      <c r="BB194">
        <f t="shared" si="185"/>
        <v>456.62507176211642</v>
      </c>
      <c r="BC194">
        <f t="shared" si="170"/>
        <v>384.46605773855003</v>
      </c>
      <c r="BD194">
        <f t="shared" ref="BD194:BD219" si="201">BB194/((1+BD$189)^BA194)</f>
        <v>341.21681680979123</v>
      </c>
      <c r="BG194"/>
      <c r="BL194">
        <v>5</v>
      </c>
      <c r="BM194">
        <f t="shared" si="186"/>
        <v>456.62507176211642</v>
      </c>
      <c r="BN194">
        <f t="shared" si="171"/>
        <v>384.46605773855003</v>
      </c>
      <c r="BO194">
        <f t="shared" ref="BO194:BO219" si="202">BM194/((1+BO$189)^BL194)</f>
        <v>341.21681680979123</v>
      </c>
      <c r="BW194">
        <v>5</v>
      </c>
      <c r="BX194">
        <f t="shared" si="187"/>
        <v>456.62507176211642</v>
      </c>
      <c r="BY194">
        <f t="shared" si="172"/>
        <v>384.46605773855003</v>
      </c>
      <c r="BZ194">
        <f t="shared" ref="BZ194:BZ219" si="203">BX194/((1+BZ$189)^BW194)</f>
        <v>341.21681680979123</v>
      </c>
      <c r="CH194">
        <v>5</v>
      </c>
      <c r="CI194">
        <f t="shared" si="188"/>
        <v>456.62507176211642</v>
      </c>
      <c r="CJ194">
        <f t="shared" si="173"/>
        <v>384.46605773855003</v>
      </c>
      <c r="CK194">
        <f t="shared" ref="CK194:CK219" si="204">CI194/((1+CK$189)^CH194)</f>
        <v>341.21681680979123</v>
      </c>
      <c r="CS194">
        <v>5</v>
      </c>
      <c r="CT194">
        <f t="shared" si="189"/>
        <v>456.62507176211642</v>
      </c>
      <c r="CU194">
        <f t="shared" si="174"/>
        <v>384.46605773855003</v>
      </c>
      <c r="CV194">
        <f t="shared" ref="CV194:CV219" si="205">CT194/((1+CV$189)^CS194)</f>
        <v>341.21681680979123</v>
      </c>
      <c r="DD194">
        <v>5</v>
      </c>
      <c r="DE194">
        <f t="shared" si="190"/>
        <v>456.62507176211642</v>
      </c>
      <c r="DF194">
        <f t="shared" si="175"/>
        <v>384.46605773855003</v>
      </c>
      <c r="DG194">
        <f t="shared" ref="DG194:DG219" si="206">DE194/((1+DG$189)^DD194)</f>
        <v>341.21681680979123</v>
      </c>
      <c r="DO194">
        <v>5</v>
      </c>
      <c r="DP194">
        <f t="shared" si="191"/>
        <v>456.62507176211642</v>
      </c>
      <c r="DQ194">
        <f t="shared" si="176"/>
        <v>384.46605773855003</v>
      </c>
      <c r="DR194">
        <f t="shared" ref="DR194:DR219" si="207">DP194/((1+DR$189)^DO194)</f>
        <v>341.21681680979123</v>
      </c>
      <c r="DZ194">
        <v>5</v>
      </c>
      <c r="EA194">
        <f t="shared" si="192"/>
        <v>456.62507176211642</v>
      </c>
      <c r="EB194">
        <f t="shared" si="177"/>
        <v>384.46605773855003</v>
      </c>
      <c r="EC194">
        <f t="shared" ref="EC194:EC219" si="208">EA194/((1+EC$189)^DZ194)</f>
        <v>341.21681680979123</v>
      </c>
      <c r="EK194">
        <v>5</v>
      </c>
      <c r="EL194">
        <f t="shared" si="193"/>
        <v>456.62507176211642</v>
      </c>
      <c r="EM194">
        <f t="shared" si="178"/>
        <v>384.46605773855003</v>
      </c>
      <c r="EN194">
        <f t="shared" ref="EN194:EN219" si="209">EL194/((1+EN$189)^EK194)</f>
        <v>341.21681680979123</v>
      </c>
      <c r="EV194">
        <v>5</v>
      </c>
      <c r="EW194">
        <f t="shared" si="194"/>
        <v>456.62507176211642</v>
      </c>
      <c r="EX194">
        <f t="shared" si="179"/>
        <v>384.46605773855003</v>
      </c>
      <c r="EY194">
        <f t="shared" ref="EY194:EY219" si="210">EW194/((1+EY$189)^EV194)</f>
        <v>341.21681680979123</v>
      </c>
      <c r="FH194">
        <v>5</v>
      </c>
      <c r="FI194">
        <f t="shared" si="195"/>
        <v>456.62507176211642</v>
      </c>
      <c r="FJ194">
        <f t="shared" si="180"/>
        <v>384.46605773855003</v>
      </c>
      <c r="FK194">
        <f t="shared" ref="FK194:FK219" si="211">FI194/((1+FK$189)^FH194)</f>
        <v>341.21681680979123</v>
      </c>
    </row>
    <row r="195" spans="9:167" x14ac:dyDescent="0.25">
      <c r="I195">
        <v>6</v>
      </c>
      <c r="J195">
        <f t="shared" si="181"/>
        <v>456.62507176211642</v>
      </c>
      <c r="K195">
        <f t="shared" si="196"/>
        <v>371.46479008555553</v>
      </c>
      <c r="L195">
        <f t="shared" si="197"/>
        <v>321.90265736772756</v>
      </c>
      <c r="T195">
        <v>6</v>
      </c>
      <c r="U195">
        <f t="shared" si="182"/>
        <v>456.62507176211642</v>
      </c>
      <c r="V195">
        <f t="shared" si="167"/>
        <v>371.46479008555553</v>
      </c>
      <c r="W195">
        <f t="shared" si="198"/>
        <v>321.90265736772756</v>
      </c>
      <c r="AE195">
        <v>6</v>
      </c>
      <c r="AF195">
        <f t="shared" si="183"/>
        <v>456.62507176211642</v>
      </c>
      <c r="AG195">
        <f t="shared" si="168"/>
        <v>371.46479008555553</v>
      </c>
      <c r="AH195">
        <f t="shared" si="199"/>
        <v>321.90265736772756</v>
      </c>
      <c r="AP195">
        <v>6</v>
      </c>
      <c r="AQ195">
        <f t="shared" si="184"/>
        <v>456.62507176211642</v>
      </c>
      <c r="AR195">
        <f t="shared" si="169"/>
        <v>371.46479008555553</v>
      </c>
      <c r="AS195">
        <f t="shared" si="200"/>
        <v>321.90265736772756</v>
      </c>
      <c r="AT195"/>
      <c r="BA195">
        <v>6</v>
      </c>
      <c r="BB195">
        <f t="shared" si="185"/>
        <v>456.62507176211642</v>
      </c>
      <c r="BC195">
        <f t="shared" si="170"/>
        <v>371.46479008555553</v>
      </c>
      <c r="BD195">
        <f t="shared" si="201"/>
        <v>321.90265736772756</v>
      </c>
      <c r="BG195"/>
      <c r="BL195">
        <v>6</v>
      </c>
      <c r="BM195">
        <f t="shared" si="186"/>
        <v>456.62507176211642</v>
      </c>
      <c r="BN195">
        <f t="shared" si="171"/>
        <v>371.46479008555553</v>
      </c>
      <c r="BO195">
        <f t="shared" si="202"/>
        <v>321.90265736772756</v>
      </c>
      <c r="BW195">
        <v>6</v>
      </c>
      <c r="BX195">
        <f t="shared" si="187"/>
        <v>456.62507176211642</v>
      </c>
      <c r="BY195">
        <f t="shared" si="172"/>
        <v>371.46479008555553</v>
      </c>
      <c r="BZ195">
        <f t="shared" si="203"/>
        <v>321.90265736772756</v>
      </c>
      <c r="CH195">
        <v>6</v>
      </c>
      <c r="CI195">
        <f t="shared" si="188"/>
        <v>456.62507176211642</v>
      </c>
      <c r="CJ195">
        <f t="shared" si="173"/>
        <v>371.46479008555553</v>
      </c>
      <c r="CK195">
        <f t="shared" si="204"/>
        <v>321.90265736772756</v>
      </c>
      <c r="CS195">
        <v>6</v>
      </c>
      <c r="CT195">
        <f t="shared" si="189"/>
        <v>456.62507176211642</v>
      </c>
      <c r="CU195">
        <f t="shared" si="174"/>
        <v>371.46479008555553</v>
      </c>
      <c r="CV195">
        <f t="shared" si="205"/>
        <v>321.90265736772756</v>
      </c>
      <c r="DD195">
        <v>6</v>
      </c>
      <c r="DE195">
        <f t="shared" si="190"/>
        <v>456.62507176211642</v>
      </c>
      <c r="DF195">
        <f t="shared" si="175"/>
        <v>371.46479008555553</v>
      </c>
      <c r="DG195">
        <f t="shared" si="206"/>
        <v>321.90265736772756</v>
      </c>
      <c r="DO195">
        <v>6</v>
      </c>
      <c r="DP195">
        <f t="shared" si="191"/>
        <v>456.62507176211642</v>
      </c>
      <c r="DQ195">
        <f t="shared" si="176"/>
        <v>371.46479008555553</v>
      </c>
      <c r="DR195">
        <f t="shared" si="207"/>
        <v>321.90265736772756</v>
      </c>
      <c r="DZ195">
        <v>6</v>
      </c>
      <c r="EA195">
        <f t="shared" si="192"/>
        <v>456.62507176211642</v>
      </c>
      <c r="EB195">
        <f t="shared" si="177"/>
        <v>371.46479008555553</v>
      </c>
      <c r="EC195">
        <f t="shared" si="208"/>
        <v>321.90265736772756</v>
      </c>
      <c r="EK195">
        <v>6</v>
      </c>
      <c r="EL195">
        <f t="shared" si="193"/>
        <v>456.62507176211642</v>
      </c>
      <c r="EM195">
        <f t="shared" si="178"/>
        <v>371.46479008555553</v>
      </c>
      <c r="EN195">
        <f t="shared" si="209"/>
        <v>321.90265736772756</v>
      </c>
      <c r="EV195">
        <v>6</v>
      </c>
      <c r="EW195">
        <f t="shared" si="194"/>
        <v>456.62507176211642</v>
      </c>
      <c r="EX195">
        <f t="shared" si="179"/>
        <v>371.46479008555553</v>
      </c>
      <c r="EY195">
        <f t="shared" si="210"/>
        <v>321.90265736772756</v>
      </c>
      <c r="FH195">
        <v>6</v>
      </c>
      <c r="FI195">
        <f t="shared" si="195"/>
        <v>456.62507176211642</v>
      </c>
      <c r="FJ195">
        <f t="shared" si="180"/>
        <v>371.46479008555553</v>
      </c>
      <c r="FK195">
        <f t="shared" si="211"/>
        <v>321.90265736772756</v>
      </c>
    </row>
    <row r="196" spans="9:167" x14ac:dyDescent="0.25">
      <c r="I196">
        <v>7</v>
      </c>
      <c r="J196">
        <f>N173+N165</f>
        <v>850.54183988308489</v>
      </c>
      <c r="K196">
        <f t="shared" si="196"/>
        <v>668.51819783148903</v>
      </c>
      <c r="L196">
        <f t="shared" si="197"/>
        <v>565.6589010476755</v>
      </c>
      <c r="T196">
        <v>7</v>
      </c>
      <c r="U196">
        <f>Y173+Y165</f>
        <v>1251.4059374732374</v>
      </c>
      <c r="V196">
        <f t="shared" si="167"/>
        <v>983.59375500002523</v>
      </c>
      <c r="W196">
        <f t="shared" si="198"/>
        <v>832.2564207458048</v>
      </c>
      <c r="AE196">
        <v>7</v>
      </c>
      <c r="AF196">
        <f>AJ173+AJ165</f>
        <v>2032.2921442459904</v>
      </c>
      <c r="AG196">
        <f t="shared" si="168"/>
        <v>1597.3632548460848</v>
      </c>
      <c r="AH196">
        <f t="shared" si="199"/>
        <v>1351.5903474895865</v>
      </c>
      <c r="AP196">
        <v>7</v>
      </c>
      <c r="AQ196">
        <f>AU173+AU165</f>
        <v>2841.5883394909692</v>
      </c>
      <c r="AR196">
        <f t="shared" si="169"/>
        <v>2233.4627488244455</v>
      </c>
      <c r="AS196">
        <f t="shared" si="200"/>
        <v>1889.8185391647507</v>
      </c>
      <c r="AT196"/>
      <c r="BA196">
        <v>7</v>
      </c>
      <c r="BB196">
        <f>BF173+BF165</f>
        <v>4441.0973082605988</v>
      </c>
      <c r="BC196">
        <f t="shared" si="170"/>
        <v>3490.6623398100714</v>
      </c>
      <c r="BD196">
        <f t="shared" si="201"/>
        <v>2953.5833571477197</v>
      </c>
      <c r="BG196"/>
      <c r="BL196">
        <v>7</v>
      </c>
      <c r="BM196">
        <f>BQ173+BQ165</f>
        <v>6387.5633682744256</v>
      </c>
      <c r="BN196">
        <f t="shared" si="171"/>
        <v>5020.5670682587879</v>
      </c>
      <c r="BO196">
        <f t="shared" si="202"/>
        <v>4248.0944567843562</v>
      </c>
      <c r="BW196">
        <v>7</v>
      </c>
      <c r="BX196">
        <f>CB173+CB165</f>
        <v>8363.9910932492039</v>
      </c>
      <c r="BY196">
        <f t="shared" si="172"/>
        <v>6574.0213945338492</v>
      </c>
      <c r="BZ196">
        <f t="shared" si="203"/>
        <v>5562.5317748392426</v>
      </c>
      <c r="CH196">
        <v>7</v>
      </c>
      <c r="CI196">
        <f>CM173+CM165</f>
        <v>12317.148624586736</v>
      </c>
      <c r="CJ196">
        <f t="shared" si="173"/>
        <v>9681.1674803243113</v>
      </c>
      <c r="CK196">
        <f t="shared" si="204"/>
        <v>8191.6073123249807</v>
      </c>
      <c r="CS196">
        <v>7</v>
      </c>
      <c r="CT196">
        <f>CX173+CX165</f>
        <v>16270.004074536291</v>
      </c>
      <c r="CU196">
        <f t="shared" si="174"/>
        <v>12788.076132874432</v>
      </c>
      <c r="CV196">
        <f t="shared" si="205"/>
        <v>10820.481948434752</v>
      </c>
      <c r="DD196">
        <v>7</v>
      </c>
      <c r="DE196">
        <f>DI173+DI165</f>
        <v>24176.01705582338</v>
      </c>
      <c r="DF196">
        <f t="shared" si="175"/>
        <v>19002.130871215017</v>
      </c>
      <c r="DG196">
        <f t="shared" si="206"/>
        <v>16078.432122030263</v>
      </c>
      <c r="DO196">
        <v>7</v>
      </c>
      <c r="DP196">
        <f>DT173+DT165</f>
        <v>32082.030037110468</v>
      </c>
      <c r="DQ196">
        <f t="shared" si="176"/>
        <v>25216.1856095556</v>
      </c>
      <c r="DR196">
        <f t="shared" si="207"/>
        <v>21336.382295625772</v>
      </c>
      <c r="DZ196">
        <v>7</v>
      </c>
      <c r="EA196">
        <f>EE173+EE165</f>
        <v>39848.301883858971</v>
      </c>
      <c r="EB196">
        <f t="shared" si="177"/>
        <v>31320.405079313154</v>
      </c>
      <c r="EC196">
        <f t="shared" si="208"/>
        <v>26501.396633630742</v>
      </c>
      <c r="EK196">
        <v>7</v>
      </c>
      <c r="EL196">
        <f>EP173+EP165</f>
        <v>47746.333084684375</v>
      </c>
      <c r="EM196">
        <f t="shared" si="178"/>
        <v>37528.186210360691</v>
      </c>
      <c r="EN196">
        <f t="shared" si="209"/>
        <v>31754.038467350838</v>
      </c>
      <c r="EV196">
        <v>7</v>
      </c>
      <c r="EW196">
        <f>FA173+FA165</f>
        <v>55823.910877257484</v>
      </c>
      <c r="EX196">
        <f t="shared" si="179"/>
        <v>43877.089339543512</v>
      </c>
      <c r="EY196">
        <f t="shared" si="210"/>
        <v>37126.089039139391</v>
      </c>
      <c r="FH196">
        <v>7</v>
      </c>
      <c r="FI196">
        <f>FM173+FM165</f>
        <v>63987.521434311915</v>
      </c>
      <c r="FJ196">
        <f t="shared" si="180"/>
        <v>50293.613443931295</v>
      </c>
      <c r="FK196">
        <f t="shared" si="211"/>
        <v>42555.35631295084</v>
      </c>
    </row>
    <row r="197" spans="9:167" x14ac:dyDescent="0.25">
      <c r="I197">
        <v>8</v>
      </c>
      <c r="J197">
        <f>N173</f>
        <v>456.62507176211642</v>
      </c>
      <c r="K197">
        <f t="shared" si="196"/>
        <v>346.76635635422593</v>
      </c>
      <c r="L197">
        <f t="shared" si="197"/>
        <v>286.49221908840116</v>
      </c>
      <c r="T197">
        <v>8</v>
      </c>
      <c r="U197">
        <f>Y173</f>
        <v>456.62507176211642</v>
      </c>
      <c r="V197">
        <f t="shared" si="167"/>
        <v>346.76635635422593</v>
      </c>
      <c r="W197">
        <f t="shared" si="198"/>
        <v>286.49221908840116</v>
      </c>
      <c r="AE197">
        <v>8</v>
      </c>
      <c r="AF197">
        <f>AJ173</f>
        <v>456.62507176211642</v>
      </c>
      <c r="AG197">
        <f t="shared" si="168"/>
        <v>346.76635635422593</v>
      </c>
      <c r="AH197">
        <f t="shared" si="199"/>
        <v>286.49221908840116</v>
      </c>
      <c r="AP197">
        <v>8</v>
      </c>
      <c r="AQ197">
        <f>AU173</f>
        <v>456.62507176211642</v>
      </c>
      <c r="AR197">
        <f t="shared" si="169"/>
        <v>346.76635635422593</v>
      </c>
      <c r="AS197">
        <f t="shared" si="200"/>
        <v>286.49221908840116</v>
      </c>
      <c r="AT197"/>
      <c r="BA197">
        <v>8</v>
      </c>
      <c r="BB197">
        <f>BF173</f>
        <v>456.62507176211642</v>
      </c>
      <c r="BC197">
        <f t="shared" si="170"/>
        <v>346.76635635422593</v>
      </c>
      <c r="BD197">
        <f t="shared" si="201"/>
        <v>286.49221908840116</v>
      </c>
      <c r="BG197"/>
      <c r="BL197">
        <v>8</v>
      </c>
      <c r="BM197">
        <f>BQ173</f>
        <v>456.62507176211642</v>
      </c>
      <c r="BN197">
        <f t="shared" si="171"/>
        <v>346.76635635422593</v>
      </c>
      <c r="BO197">
        <f t="shared" si="202"/>
        <v>286.49221908840116</v>
      </c>
      <c r="BW197">
        <v>8</v>
      </c>
      <c r="BX197">
        <f>CB173</f>
        <v>456.62507176211642</v>
      </c>
      <c r="BY197">
        <f t="shared" si="172"/>
        <v>346.76635635422593</v>
      </c>
      <c r="BZ197">
        <f t="shared" si="203"/>
        <v>286.49221908840116</v>
      </c>
      <c r="CH197">
        <v>8</v>
      </c>
      <c r="CI197">
        <f>CM173</f>
        <v>456.62507176211642</v>
      </c>
      <c r="CJ197">
        <f t="shared" si="173"/>
        <v>346.76635635422593</v>
      </c>
      <c r="CK197">
        <f t="shared" si="204"/>
        <v>286.49221908840116</v>
      </c>
      <c r="CS197">
        <v>8</v>
      </c>
      <c r="CT197">
        <f>CX173</f>
        <v>456.62507176211642</v>
      </c>
      <c r="CU197">
        <f t="shared" si="174"/>
        <v>346.76635635422593</v>
      </c>
      <c r="CV197">
        <f t="shared" si="205"/>
        <v>286.49221908840116</v>
      </c>
      <c r="DD197">
        <v>8</v>
      </c>
      <c r="DE197">
        <f>DI173</f>
        <v>456.62507176211642</v>
      </c>
      <c r="DF197">
        <f t="shared" si="175"/>
        <v>346.76635635422593</v>
      </c>
      <c r="DG197">
        <f t="shared" si="206"/>
        <v>286.49221908840116</v>
      </c>
      <c r="DO197">
        <v>8</v>
      </c>
      <c r="DP197">
        <f>DT173</f>
        <v>456.62507176211642</v>
      </c>
      <c r="DQ197">
        <f t="shared" si="176"/>
        <v>346.76635635422593</v>
      </c>
      <c r="DR197">
        <f t="shared" si="207"/>
        <v>286.49221908840116</v>
      </c>
      <c r="DZ197">
        <v>8</v>
      </c>
      <c r="EA197">
        <f>EE173</f>
        <v>456.62507176211642</v>
      </c>
      <c r="EB197">
        <f t="shared" si="177"/>
        <v>346.76635635422593</v>
      </c>
      <c r="EC197">
        <f t="shared" si="208"/>
        <v>286.49221908840116</v>
      </c>
      <c r="EK197">
        <v>8</v>
      </c>
      <c r="EL197">
        <f>EP173</f>
        <v>456.62507176211642</v>
      </c>
      <c r="EM197">
        <f t="shared" si="178"/>
        <v>346.76635635422593</v>
      </c>
      <c r="EN197">
        <f t="shared" si="209"/>
        <v>286.49221908840116</v>
      </c>
      <c r="EV197">
        <v>8</v>
      </c>
      <c r="EW197">
        <f>FA173</f>
        <v>456.62507176211642</v>
      </c>
      <c r="EX197">
        <f t="shared" si="179"/>
        <v>346.76635635422593</v>
      </c>
      <c r="EY197">
        <f t="shared" si="210"/>
        <v>286.49221908840116</v>
      </c>
      <c r="FH197">
        <v>8</v>
      </c>
      <c r="FI197">
        <f>FM173</f>
        <v>456.62507176211642</v>
      </c>
      <c r="FJ197">
        <f t="shared" si="180"/>
        <v>346.76635635422593</v>
      </c>
      <c r="FK197">
        <f t="shared" si="211"/>
        <v>286.49221908840116</v>
      </c>
    </row>
    <row r="198" spans="9:167" x14ac:dyDescent="0.25">
      <c r="I198">
        <v>9</v>
      </c>
      <c r="J198">
        <f>J197</f>
        <v>456.62507176211642</v>
      </c>
      <c r="K198">
        <f t="shared" si="196"/>
        <v>335.03995783017001</v>
      </c>
      <c r="L198">
        <f t="shared" si="197"/>
        <v>270.2756783852841</v>
      </c>
      <c r="T198">
        <v>9</v>
      </c>
      <c r="U198">
        <f>U197</f>
        <v>456.62507176211642</v>
      </c>
      <c r="V198">
        <f t="shared" si="167"/>
        <v>335.03995783017001</v>
      </c>
      <c r="W198">
        <f t="shared" si="198"/>
        <v>270.2756783852841</v>
      </c>
      <c r="AE198">
        <v>9</v>
      </c>
      <c r="AF198">
        <f>AF197</f>
        <v>456.62507176211642</v>
      </c>
      <c r="AG198">
        <f t="shared" si="168"/>
        <v>335.03995783017001</v>
      </c>
      <c r="AH198">
        <f t="shared" si="199"/>
        <v>270.2756783852841</v>
      </c>
      <c r="AP198">
        <v>9</v>
      </c>
      <c r="AQ198">
        <f>AQ197</f>
        <v>456.62507176211642</v>
      </c>
      <c r="AR198">
        <f t="shared" si="169"/>
        <v>335.03995783017001</v>
      </c>
      <c r="AS198">
        <f t="shared" si="200"/>
        <v>270.2756783852841</v>
      </c>
      <c r="AT198"/>
      <c r="BA198">
        <v>9</v>
      </c>
      <c r="BB198">
        <f>BB197</f>
        <v>456.62507176211642</v>
      </c>
      <c r="BC198">
        <f t="shared" si="170"/>
        <v>335.03995783017001</v>
      </c>
      <c r="BD198">
        <f t="shared" si="201"/>
        <v>270.2756783852841</v>
      </c>
      <c r="BG198"/>
      <c r="BL198">
        <v>9</v>
      </c>
      <c r="BM198">
        <f>BM197</f>
        <v>456.62507176211642</v>
      </c>
      <c r="BN198">
        <f t="shared" si="171"/>
        <v>335.03995783017001</v>
      </c>
      <c r="BO198">
        <f t="shared" si="202"/>
        <v>270.2756783852841</v>
      </c>
      <c r="BW198">
        <v>9</v>
      </c>
      <c r="BX198">
        <f>BX197</f>
        <v>456.62507176211642</v>
      </c>
      <c r="BY198">
        <f t="shared" si="172"/>
        <v>335.03995783017001</v>
      </c>
      <c r="BZ198">
        <f t="shared" si="203"/>
        <v>270.2756783852841</v>
      </c>
      <c r="CH198">
        <v>9</v>
      </c>
      <c r="CI198">
        <f>CI197</f>
        <v>456.62507176211642</v>
      </c>
      <c r="CJ198">
        <f t="shared" si="173"/>
        <v>335.03995783017001</v>
      </c>
      <c r="CK198">
        <f t="shared" si="204"/>
        <v>270.2756783852841</v>
      </c>
      <c r="CS198">
        <v>9</v>
      </c>
      <c r="CT198">
        <f>CT197</f>
        <v>456.62507176211642</v>
      </c>
      <c r="CU198">
        <f t="shared" si="174"/>
        <v>335.03995783017001</v>
      </c>
      <c r="CV198">
        <f t="shared" si="205"/>
        <v>270.2756783852841</v>
      </c>
      <c r="DD198">
        <v>9</v>
      </c>
      <c r="DE198">
        <f>DE197</f>
        <v>456.62507176211642</v>
      </c>
      <c r="DF198">
        <f t="shared" si="175"/>
        <v>335.03995783017001</v>
      </c>
      <c r="DG198">
        <f t="shared" si="206"/>
        <v>270.2756783852841</v>
      </c>
      <c r="DO198">
        <v>9</v>
      </c>
      <c r="DP198">
        <f>DP197</f>
        <v>456.62507176211642</v>
      </c>
      <c r="DQ198">
        <f t="shared" si="176"/>
        <v>335.03995783017001</v>
      </c>
      <c r="DR198">
        <f t="shared" si="207"/>
        <v>270.2756783852841</v>
      </c>
      <c r="DZ198">
        <v>9</v>
      </c>
      <c r="EA198">
        <f>EA197</f>
        <v>456.62507176211642</v>
      </c>
      <c r="EB198">
        <f t="shared" si="177"/>
        <v>335.03995783017001</v>
      </c>
      <c r="EC198">
        <f t="shared" si="208"/>
        <v>270.2756783852841</v>
      </c>
      <c r="EK198">
        <v>9</v>
      </c>
      <c r="EL198">
        <f>EL197</f>
        <v>456.62507176211642</v>
      </c>
      <c r="EM198">
        <f t="shared" si="178"/>
        <v>335.03995783017001</v>
      </c>
      <c r="EN198">
        <f t="shared" si="209"/>
        <v>270.2756783852841</v>
      </c>
      <c r="EV198">
        <v>9</v>
      </c>
      <c r="EW198">
        <f>EW197</f>
        <v>456.62507176211642</v>
      </c>
      <c r="EX198">
        <f t="shared" si="179"/>
        <v>335.03995783017001</v>
      </c>
      <c r="EY198">
        <f t="shared" si="210"/>
        <v>270.2756783852841</v>
      </c>
      <c r="FH198">
        <v>9</v>
      </c>
      <c r="FI198">
        <f>FI197</f>
        <v>456.62507176211642</v>
      </c>
      <c r="FJ198">
        <f t="shared" si="180"/>
        <v>335.03995783017001</v>
      </c>
      <c r="FK198">
        <f t="shared" si="211"/>
        <v>270.2756783852841</v>
      </c>
    </row>
    <row r="199" spans="9:167" x14ac:dyDescent="0.25">
      <c r="I199">
        <v>10</v>
      </c>
      <c r="J199">
        <f t="shared" ref="J199:J202" si="212">J198</f>
        <v>456.62507176211642</v>
      </c>
      <c r="K199">
        <f t="shared" si="196"/>
        <v>323.71010418373919</v>
      </c>
      <c r="L199">
        <f t="shared" si="197"/>
        <v>254.97705508045669</v>
      </c>
      <c r="T199">
        <v>10</v>
      </c>
      <c r="U199">
        <f t="shared" ref="U199:U202" si="213">U198</f>
        <v>456.62507176211642</v>
      </c>
      <c r="V199">
        <f t="shared" si="167"/>
        <v>323.71010418373919</v>
      </c>
      <c r="W199">
        <f t="shared" si="198"/>
        <v>254.97705508045669</v>
      </c>
      <c r="AE199">
        <v>10</v>
      </c>
      <c r="AF199">
        <f t="shared" ref="AF199:AF202" si="214">AF198</f>
        <v>456.62507176211642</v>
      </c>
      <c r="AG199">
        <f t="shared" si="168"/>
        <v>323.71010418373919</v>
      </c>
      <c r="AH199">
        <f t="shared" si="199"/>
        <v>254.97705508045669</v>
      </c>
      <c r="AP199">
        <v>10</v>
      </c>
      <c r="AQ199">
        <f t="shared" ref="AQ199:AQ202" si="215">AQ198</f>
        <v>456.62507176211642</v>
      </c>
      <c r="AR199">
        <f t="shared" si="169"/>
        <v>323.71010418373919</v>
      </c>
      <c r="AS199">
        <f t="shared" si="200"/>
        <v>254.97705508045669</v>
      </c>
      <c r="AT199"/>
      <c r="BA199">
        <v>10</v>
      </c>
      <c r="BB199">
        <f t="shared" ref="BB199:BB202" si="216">BB198</f>
        <v>456.62507176211642</v>
      </c>
      <c r="BC199">
        <f t="shared" si="170"/>
        <v>323.71010418373919</v>
      </c>
      <c r="BD199">
        <f t="shared" si="201"/>
        <v>254.97705508045669</v>
      </c>
      <c r="BG199"/>
      <c r="BL199">
        <v>10</v>
      </c>
      <c r="BM199">
        <f t="shared" ref="BM199:BM202" si="217">BM198</f>
        <v>456.62507176211642</v>
      </c>
      <c r="BN199">
        <f t="shared" si="171"/>
        <v>323.71010418373919</v>
      </c>
      <c r="BO199">
        <f t="shared" si="202"/>
        <v>254.97705508045669</v>
      </c>
      <c r="BW199">
        <v>10</v>
      </c>
      <c r="BX199">
        <f t="shared" ref="BX199:BX202" si="218">BX198</f>
        <v>456.62507176211642</v>
      </c>
      <c r="BY199">
        <f t="shared" si="172"/>
        <v>323.71010418373919</v>
      </c>
      <c r="BZ199">
        <f t="shared" si="203"/>
        <v>254.97705508045669</v>
      </c>
      <c r="CH199">
        <v>10</v>
      </c>
      <c r="CI199">
        <f t="shared" ref="CI199:CI202" si="219">CI198</f>
        <v>456.62507176211642</v>
      </c>
      <c r="CJ199">
        <f t="shared" si="173"/>
        <v>323.71010418373919</v>
      </c>
      <c r="CK199">
        <f t="shared" si="204"/>
        <v>254.97705508045669</v>
      </c>
      <c r="CS199">
        <v>10</v>
      </c>
      <c r="CT199">
        <f t="shared" ref="CT199:CT202" si="220">CT198</f>
        <v>456.62507176211642</v>
      </c>
      <c r="CU199">
        <f t="shared" si="174"/>
        <v>323.71010418373919</v>
      </c>
      <c r="CV199">
        <f t="shared" si="205"/>
        <v>254.97705508045669</v>
      </c>
      <c r="DD199">
        <v>10</v>
      </c>
      <c r="DE199">
        <f t="shared" ref="DE199:DE202" si="221">DE198</f>
        <v>456.62507176211642</v>
      </c>
      <c r="DF199">
        <f t="shared" si="175"/>
        <v>323.71010418373919</v>
      </c>
      <c r="DG199">
        <f t="shared" si="206"/>
        <v>254.97705508045669</v>
      </c>
      <c r="DO199">
        <v>10</v>
      </c>
      <c r="DP199">
        <f t="shared" ref="DP199:DP202" si="222">DP198</f>
        <v>456.62507176211642</v>
      </c>
      <c r="DQ199">
        <f t="shared" si="176"/>
        <v>323.71010418373919</v>
      </c>
      <c r="DR199">
        <f t="shared" si="207"/>
        <v>254.97705508045669</v>
      </c>
      <c r="DZ199">
        <v>10</v>
      </c>
      <c r="EA199">
        <f t="shared" ref="EA199:EA202" si="223">EA198</f>
        <v>456.62507176211642</v>
      </c>
      <c r="EB199">
        <f t="shared" si="177"/>
        <v>323.71010418373919</v>
      </c>
      <c r="EC199">
        <f t="shared" si="208"/>
        <v>254.97705508045669</v>
      </c>
      <c r="EK199">
        <v>10</v>
      </c>
      <c r="EL199">
        <f t="shared" ref="EL199:EL202" si="224">EL198</f>
        <v>456.62507176211642</v>
      </c>
      <c r="EM199">
        <f t="shared" si="178"/>
        <v>323.71010418373919</v>
      </c>
      <c r="EN199">
        <f t="shared" si="209"/>
        <v>254.97705508045669</v>
      </c>
      <c r="EV199">
        <v>10</v>
      </c>
      <c r="EW199">
        <f t="shared" ref="EW199:EW202" si="225">EW198</f>
        <v>456.62507176211642</v>
      </c>
      <c r="EX199">
        <f t="shared" si="179"/>
        <v>323.71010418373919</v>
      </c>
      <c r="EY199">
        <f t="shared" si="210"/>
        <v>254.97705508045669</v>
      </c>
      <c r="FH199">
        <v>10</v>
      </c>
      <c r="FI199">
        <f t="shared" ref="FI199:FI202" si="226">FI198</f>
        <v>456.62507176211642</v>
      </c>
      <c r="FJ199">
        <f t="shared" si="180"/>
        <v>323.71010418373919</v>
      </c>
      <c r="FK199">
        <f t="shared" si="211"/>
        <v>254.97705508045669</v>
      </c>
    </row>
    <row r="200" spans="9:167" x14ac:dyDescent="0.25">
      <c r="I200">
        <v>11</v>
      </c>
      <c r="J200">
        <f t="shared" si="212"/>
        <v>456.62507176211642</v>
      </c>
      <c r="K200">
        <f t="shared" si="196"/>
        <v>312.76338568477212</v>
      </c>
      <c r="L200">
        <f t="shared" si="197"/>
        <v>240.54439158533646</v>
      </c>
      <c r="T200">
        <v>11</v>
      </c>
      <c r="U200">
        <f t="shared" si="213"/>
        <v>456.62507176211642</v>
      </c>
      <c r="V200">
        <f t="shared" si="167"/>
        <v>312.76338568477212</v>
      </c>
      <c r="W200">
        <f t="shared" si="198"/>
        <v>240.54439158533646</v>
      </c>
      <c r="AE200">
        <v>11</v>
      </c>
      <c r="AF200">
        <f t="shared" si="214"/>
        <v>456.62507176211642</v>
      </c>
      <c r="AG200">
        <f t="shared" si="168"/>
        <v>312.76338568477212</v>
      </c>
      <c r="AH200">
        <f t="shared" si="199"/>
        <v>240.54439158533646</v>
      </c>
      <c r="AP200">
        <v>11</v>
      </c>
      <c r="AQ200">
        <f t="shared" si="215"/>
        <v>456.62507176211642</v>
      </c>
      <c r="AR200">
        <f t="shared" si="169"/>
        <v>312.76338568477212</v>
      </c>
      <c r="AS200">
        <f t="shared" si="200"/>
        <v>240.54439158533646</v>
      </c>
      <c r="AT200"/>
      <c r="BA200">
        <v>11</v>
      </c>
      <c r="BB200">
        <f t="shared" si="216"/>
        <v>456.62507176211642</v>
      </c>
      <c r="BC200">
        <f t="shared" si="170"/>
        <v>312.76338568477212</v>
      </c>
      <c r="BD200">
        <f t="shared" si="201"/>
        <v>240.54439158533646</v>
      </c>
      <c r="BG200"/>
      <c r="BL200">
        <v>11</v>
      </c>
      <c r="BM200">
        <f t="shared" si="217"/>
        <v>456.62507176211642</v>
      </c>
      <c r="BN200">
        <f t="shared" si="171"/>
        <v>312.76338568477212</v>
      </c>
      <c r="BO200">
        <f t="shared" si="202"/>
        <v>240.54439158533646</v>
      </c>
      <c r="BW200">
        <v>11</v>
      </c>
      <c r="BX200">
        <f t="shared" si="218"/>
        <v>456.62507176211642</v>
      </c>
      <c r="BY200">
        <f t="shared" si="172"/>
        <v>312.76338568477212</v>
      </c>
      <c r="BZ200">
        <f t="shared" si="203"/>
        <v>240.54439158533646</v>
      </c>
      <c r="CH200">
        <v>11</v>
      </c>
      <c r="CI200">
        <f t="shared" si="219"/>
        <v>456.62507176211642</v>
      </c>
      <c r="CJ200">
        <f t="shared" si="173"/>
        <v>312.76338568477212</v>
      </c>
      <c r="CK200">
        <f t="shared" si="204"/>
        <v>240.54439158533646</v>
      </c>
      <c r="CS200">
        <v>11</v>
      </c>
      <c r="CT200">
        <f t="shared" si="220"/>
        <v>456.62507176211642</v>
      </c>
      <c r="CU200">
        <f t="shared" si="174"/>
        <v>312.76338568477212</v>
      </c>
      <c r="CV200">
        <f t="shared" si="205"/>
        <v>240.54439158533646</v>
      </c>
      <c r="DD200">
        <v>11</v>
      </c>
      <c r="DE200">
        <f t="shared" si="221"/>
        <v>456.62507176211642</v>
      </c>
      <c r="DF200">
        <f t="shared" si="175"/>
        <v>312.76338568477212</v>
      </c>
      <c r="DG200">
        <f t="shared" si="206"/>
        <v>240.54439158533646</v>
      </c>
      <c r="DO200">
        <v>11</v>
      </c>
      <c r="DP200">
        <f t="shared" si="222"/>
        <v>456.62507176211642</v>
      </c>
      <c r="DQ200">
        <f t="shared" si="176"/>
        <v>312.76338568477212</v>
      </c>
      <c r="DR200">
        <f t="shared" si="207"/>
        <v>240.54439158533646</v>
      </c>
      <c r="DZ200">
        <v>11</v>
      </c>
      <c r="EA200">
        <f t="shared" si="223"/>
        <v>456.62507176211642</v>
      </c>
      <c r="EB200">
        <f t="shared" si="177"/>
        <v>312.76338568477212</v>
      </c>
      <c r="EC200">
        <f t="shared" si="208"/>
        <v>240.54439158533646</v>
      </c>
      <c r="EK200">
        <v>11</v>
      </c>
      <c r="EL200">
        <f t="shared" si="224"/>
        <v>456.62507176211642</v>
      </c>
      <c r="EM200">
        <f t="shared" si="178"/>
        <v>312.76338568477212</v>
      </c>
      <c r="EN200">
        <f t="shared" si="209"/>
        <v>240.54439158533646</v>
      </c>
      <c r="EV200">
        <v>11</v>
      </c>
      <c r="EW200">
        <f t="shared" si="225"/>
        <v>456.62507176211642</v>
      </c>
      <c r="EX200">
        <f t="shared" si="179"/>
        <v>312.76338568477212</v>
      </c>
      <c r="EY200">
        <f t="shared" si="210"/>
        <v>240.54439158533646</v>
      </c>
      <c r="FH200">
        <v>11</v>
      </c>
      <c r="FI200">
        <f t="shared" si="226"/>
        <v>456.62507176211642</v>
      </c>
      <c r="FJ200">
        <f t="shared" si="180"/>
        <v>312.76338568477212</v>
      </c>
      <c r="FK200">
        <f t="shared" si="211"/>
        <v>240.54439158533646</v>
      </c>
    </row>
    <row r="201" spans="9:167" x14ac:dyDescent="0.25">
      <c r="I201">
        <v>12</v>
      </c>
      <c r="J201">
        <f t="shared" si="212"/>
        <v>456.62507176211642</v>
      </c>
      <c r="K201">
        <f t="shared" si="196"/>
        <v>302.18684607224361</v>
      </c>
      <c r="L201">
        <f t="shared" si="197"/>
        <v>226.92867130692119</v>
      </c>
      <c r="T201">
        <v>12</v>
      </c>
      <c r="U201">
        <f t="shared" si="213"/>
        <v>456.62507176211642</v>
      </c>
      <c r="V201">
        <f t="shared" si="167"/>
        <v>302.18684607224361</v>
      </c>
      <c r="W201">
        <f t="shared" si="198"/>
        <v>226.92867130692119</v>
      </c>
      <c r="AE201">
        <v>12</v>
      </c>
      <c r="AF201">
        <f t="shared" si="214"/>
        <v>456.62507176211642</v>
      </c>
      <c r="AG201">
        <f t="shared" si="168"/>
        <v>302.18684607224361</v>
      </c>
      <c r="AH201">
        <f t="shared" si="199"/>
        <v>226.92867130692119</v>
      </c>
      <c r="AP201">
        <v>12</v>
      </c>
      <c r="AQ201">
        <f t="shared" si="215"/>
        <v>456.62507176211642</v>
      </c>
      <c r="AR201">
        <f t="shared" si="169"/>
        <v>302.18684607224361</v>
      </c>
      <c r="AS201">
        <f t="shared" si="200"/>
        <v>226.92867130692119</v>
      </c>
      <c r="AT201"/>
      <c r="BA201">
        <v>12</v>
      </c>
      <c r="BB201">
        <f t="shared" si="216"/>
        <v>456.62507176211642</v>
      </c>
      <c r="BC201">
        <f t="shared" si="170"/>
        <v>302.18684607224361</v>
      </c>
      <c r="BD201">
        <f t="shared" si="201"/>
        <v>226.92867130692119</v>
      </c>
      <c r="BG201"/>
      <c r="BL201">
        <v>12</v>
      </c>
      <c r="BM201">
        <f t="shared" si="217"/>
        <v>456.62507176211642</v>
      </c>
      <c r="BN201">
        <f t="shared" si="171"/>
        <v>302.18684607224361</v>
      </c>
      <c r="BO201">
        <f t="shared" si="202"/>
        <v>226.92867130692119</v>
      </c>
      <c r="BW201">
        <v>12</v>
      </c>
      <c r="BX201">
        <f t="shared" si="218"/>
        <v>456.62507176211642</v>
      </c>
      <c r="BY201">
        <f t="shared" si="172"/>
        <v>302.18684607224361</v>
      </c>
      <c r="BZ201">
        <f t="shared" si="203"/>
        <v>226.92867130692119</v>
      </c>
      <c r="CH201">
        <v>12</v>
      </c>
      <c r="CI201">
        <f t="shared" si="219"/>
        <v>456.62507176211642</v>
      </c>
      <c r="CJ201">
        <f t="shared" si="173"/>
        <v>302.18684607224361</v>
      </c>
      <c r="CK201">
        <f t="shared" si="204"/>
        <v>226.92867130692119</v>
      </c>
      <c r="CS201">
        <v>12</v>
      </c>
      <c r="CT201">
        <f t="shared" si="220"/>
        <v>456.62507176211642</v>
      </c>
      <c r="CU201">
        <f t="shared" si="174"/>
        <v>302.18684607224361</v>
      </c>
      <c r="CV201">
        <f t="shared" si="205"/>
        <v>226.92867130692119</v>
      </c>
      <c r="DD201">
        <v>12</v>
      </c>
      <c r="DE201">
        <f t="shared" si="221"/>
        <v>456.62507176211642</v>
      </c>
      <c r="DF201">
        <f t="shared" si="175"/>
        <v>302.18684607224361</v>
      </c>
      <c r="DG201">
        <f t="shared" si="206"/>
        <v>226.92867130692119</v>
      </c>
      <c r="DO201">
        <v>12</v>
      </c>
      <c r="DP201">
        <f t="shared" si="222"/>
        <v>456.62507176211642</v>
      </c>
      <c r="DQ201">
        <f t="shared" si="176"/>
        <v>302.18684607224361</v>
      </c>
      <c r="DR201">
        <f t="shared" si="207"/>
        <v>226.92867130692119</v>
      </c>
      <c r="DZ201">
        <v>12</v>
      </c>
      <c r="EA201">
        <f t="shared" si="223"/>
        <v>456.62507176211642</v>
      </c>
      <c r="EB201">
        <f t="shared" si="177"/>
        <v>302.18684607224361</v>
      </c>
      <c r="EC201">
        <f t="shared" si="208"/>
        <v>226.92867130692119</v>
      </c>
      <c r="EK201">
        <v>12</v>
      </c>
      <c r="EL201">
        <f t="shared" si="224"/>
        <v>456.62507176211642</v>
      </c>
      <c r="EM201">
        <f t="shared" si="178"/>
        <v>302.18684607224361</v>
      </c>
      <c r="EN201">
        <f t="shared" si="209"/>
        <v>226.92867130692119</v>
      </c>
      <c r="EV201">
        <v>12</v>
      </c>
      <c r="EW201">
        <f t="shared" si="225"/>
        <v>456.62507176211642</v>
      </c>
      <c r="EX201">
        <f t="shared" si="179"/>
        <v>302.18684607224361</v>
      </c>
      <c r="EY201">
        <f t="shared" si="210"/>
        <v>226.92867130692119</v>
      </c>
      <c r="FH201">
        <v>12</v>
      </c>
      <c r="FI201">
        <f t="shared" si="226"/>
        <v>456.62507176211642</v>
      </c>
      <c r="FJ201">
        <f t="shared" si="180"/>
        <v>302.18684607224361</v>
      </c>
      <c r="FK201">
        <f t="shared" si="211"/>
        <v>226.92867130692119</v>
      </c>
    </row>
    <row r="202" spans="9:167" x14ac:dyDescent="0.25">
      <c r="I202">
        <v>13</v>
      </c>
      <c r="J202">
        <f t="shared" si="212"/>
        <v>456.62507176211642</v>
      </c>
      <c r="K202">
        <f t="shared" si="196"/>
        <v>291.96796721955911</v>
      </c>
      <c r="L202">
        <f t="shared" si="197"/>
        <v>214.08365217634071</v>
      </c>
      <c r="T202">
        <v>13</v>
      </c>
      <c r="U202">
        <f t="shared" si="213"/>
        <v>456.62507176211642</v>
      </c>
      <c r="V202">
        <f t="shared" si="167"/>
        <v>291.96796721955911</v>
      </c>
      <c r="W202">
        <f t="shared" si="198"/>
        <v>214.08365217634071</v>
      </c>
      <c r="AE202">
        <v>13</v>
      </c>
      <c r="AF202">
        <f t="shared" si="214"/>
        <v>456.62507176211642</v>
      </c>
      <c r="AG202">
        <f t="shared" si="168"/>
        <v>291.96796721955911</v>
      </c>
      <c r="AH202">
        <f t="shared" si="199"/>
        <v>214.08365217634071</v>
      </c>
      <c r="AP202">
        <v>13</v>
      </c>
      <c r="AQ202">
        <f t="shared" si="215"/>
        <v>456.62507176211642</v>
      </c>
      <c r="AR202">
        <f t="shared" si="169"/>
        <v>291.96796721955911</v>
      </c>
      <c r="AS202">
        <f t="shared" si="200"/>
        <v>214.08365217634071</v>
      </c>
      <c r="AT202"/>
      <c r="BA202">
        <v>13</v>
      </c>
      <c r="BB202">
        <f t="shared" si="216"/>
        <v>456.62507176211642</v>
      </c>
      <c r="BC202">
        <f t="shared" si="170"/>
        <v>291.96796721955911</v>
      </c>
      <c r="BD202">
        <f t="shared" si="201"/>
        <v>214.08365217634071</v>
      </c>
      <c r="BG202"/>
      <c r="BL202">
        <v>13</v>
      </c>
      <c r="BM202">
        <f t="shared" si="217"/>
        <v>456.62507176211642</v>
      </c>
      <c r="BN202">
        <f t="shared" si="171"/>
        <v>291.96796721955911</v>
      </c>
      <c r="BO202">
        <f t="shared" si="202"/>
        <v>214.08365217634071</v>
      </c>
      <c r="BW202">
        <v>13</v>
      </c>
      <c r="BX202">
        <f t="shared" si="218"/>
        <v>456.62507176211642</v>
      </c>
      <c r="BY202">
        <f t="shared" si="172"/>
        <v>291.96796721955911</v>
      </c>
      <c r="BZ202">
        <f t="shared" si="203"/>
        <v>214.08365217634071</v>
      </c>
      <c r="CH202">
        <v>13</v>
      </c>
      <c r="CI202">
        <f t="shared" si="219"/>
        <v>456.62507176211642</v>
      </c>
      <c r="CJ202">
        <f t="shared" si="173"/>
        <v>291.96796721955911</v>
      </c>
      <c r="CK202">
        <f t="shared" si="204"/>
        <v>214.08365217634071</v>
      </c>
      <c r="CS202">
        <v>13</v>
      </c>
      <c r="CT202">
        <f t="shared" si="220"/>
        <v>456.62507176211642</v>
      </c>
      <c r="CU202">
        <f t="shared" si="174"/>
        <v>291.96796721955911</v>
      </c>
      <c r="CV202">
        <f t="shared" si="205"/>
        <v>214.08365217634071</v>
      </c>
      <c r="DD202">
        <v>13</v>
      </c>
      <c r="DE202">
        <f t="shared" si="221"/>
        <v>456.62507176211642</v>
      </c>
      <c r="DF202">
        <f t="shared" si="175"/>
        <v>291.96796721955911</v>
      </c>
      <c r="DG202">
        <f t="shared" si="206"/>
        <v>214.08365217634071</v>
      </c>
      <c r="DO202">
        <v>13</v>
      </c>
      <c r="DP202">
        <f t="shared" si="222"/>
        <v>456.62507176211642</v>
      </c>
      <c r="DQ202">
        <f t="shared" si="176"/>
        <v>291.96796721955911</v>
      </c>
      <c r="DR202">
        <f t="shared" si="207"/>
        <v>214.08365217634071</v>
      </c>
      <c r="DZ202">
        <v>13</v>
      </c>
      <c r="EA202">
        <f t="shared" si="223"/>
        <v>456.62507176211642</v>
      </c>
      <c r="EB202">
        <f t="shared" si="177"/>
        <v>291.96796721955911</v>
      </c>
      <c r="EC202">
        <f t="shared" si="208"/>
        <v>214.08365217634071</v>
      </c>
      <c r="EK202">
        <v>13</v>
      </c>
      <c r="EL202">
        <f t="shared" si="224"/>
        <v>456.62507176211642</v>
      </c>
      <c r="EM202">
        <f t="shared" si="178"/>
        <v>291.96796721955911</v>
      </c>
      <c r="EN202">
        <f t="shared" si="209"/>
        <v>214.08365217634071</v>
      </c>
      <c r="EV202">
        <v>13</v>
      </c>
      <c r="EW202">
        <f t="shared" si="225"/>
        <v>456.62507176211642</v>
      </c>
      <c r="EX202">
        <f t="shared" si="179"/>
        <v>291.96796721955911</v>
      </c>
      <c r="EY202">
        <f t="shared" si="210"/>
        <v>214.08365217634071</v>
      </c>
      <c r="FH202">
        <v>13</v>
      </c>
      <c r="FI202">
        <f t="shared" si="226"/>
        <v>456.62507176211642</v>
      </c>
      <c r="FJ202">
        <f t="shared" si="180"/>
        <v>291.96796721955911</v>
      </c>
      <c r="FK202">
        <f t="shared" si="211"/>
        <v>214.08365217634071</v>
      </c>
    </row>
    <row r="203" spans="9:167" x14ac:dyDescent="0.25">
      <c r="I203">
        <v>14</v>
      </c>
      <c r="J203">
        <f>J196</f>
        <v>850.54183988308489</v>
      </c>
      <c r="K203">
        <f t="shared" si="196"/>
        <v>525.44926054818757</v>
      </c>
      <c r="L203">
        <f t="shared" si="197"/>
        <v>376.19547602554979</v>
      </c>
      <c r="T203">
        <v>14</v>
      </c>
      <c r="U203">
        <f>U196</f>
        <v>1251.4059374732374</v>
      </c>
      <c r="V203">
        <f t="shared" si="167"/>
        <v>773.0958004150749</v>
      </c>
      <c r="W203">
        <f t="shared" si="198"/>
        <v>553.49805297486159</v>
      </c>
      <c r="AE203">
        <v>14</v>
      </c>
      <c r="AF203">
        <f>AF196</f>
        <v>2032.2921442459904</v>
      </c>
      <c r="AG203">
        <f t="shared" si="168"/>
        <v>1255.5130792375064</v>
      </c>
      <c r="AH203">
        <f t="shared" si="199"/>
        <v>898.88477530123487</v>
      </c>
      <c r="AP203">
        <v>14</v>
      </c>
      <c r="AQ203">
        <f>AQ196</f>
        <v>2841.5883394909692</v>
      </c>
      <c r="AR203">
        <f t="shared" si="169"/>
        <v>1755.4815316000495</v>
      </c>
      <c r="AS203">
        <f t="shared" si="200"/>
        <v>1256.837262926889</v>
      </c>
      <c r="AT203"/>
      <c r="BA203">
        <v>14</v>
      </c>
      <c r="BB203">
        <f>BB196</f>
        <v>4441.0973082605988</v>
      </c>
      <c r="BC203">
        <f t="shared" si="170"/>
        <v>2743.6290458901462</v>
      </c>
      <c r="BD203">
        <f t="shared" si="201"/>
        <v>1964.3016223476322</v>
      </c>
      <c r="BG203"/>
      <c r="BL203">
        <v>14</v>
      </c>
      <c r="BM203">
        <f>BM196</f>
        <v>6387.5633682744256</v>
      </c>
      <c r="BN203">
        <f t="shared" si="171"/>
        <v>3946.1203331582701</v>
      </c>
      <c r="BO203">
        <f t="shared" si="202"/>
        <v>2825.22543782405</v>
      </c>
      <c r="BW203">
        <v>14</v>
      </c>
      <c r="BX203">
        <f>BX196</f>
        <v>8363.9910932492039</v>
      </c>
      <c r="BY203">
        <f t="shared" si="172"/>
        <v>5167.1213914456412</v>
      </c>
      <c r="BZ203">
        <f t="shared" si="203"/>
        <v>3699.4013266071174</v>
      </c>
      <c r="CH203">
        <v>14</v>
      </c>
      <c r="CI203">
        <f>CI196</f>
        <v>12317.148624586736</v>
      </c>
      <c r="CJ203">
        <f t="shared" si="173"/>
        <v>7609.3101284010545</v>
      </c>
      <c r="CK203">
        <f t="shared" si="204"/>
        <v>5447.8867150624756</v>
      </c>
      <c r="CS203">
        <v>14</v>
      </c>
      <c r="CT203">
        <f>CT196</f>
        <v>16270.004074536291</v>
      </c>
      <c r="CU203">
        <f t="shared" si="174"/>
        <v>10051.312244975794</v>
      </c>
      <c r="CV203">
        <f t="shared" si="205"/>
        <v>7196.2384926286095</v>
      </c>
      <c r="DD203">
        <v>14</v>
      </c>
      <c r="DE203">
        <f>DE196</f>
        <v>24176.01705582338</v>
      </c>
      <c r="DF203">
        <f t="shared" si="175"/>
        <v>14935.503098505949</v>
      </c>
      <c r="DG203">
        <f t="shared" si="206"/>
        <v>10693.075658650101</v>
      </c>
      <c r="DO203">
        <v>14</v>
      </c>
      <c r="DP203">
        <f>DP196</f>
        <v>32082.030037110468</v>
      </c>
      <c r="DQ203">
        <f t="shared" si="176"/>
        <v>19819.693952036105</v>
      </c>
      <c r="DR203">
        <f t="shared" si="207"/>
        <v>14189.912824671594</v>
      </c>
      <c r="DZ203">
        <v>14</v>
      </c>
      <c r="EA203">
        <f>EA196</f>
        <v>39848.301883858971</v>
      </c>
      <c r="EB203">
        <f t="shared" si="177"/>
        <v>24617.555277295716</v>
      </c>
      <c r="EC203">
        <f t="shared" si="208"/>
        <v>17624.942352123158</v>
      </c>
      <c r="EK203">
        <v>14</v>
      </c>
      <c r="EL203">
        <f>EL196</f>
        <v>47746.333084684375</v>
      </c>
      <c r="EM203">
        <f t="shared" si="178"/>
        <v>29496.815132202657</v>
      </c>
      <c r="EN203">
        <f t="shared" si="209"/>
        <v>21118.24916894898</v>
      </c>
      <c r="EV203">
        <v>14</v>
      </c>
      <c r="EW203">
        <f>EW196</f>
        <v>55823.910877257484</v>
      </c>
      <c r="EX203">
        <f t="shared" si="179"/>
        <v>34486.995601997565</v>
      </c>
      <c r="EY203">
        <f t="shared" si="210"/>
        <v>24690.969616455895</v>
      </c>
      <c r="FH203">
        <v>14</v>
      </c>
      <c r="FI203">
        <f>FI196</f>
        <v>63987.521434311915</v>
      </c>
      <c r="FJ203">
        <f t="shared" si="180"/>
        <v>39530.3255470562</v>
      </c>
      <c r="FK203">
        <f t="shared" si="211"/>
        <v>28301.742438661149</v>
      </c>
    </row>
    <row r="204" spans="9:167" x14ac:dyDescent="0.25">
      <c r="I204">
        <v>15</v>
      </c>
      <c r="J204">
        <f>J190</f>
        <v>456.62507176211642</v>
      </c>
      <c r="K204">
        <f t="shared" si="196"/>
        <v>272.55522156368562</v>
      </c>
      <c r="L204">
        <f t="shared" si="197"/>
        <v>190.53368830218997</v>
      </c>
      <c r="T204">
        <v>15</v>
      </c>
      <c r="U204">
        <f>U190</f>
        <v>456.62507176211642</v>
      </c>
      <c r="V204">
        <f t="shared" si="167"/>
        <v>272.55522156368562</v>
      </c>
      <c r="W204">
        <f t="shared" si="198"/>
        <v>190.53368830218997</v>
      </c>
      <c r="AE204">
        <v>15</v>
      </c>
      <c r="AF204">
        <f>AF190</f>
        <v>456.62507176211642</v>
      </c>
      <c r="AG204">
        <f t="shared" si="168"/>
        <v>272.55522156368562</v>
      </c>
      <c r="AH204">
        <f t="shared" si="199"/>
        <v>190.53368830218997</v>
      </c>
      <c r="AP204">
        <v>15</v>
      </c>
      <c r="AQ204">
        <f>AQ190</f>
        <v>456.62507176211642</v>
      </c>
      <c r="AR204">
        <f t="shared" si="169"/>
        <v>272.55522156368562</v>
      </c>
      <c r="AS204">
        <f t="shared" si="200"/>
        <v>190.53368830218997</v>
      </c>
      <c r="AT204"/>
      <c r="BA204">
        <v>15</v>
      </c>
      <c r="BB204">
        <f>BB190</f>
        <v>456.62507176211642</v>
      </c>
      <c r="BC204">
        <f t="shared" si="170"/>
        <v>272.55522156368562</v>
      </c>
      <c r="BD204">
        <f t="shared" si="201"/>
        <v>190.53368830218997</v>
      </c>
      <c r="BG204"/>
      <c r="BL204">
        <v>15</v>
      </c>
      <c r="BM204">
        <f>BM190</f>
        <v>456.62507176211642</v>
      </c>
      <c r="BN204">
        <f t="shared" si="171"/>
        <v>272.55522156368562</v>
      </c>
      <c r="BO204">
        <f t="shared" si="202"/>
        <v>190.53368830218997</v>
      </c>
      <c r="BW204">
        <v>15</v>
      </c>
      <c r="BX204">
        <f>BX190</f>
        <v>456.62507176211642</v>
      </c>
      <c r="BY204">
        <f t="shared" si="172"/>
        <v>272.55522156368562</v>
      </c>
      <c r="BZ204">
        <f t="shared" si="203"/>
        <v>190.53368830218997</v>
      </c>
      <c r="CH204">
        <v>15</v>
      </c>
      <c r="CI204">
        <f>CI190</f>
        <v>456.62507176211642</v>
      </c>
      <c r="CJ204">
        <f t="shared" si="173"/>
        <v>272.55522156368562</v>
      </c>
      <c r="CK204">
        <f t="shared" si="204"/>
        <v>190.53368830218997</v>
      </c>
      <c r="CS204">
        <v>15</v>
      </c>
      <c r="CT204">
        <f>CT190</f>
        <v>456.62507176211642</v>
      </c>
      <c r="CU204">
        <f t="shared" si="174"/>
        <v>272.55522156368562</v>
      </c>
      <c r="CV204">
        <f t="shared" si="205"/>
        <v>190.53368830218997</v>
      </c>
      <c r="DD204">
        <v>15</v>
      </c>
      <c r="DE204">
        <f>DE190</f>
        <v>456.62507176211642</v>
      </c>
      <c r="DF204">
        <f t="shared" si="175"/>
        <v>272.55522156368562</v>
      </c>
      <c r="DG204">
        <f t="shared" si="206"/>
        <v>190.53368830218997</v>
      </c>
      <c r="DO204">
        <v>15</v>
      </c>
      <c r="DP204">
        <f>DP190</f>
        <v>456.62507176211642</v>
      </c>
      <c r="DQ204">
        <f t="shared" si="176"/>
        <v>272.55522156368562</v>
      </c>
      <c r="DR204">
        <f t="shared" si="207"/>
        <v>190.53368830218997</v>
      </c>
      <c r="DZ204">
        <v>15</v>
      </c>
      <c r="EA204">
        <f>EA190</f>
        <v>456.62507176211642</v>
      </c>
      <c r="EB204">
        <f t="shared" si="177"/>
        <v>272.55522156368562</v>
      </c>
      <c r="EC204">
        <f t="shared" si="208"/>
        <v>190.53368830218997</v>
      </c>
      <c r="EK204">
        <v>15</v>
      </c>
      <c r="EL204">
        <f>EL190</f>
        <v>456.62507176211642</v>
      </c>
      <c r="EM204">
        <f t="shared" si="178"/>
        <v>272.55522156368562</v>
      </c>
      <c r="EN204">
        <f t="shared" si="209"/>
        <v>190.53368830218997</v>
      </c>
      <c r="EV204">
        <v>15</v>
      </c>
      <c r="EW204">
        <f>EW190</f>
        <v>456.62507176211642</v>
      </c>
      <c r="EX204">
        <f t="shared" si="179"/>
        <v>272.55522156368562</v>
      </c>
      <c r="EY204">
        <f t="shared" si="210"/>
        <v>190.53368830218997</v>
      </c>
      <c r="FH204">
        <v>15</v>
      </c>
      <c r="FI204">
        <f>FI190</f>
        <v>456.62507176211642</v>
      </c>
      <c r="FJ204">
        <f t="shared" si="180"/>
        <v>272.55522156368562</v>
      </c>
      <c r="FK204">
        <f t="shared" si="211"/>
        <v>190.53368830218997</v>
      </c>
    </row>
    <row r="205" spans="9:167" x14ac:dyDescent="0.25">
      <c r="I205">
        <v>16</v>
      </c>
      <c r="J205">
        <f>J204</f>
        <v>456.62507176211642</v>
      </c>
      <c r="K205">
        <f t="shared" si="196"/>
        <v>263.33837832240164</v>
      </c>
      <c r="L205">
        <f t="shared" si="197"/>
        <v>179.74876254923586</v>
      </c>
      <c r="T205">
        <v>16</v>
      </c>
      <c r="U205">
        <f>U204</f>
        <v>456.62507176211642</v>
      </c>
      <c r="V205">
        <f t="shared" si="167"/>
        <v>263.33837832240164</v>
      </c>
      <c r="W205">
        <f t="shared" si="198"/>
        <v>179.74876254923586</v>
      </c>
      <c r="AE205">
        <v>16</v>
      </c>
      <c r="AF205">
        <f>AF204</f>
        <v>456.62507176211642</v>
      </c>
      <c r="AG205">
        <f t="shared" si="168"/>
        <v>263.33837832240164</v>
      </c>
      <c r="AH205">
        <f t="shared" si="199"/>
        <v>179.74876254923586</v>
      </c>
      <c r="AP205">
        <v>16</v>
      </c>
      <c r="AQ205">
        <f>AQ204</f>
        <v>456.62507176211642</v>
      </c>
      <c r="AR205">
        <f t="shared" si="169"/>
        <v>263.33837832240164</v>
      </c>
      <c r="AS205">
        <f t="shared" si="200"/>
        <v>179.74876254923586</v>
      </c>
      <c r="AT205"/>
      <c r="BA205">
        <v>16</v>
      </c>
      <c r="BB205">
        <f>BB204</f>
        <v>456.62507176211642</v>
      </c>
      <c r="BC205">
        <f t="shared" si="170"/>
        <v>263.33837832240164</v>
      </c>
      <c r="BD205">
        <f t="shared" si="201"/>
        <v>179.74876254923586</v>
      </c>
      <c r="BG205"/>
      <c r="BL205">
        <v>16</v>
      </c>
      <c r="BM205">
        <f>BM204</f>
        <v>456.62507176211642</v>
      </c>
      <c r="BN205">
        <f t="shared" si="171"/>
        <v>263.33837832240164</v>
      </c>
      <c r="BO205">
        <f t="shared" si="202"/>
        <v>179.74876254923586</v>
      </c>
      <c r="BW205">
        <v>16</v>
      </c>
      <c r="BX205">
        <f>BX204</f>
        <v>456.62507176211642</v>
      </c>
      <c r="BY205">
        <f t="shared" si="172"/>
        <v>263.33837832240164</v>
      </c>
      <c r="BZ205">
        <f t="shared" si="203"/>
        <v>179.74876254923586</v>
      </c>
      <c r="CH205">
        <v>16</v>
      </c>
      <c r="CI205">
        <f>CI204</f>
        <v>456.62507176211642</v>
      </c>
      <c r="CJ205">
        <f t="shared" si="173"/>
        <v>263.33837832240164</v>
      </c>
      <c r="CK205">
        <f t="shared" si="204"/>
        <v>179.74876254923586</v>
      </c>
      <c r="CS205">
        <v>16</v>
      </c>
      <c r="CT205">
        <f>CT204</f>
        <v>456.62507176211642</v>
      </c>
      <c r="CU205">
        <f t="shared" si="174"/>
        <v>263.33837832240164</v>
      </c>
      <c r="CV205">
        <f t="shared" si="205"/>
        <v>179.74876254923586</v>
      </c>
      <c r="DD205">
        <v>16</v>
      </c>
      <c r="DE205">
        <f>DE204</f>
        <v>456.62507176211642</v>
      </c>
      <c r="DF205">
        <f t="shared" si="175"/>
        <v>263.33837832240164</v>
      </c>
      <c r="DG205">
        <f t="shared" si="206"/>
        <v>179.74876254923586</v>
      </c>
      <c r="DO205">
        <v>16</v>
      </c>
      <c r="DP205">
        <f>DP204</f>
        <v>456.62507176211642</v>
      </c>
      <c r="DQ205">
        <f t="shared" si="176"/>
        <v>263.33837832240164</v>
      </c>
      <c r="DR205">
        <f t="shared" si="207"/>
        <v>179.74876254923586</v>
      </c>
      <c r="DZ205">
        <v>16</v>
      </c>
      <c r="EA205">
        <f>EA204</f>
        <v>456.62507176211642</v>
      </c>
      <c r="EB205">
        <f t="shared" si="177"/>
        <v>263.33837832240164</v>
      </c>
      <c r="EC205">
        <f t="shared" si="208"/>
        <v>179.74876254923586</v>
      </c>
      <c r="EK205">
        <v>16</v>
      </c>
      <c r="EL205">
        <f>EL204</f>
        <v>456.62507176211642</v>
      </c>
      <c r="EM205">
        <f t="shared" si="178"/>
        <v>263.33837832240164</v>
      </c>
      <c r="EN205">
        <f t="shared" si="209"/>
        <v>179.74876254923586</v>
      </c>
      <c r="EV205">
        <v>16</v>
      </c>
      <c r="EW205">
        <f>EW204</f>
        <v>456.62507176211642</v>
      </c>
      <c r="EX205">
        <f t="shared" si="179"/>
        <v>263.33837832240164</v>
      </c>
      <c r="EY205">
        <f t="shared" si="210"/>
        <v>179.74876254923586</v>
      </c>
      <c r="FH205">
        <v>16</v>
      </c>
      <c r="FI205">
        <f>FI204</f>
        <v>456.62507176211642</v>
      </c>
      <c r="FJ205">
        <f t="shared" si="180"/>
        <v>263.33837832240164</v>
      </c>
      <c r="FK205">
        <f t="shared" si="211"/>
        <v>179.74876254923586</v>
      </c>
    </row>
    <row r="206" spans="9:167" x14ac:dyDescent="0.25">
      <c r="I206">
        <v>17</v>
      </c>
      <c r="J206">
        <f t="shared" ref="J206:J209" si="227">J205</f>
        <v>456.62507176211642</v>
      </c>
      <c r="K206">
        <f t="shared" si="196"/>
        <v>254.43321577043636</v>
      </c>
      <c r="L206">
        <f t="shared" si="197"/>
        <v>169.57430429173195</v>
      </c>
      <c r="T206">
        <v>17</v>
      </c>
      <c r="U206">
        <f t="shared" ref="U206:U209" si="228">U205</f>
        <v>456.62507176211642</v>
      </c>
      <c r="V206">
        <f t="shared" si="167"/>
        <v>254.43321577043636</v>
      </c>
      <c r="W206">
        <f t="shared" si="198"/>
        <v>169.57430429173195</v>
      </c>
      <c r="AE206">
        <v>17</v>
      </c>
      <c r="AF206">
        <f t="shared" ref="AF206:AF209" si="229">AF205</f>
        <v>456.62507176211642</v>
      </c>
      <c r="AG206">
        <f t="shared" si="168"/>
        <v>254.43321577043636</v>
      </c>
      <c r="AH206">
        <f t="shared" si="199"/>
        <v>169.57430429173195</v>
      </c>
      <c r="AP206">
        <v>17</v>
      </c>
      <c r="AQ206">
        <f t="shared" ref="AQ206:AQ209" si="230">AQ205</f>
        <v>456.62507176211642</v>
      </c>
      <c r="AR206">
        <f t="shared" si="169"/>
        <v>254.43321577043636</v>
      </c>
      <c r="AS206">
        <f t="shared" si="200"/>
        <v>169.57430429173195</v>
      </c>
      <c r="AT206"/>
      <c r="BA206">
        <v>17</v>
      </c>
      <c r="BB206">
        <f t="shared" ref="BB206:BB209" si="231">BB205</f>
        <v>456.62507176211642</v>
      </c>
      <c r="BC206">
        <f t="shared" si="170"/>
        <v>254.43321577043636</v>
      </c>
      <c r="BD206">
        <f t="shared" si="201"/>
        <v>169.57430429173195</v>
      </c>
      <c r="BG206"/>
      <c r="BL206">
        <v>17</v>
      </c>
      <c r="BM206">
        <f t="shared" ref="BM206:BM209" si="232">BM205</f>
        <v>456.62507176211642</v>
      </c>
      <c r="BN206">
        <f t="shared" si="171"/>
        <v>254.43321577043636</v>
      </c>
      <c r="BO206">
        <f t="shared" si="202"/>
        <v>169.57430429173195</v>
      </c>
      <c r="BW206">
        <v>17</v>
      </c>
      <c r="BX206">
        <f t="shared" ref="BX206:BX209" si="233">BX205</f>
        <v>456.62507176211642</v>
      </c>
      <c r="BY206">
        <f t="shared" si="172"/>
        <v>254.43321577043636</v>
      </c>
      <c r="BZ206">
        <f t="shared" si="203"/>
        <v>169.57430429173195</v>
      </c>
      <c r="CH206">
        <v>17</v>
      </c>
      <c r="CI206">
        <f t="shared" ref="CI206:CI209" si="234">CI205</f>
        <v>456.62507176211642</v>
      </c>
      <c r="CJ206">
        <f t="shared" si="173"/>
        <v>254.43321577043636</v>
      </c>
      <c r="CK206">
        <f t="shared" si="204"/>
        <v>169.57430429173195</v>
      </c>
      <c r="CS206">
        <v>17</v>
      </c>
      <c r="CT206">
        <f t="shared" ref="CT206:CT209" si="235">CT205</f>
        <v>456.62507176211642</v>
      </c>
      <c r="CU206">
        <f t="shared" si="174"/>
        <v>254.43321577043636</v>
      </c>
      <c r="CV206">
        <f t="shared" si="205"/>
        <v>169.57430429173195</v>
      </c>
      <c r="DD206">
        <v>17</v>
      </c>
      <c r="DE206">
        <f t="shared" ref="DE206:DE209" si="236">DE205</f>
        <v>456.62507176211642</v>
      </c>
      <c r="DF206">
        <f t="shared" si="175"/>
        <v>254.43321577043636</v>
      </c>
      <c r="DG206">
        <f t="shared" si="206"/>
        <v>169.57430429173195</v>
      </c>
      <c r="DO206">
        <v>17</v>
      </c>
      <c r="DP206">
        <f t="shared" ref="DP206:DP209" si="237">DP205</f>
        <v>456.62507176211642</v>
      </c>
      <c r="DQ206">
        <f t="shared" si="176"/>
        <v>254.43321577043636</v>
      </c>
      <c r="DR206">
        <f t="shared" si="207"/>
        <v>169.57430429173195</v>
      </c>
      <c r="DZ206">
        <v>17</v>
      </c>
      <c r="EA206">
        <f t="shared" ref="EA206:EA209" si="238">EA205</f>
        <v>456.62507176211642</v>
      </c>
      <c r="EB206">
        <f t="shared" si="177"/>
        <v>254.43321577043636</v>
      </c>
      <c r="EC206">
        <f t="shared" si="208"/>
        <v>169.57430429173195</v>
      </c>
      <c r="EK206">
        <v>17</v>
      </c>
      <c r="EL206">
        <f t="shared" ref="EL206:EL209" si="239">EL205</f>
        <v>456.62507176211642</v>
      </c>
      <c r="EM206">
        <f t="shared" si="178"/>
        <v>254.43321577043636</v>
      </c>
      <c r="EN206">
        <f t="shared" si="209"/>
        <v>169.57430429173195</v>
      </c>
      <c r="EV206">
        <v>17</v>
      </c>
      <c r="EW206">
        <f t="shared" ref="EW206:EW209" si="240">EW205</f>
        <v>456.62507176211642</v>
      </c>
      <c r="EX206">
        <f t="shared" si="179"/>
        <v>254.43321577043636</v>
      </c>
      <c r="EY206">
        <f t="shared" si="210"/>
        <v>169.57430429173195</v>
      </c>
      <c r="FH206">
        <v>17</v>
      </c>
      <c r="FI206">
        <f t="shared" ref="FI206:FI209" si="241">FI205</f>
        <v>456.62507176211642</v>
      </c>
      <c r="FJ206">
        <f t="shared" si="180"/>
        <v>254.43321577043636</v>
      </c>
      <c r="FK206">
        <f t="shared" si="211"/>
        <v>169.57430429173195</v>
      </c>
    </row>
    <row r="207" spans="9:167" x14ac:dyDescent="0.25">
      <c r="I207">
        <v>18</v>
      </c>
      <c r="J207">
        <f t="shared" si="227"/>
        <v>456.62507176211642</v>
      </c>
      <c r="K207">
        <f t="shared" si="196"/>
        <v>245.82919398109794</v>
      </c>
      <c r="L207">
        <f t="shared" si="197"/>
        <v>159.97575876578486</v>
      </c>
      <c r="T207">
        <v>18</v>
      </c>
      <c r="U207">
        <f t="shared" si="228"/>
        <v>456.62507176211642</v>
      </c>
      <c r="V207">
        <f t="shared" si="167"/>
        <v>245.82919398109794</v>
      </c>
      <c r="W207">
        <f t="shared" si="198"/>
        <v>159.97575876578486</v>
      </c>
      <c r="AE207">
        <v>18</v>
      </c>
      <c r="AF207">
        <f t="shared" si="229"/>
        <v>456.62507176211642</v>
      </c>
      <c r="AG207">
        <f t="shared" si="168"/>
        <v>245.82919398109794</v>
      </c>
      <c r="AH207">
        <f t="shared" si="199"/>
        <v>159.97575876578486</v>
      </c>
      <c r="AP207">
        <v>18</v>
      </c>
      <c r="AQ207">
        <f t="shared" si="230"/>
        <v>456.62507176211642</v>
      </c>
      <c r="AR207">
        <f t="shared" si="169"/>
        <v>245.82919398109794</v>
      </c>
      <c r="AS207">
        <f t="shared" si="200"/>
        <v>159.97575876578486</v>
      </c>
      <c r="AT207"/>
      <c r="BA207">
        <v>18</v>
      </c>
      <c r="BB207">
        <f t="shared" si="231"/>
        <v>456.62507176211642</v>
      </c>
      <c r="BC207">
        <f t="shared" si="170"/>
        <v>245.82919398109794</v>
      </c>
      <c r="BD207">
        <f t="shared" si="201"/>
        <v>159.97575876578486</v>
      </c>
      <c r="BG207"/>
      <c r="BL207">
        <v>18</v>
      </c>
      <c r="BM207">
        <f t="shared" si="232"/>
        <v>456.62507176211642</v>
      </c>
      <c r="BN207">
        <f t="shared" si="171"/>
        <v>245.82919398109794</v>
      </c>
      <c r="BO207">
        <f t="shared" si="202"/>
        <v>159.97575876578486</v>
      </c>
      <c r="BW207">
        <v>18</v>
      </c>
      <c r="BX207">
        <f t="shared" si="233"/>
        <v>456.62507176211642</v>
      </c>
      <c r="BY207">
        <f t="shared" si="172"/>
        <v>245.82919398109794</v>
      </c>
      <c r="BZ207">
        <f t="shared" si="203"/>
        <v>159.97575876578486</v>
      </c>
      <c r="CH207">
        <v>18</v>
      </c>
      <c r="CI207">
        <f t="shared" si="234"/>
        <v>456.62507176211642</v>
      </c>
      <c r="CJ207">
        <f t="shared" si="173"/>
        <v>245.82919398109794</v>
      </c>
      <c r="CK207">
        <f t="shared" si="204"/>
        <v>159.97575876578486</v>
      </c>
      <c r="CS207">
        <v>18</v>
      </c>
      <c r="CT207">
        <f t="shared" si="235"/>
        <v>456.62507176211642</v>
      </c>
      <c r="CU207">
        <f t="shared" si="174"/>
        <v>245.82919398109794</v>
      </c>
      <c r="CV207">
        <f t="shared" si="205"/>
        <v>159.97575876578486</v>
      </c>
      <c r="DD207">
        <v>18</v>
      </c>
      <c r="DE207">
        <f t="shared" si="236"/>
        <v>456.62507176211642</v>
      </c>
      <c r="DF207">
        <f t="shared" si="175"/>
        <v>245.82919398109794</v>
      </c>
      <c r="DG207">
        <f t="shared" si="206"/>
        <v>159.97575876578486</v>
      </c>
      <c r="DO207">
        <v>18</v>
      </c>
      <c r="DP207">
        <f t="shared" si="237"/>
        <v>456.62507176211642</v>
      </c>
      <c r="DQ207">
        <f t="shared" si="176"/>
        <v>245.82919398109794</v>
      </c>
      <c r="DR207">
        <f t="shared" si="207"/>
        <v>159.97575876578486</v>
      </c>
      <c r="DZ207">
        <v>18</v>
      </c>
      <c r="EA207">
        <f t="shared" si="238"/>
        <v>456.62507176211642</v>
      </c>
      <c r="EB207">
        <f t="shared" si="177"/>
        <v>245.82919398109794</v>
      </c>
      <c r="EC207">
        <f t="shared" si="208"/>
        <v>159.97575876578486</v>
      </c>
      <c r="EK207">
        <v>18</v>
      </c>
      <c r="EL207">
        <f t="shared" si="239"/>
        <v>456.62507176211642</v>
      </c>
      <c r="EM207">
        <f t="shared" si="178"/>
        <v>245.82919398109794</v>
      </c>
      <c r="EN207">
        <f t="shared" si="209"/>
        <v>159.97575876578486</v>
      </c>
      <c r="EV207">
        <v>18</v>
      </c>
      <c r="EW207">
        <f t="shared" si="240"/>
        <v>456.62507176211642</v>
      </c>
      <c r="EX207">
        <f t="shared" si="179"/>
        <v>245.82919398109794</v>
      </c>
      <c r="EY207">
        <f t="shared" si="210"/>
        <v>159.97575876578486</v>
      </c>
      <c r="FH207">
        <v>18</v>
      </c>
      <c r="FI207">
        <f t="shared" si="241"/>
        <v>456.62507176211642</v>
      </c>
      <c r="FJ207">
        <f t="shared" si="180"/>
        <v>245.82919398109794</v>
      </c>
      <c r="FK207">
        <f t="shared" si="211"/>
        <v>159.97575876578486</v>
      </c>
    </row>
    <row r="208" spans="9:167" x14ac:dyDescent="0.25">
      <c r="I208">
        <v>19</v>
      </c>
      <c r="J208">
        <f t="shared" si="227"/>
        <v>456.62507176211642</v>
      </c>
      <c r="K208">
        <f t="shared" si="196"/>
        <v>237.51612945033619</v>
      </c>
      <c r="L208">
        <f t="shared" si="197"/>
        <v>150.92052713753287</v>
      </c>
      <c r="T208">
        <v>19</v>
      </c>
      <c r="U208">
        <f t="shared" si="228"/>
        <v>456.62507176211642</v>
      </c>
      <c r="V208">
        <f t="shared" si="167"/>
        <v>237.51612945033619</v>
      </c>
      <c r="W208">
        <f t="shared" si="198"/>
        <v>150.92052713753287</v>
      </c>
      <c r="AE208">
        <v>19</v>
      </c>
      <c r="AF208">
        <f t="shared" si="229"/>
        <v>456.62507176211642</v>
      </c>
      <c r="AG208">
        <f t="shared" si="168"/>
        <v>237.51612945033619</v>
      </c>
      <c r="AH208">
        <f t="shared" si="199"/>
        <v>150.92052713753287</v>
      </c>
      <c r="AP208">
        <v>19</v>
      </c>
      <c r="AQ208">
        <f t="shared" si="230"/>
        <v>456.62507176211642</v>
      </c>
      <c r="AR208">
        <f t="shared" si="169"/>
        <v>237.51612945033619</v>
      </c>
      <c r="AS208">
        <f t="shared" si="200"/>
        <v>150.92052713753287</v>
      </c>
      <c r="BA208">
        <v>19</v>
      </c>
      <c r="BB208">
        <f t="shared" si="231"/>
        <v>456.62507176211642</v>
      </c>
      <c r="BC208">
        <f t="shared" si="170"/>
        <v>237.51612945033619</v>
      </c>
      <c r="BD208">
        <f t="shared" si="201"/>
        <v>150.92052713753287</v>
      </c>
      <c r="BL208">
        <v>19</v>
      </c>
      <c r="BM208">
        <f t="shared" si="232"/>
        <v>456.62507176211642</v>
      </c>
      <c r="BN208">
        <f t="shared" si="171"/>
        <v>237.51612945033619</v>
      </c>
      <c r="BO208">
        <f t="shared" si="202"/>
        <v>150.92052713753287</v>
      </c>
      <c r="BW208">
        <v>19</v>
      </c>
      <c r="BX208">
        <f t="shared" si="233"/>
        <v>456.62507176211642</v>
      </c>
      <c r="BY208">
        <f t="shared" si="172"/>
        <v>237.51612945033619</v>
      </c>
      <c r="BZ208">
        <f t="shared" si="203"/>
        <v>150.92052713753287</v>
      </c>
      <c r="CH208">
        <v>19</v>
      </c>
      <c r="CI208">
        <f t="shared" si="234"/>
        <v>456.62507176211642</v>
      </c>
      <c r="CJ208">
        <f t="shared" si="173"/>
        <v>237.51612945033619</v>
      </c>
      <c r="CK208">
        <f t="shared" si="204"/>
        <v>150.92052713753287</v>
      </c>
      <c r="CS208">
        <v>19</v>
      </c>
      <c r="CT208">
        <f t="shared" si="235"/>
        <v>456.62507176211642</v>
      </c>
      <c r="CU208">
        <f t="shared" si="174"/>
        <v>237.51612945033619</v>
      </c>
      <c r="CV208">
        <f t="shared" si="205"/>
        <v>150.92052713753287</v>
      </c>
      <c r="DD208">
        <v>19</v>
      </c>
      <c r="DE208">
        <f t="shared" si="236"/>
        <v>456.62507176211642</v>
      </c>
      <c r="DF208">
        <f t="shared" si="175"/>
        <v>237.51612945033619</v>
      </c>
      <c r="DG208">
        <f t="shared" si="206"/>
        <v>150.92052713753287</v>
      </c>
      <c r="DO208">
        <v>19</v>
      </c>
      <c r="DP208">
        <f t="shared" si="237"/>
        <v>456.62507176211642</v>
      </c>
      <c r="DQ208">
        <f t="shared" si="176"/>
        <v>237.51612945033619</v>
      </c>
      <c r="DR208">
        <f t="shared" si="207"/>
        <v>150.92052713753287</v>
      </c>
      <c r="DZ208">
        <v>19</v>
      </c>
      <c r="EA208">
        <f t="shared" si="238"/>
        <v>456.62507176211642</v>
      </c>
      <c r="EB208">
        <f t="shared" si="177"/>
        <v>237.51612945033619</v>
      </c>
      <c r="EC208">
        <f t="shared" si="208"/>
        <v>150.92052713753287</v>
      </c>
      <c r="EK208">
        <v>19</v>
      </c>
      <c r="EL208">
        <f t="shared" si="239"/>
        <v>456.62507176211642</v>
      </c>
      <c r="EM208">
        <f t="shared" si="178"/>
        <v>237.51612945033619</v>
      </c>
      <c r="EN208">
        <f t="shared" si="209"/>
        <v>150.92052713753287</v>
      </c>
      <c r="EV208">
        <v>19</v>
      </c>
      <c r="EW208">
        <f t="shared" si="240"/>
        <v>456.62507176211642</v>
      </c>
      <c r="EX208">
        <f t="shared" si="179"/>
        <v>237.51612945033619</v>
      </c>
      <c r="EY208">
        <f t="shared" si="210"/>
        <v>150.92052713753287</v>
      </c>
      <c r="FH208">
        <v>19</v>
      </c>
      <c r="FI208">
        <f t="shared" si="241"/>
        <v>456.62507176211642</v>
      </c>
      <c r="FJ208">
        <f t="shared" si="180"/>
        <v>237.51612945033619</v>
      </c>
      <c r="FK208">
        <f t="shared" si="211"/>
        <v>150.92052713753287</v>
      </c>
    </row>
    <row r="209" spans="1:172" x14ac:dyDescent="0.25">
      <c r="I209">
        <v>20</v>
      </c>
      <c r="J209">
        <f t="shared" si="227"/>
        <v>456.62507176211642</v>
      </c>
      <c r="K209">
        <f t="shared" si="196"/>
        <v>229.48418304380311</v>
      </c>
      <c r="L209">
        <f t="shared" si="197"/>
        <v>142.37785579012535</v>
      </c>
      <c r="T209">
        <v>20</v>
      </c>
      <c r="U209">
        <f t="shared" si="228"/>
        <v>456.62507176211642</v>
      </c>
      <c r="V209">
        <f t="shared" si="167"/>
        <v>229.48418304380311</v>
      </c>
      <c r="W209">
        <f t="shared" si="198"/>
        <v>142.37785579012535</v>
      </c>
      <c r="AE209">
        <v>20</v>
      </c>
      <c r="AF209">
        <f t="shared" si="229"/>
        <v>456.62507176211642</v>
      </c>
      <c r="AG209">
        <f t="shared" si="168"/>
        <v>229.48418304380311</v>
      </c>
      <c r="AH209">
        <f t="shared" si="199"/>
        <v>142.37785579012535</v>
      </c>
      <c r="AP209">
        <v>20</v>
      </c>
      <c r="AQ209">
        <f t="shared" si="230"/>
        <v>456.62507176211642</v>
      </c>
      <c r="AR209">
        <f t="shared" si="169"/>
        <v>229.48418304380311</v>
      </c>
      <c r="AS209">
        <f t="shared" si="200"/>
        <v>142.37785579012535</v>
      </c>
      <c r="BA209">
        <v>20</v>
      </c>
      <c r="BB209">
        <f t="shared" si="231"/>
        <v>456.62507176211642</v>
      </c>
      <c r="BC209">
        <f t="shared" si="170"/>
        <v>229.48418304380311</v>
      </c>
      <c r="BD209">
        <f t="shared" si="201"/>
        <v>142.37785579012535</v>
      </c>
      <c r="BL209">
        <v>20</v>
      </c>
      <c r="BM209">
        <f t="shared" si="232"/>
        <v>456.62507176211642</v>
      </c>
      <c r="BN209">
        <f t="shared" si="171"/>
        <v>229.48418304380311</v>
      </c>
      <c r="BO209">
        <f t="shared" si="202"/>
        <v>142.37785579012535</v>
      </c>
      <c r="BW209">
        <v>20</v>
      </c>
      <c r="BX209">
        <f t="shared" si="233"/>
        <v>456.62507176211642</v>
      </c>
      <c r="BY209">
        <f t="shared" si="172"/>
        <v>229.48418304380311</v>
      </c>
      <c r="BZ209">
        <f t="shared" si="203"/>
        <v>142.37785579012535</v>
      </c>
      <c r="CH209">
        <v>20</v>
      </c>
      <c r="CI209">
        <f t="shared" si="234"/>
        <v>456.62507176211642</v>
      </c>
      <c r="CJ209">
        <f t="shared" si="173"/>
        <v>229.48418304380311</v>
      </c>
      <c r="CK209">
        <f t="shared" si="204"/>
        <v>142.37785579012535</v>
      </c>
      <c r="CS209">
        <v>20</v>
      </c>
      <c r="CT209">
        <f t="shared" si="235"/>
        <v>456.62507176211642</v>
      </c>
      <c r="CU209">
        <f t="shared" si="174"/>
        <v>229.48418304380311</v>
      </c>
      <c r="CV209">
        <f t="shared" si="205"/>
        <v>142.37785579012535</v>
      </c>
      <c r="DD209">
        <v>20</v>
      </c>
      <c r="DE209">
        <f t="shared" si="236"/>
        <v>456.62507176211642</v>
      </c>
      <c r="DF209">
        <f t="shared" si="175"/>
        <v>229.48418304380311</v>
      </c>
      <c r="DG209">
        <f t="shared" si="206"/>
        <v>142.37785579012535</v>
      </c>
      <c r="DO209">
        <v>20</v>
      </c>
      <c r="DP209">
        <f t="shared" si="237"/>
        <v>456.62507176211642</v>
      </c>
      <c r="DQ209">
        <f t="shared" si="176"/>
        <v>229.48418304380311</v>
      </c>
      <c r="DR209">
        <f t="shared" si="207"/>
        <v>142.37785579012535</v>
      </c>
      <c r="DZ209">
        <v>20</v>
      </c>
      <c r="EA209">
        <f t="shared" si="238"/>
        <v>456.62507176211642</v>
      </c>
      <c r="EB209">
        <f t="shared" si="177"/>
        <v>229.48418304380311</v>
      </c>
      <c r="EC209">
        <f t="shared" si="208"/>
        <v>142.37785579012535</v>
      </c>
      <c r="EK209">
        <v>20</v>
      </c>
      <c r="EL209">
        <f t="shared" si="239"/>
        <v>456.62507176211642</v>
      </c>
      <c r="EM209">
        <f t="shared" si="178"/>
        <v>229.48418304380311</v>
      </c>
      <c r="EN209">
        <f t="shared" si="209"/>
        <v>142.37785579012535</v>
      </c>
      <c r="EV209">
        <v>20</v>
      </c>
      <c r="EW209">
        <f t="shared" si="240"/>
        <v>456.62507176211642</v>
      </c>
      <c r="EX209">
        <f t="shared" si="179"/>
        <v>229.48418304380311</v>
      </c>
      <c r="EY209">
        <f t="shared" si="210"/>
        <v>142.37785579012535</v>
      </c>
      <c r="FH209">
        <v>20</v>
      </c>
      <c r="FI209">
        <f t="shared" si="241"/>
        <v>456.62507176211642</v>
      </c>
      <c r="FJ209">
        <f t="shared" si="180"/>
        <v>229.48418304380311</v>
      </c>
      <c r="FK209">
        <f t="shared" si="211"/>
        <v>142.37785579012535</v>
      </c>
    </row>
    <row r="210" spans="1:172" x14ac:dyDescent="0.25">
      <c r="I210">
        <v>21</v>
      </c>
      <c r="J210">
        <f>J203</f>
        <v>850.54183988308489</v>
      </c>
      <c r="K210">
        <f t="shared" si="196"/>
        <v>412.99836908887249</v>
      </c>
      <c r="L210">
        <f t="shared" si="197"/>
        <v>250.19147744333287</v>
      </c>
      <c r="T210">
        <v>21</v>
      </c>
      <c r="U210">
        <f>U203</f>
        <v>1251.4059374732374</v>
      </c>
      <c r="V210">
        <f t="shared" si="167"/>
        <v>607.64631086887107</v>
      </c>
      <c r="W210">
        <f t="shared" si="198"/>
        <v>368.10781750704427</v>
      </c>
      <c r="AE210">
        <v>21</v>
      </c>
      <c r="AF210">
        <f>AF203</f>
        <v>2032.2921442459904</v>
      </c>
      <c r="AG210">
        <f t="shared" si="168"/>
        <v>986.82193130098813</v>
      </c>
      <c r="AH210">
        <f t="shared" si="199"/>
        <v>597.80971414090141</v>
      </c>
      <c r="AP210">
        <v>21</v>
      </c>
      <c r="AQ210">
        <f>AQ203</f>
        <v>2841.5883394909692</v>
      </c>
      <c r="AR210">
        <f t="shared" si="169"/>
        <v>1379.7926154850256</v>
      </c>
      <c r="AS210">
        <f t="shared" si="200"/>
        <v>835.86856237515394</v>
      </c>
      <c r="BA210">
        <v>21</v>
      </c>
      <c r="BB210">
        <f>BB203</f>
        <v>4441.0973082605988</v>
      </c>
      <c r="BC210">
        <f t="shared" si="170"/>
        <v>2156.4676295392273</v>
      </c>
      <c r="BD210">
        <f t="shared" si="201"/>
        <v>1306.3727672421885</v>
      </c>
      <c r="BL210">
        <v>21</v>
      </c>
      <c r="BM210">
        <f>BM203</f>
        <v>6387.5633682744256</v>
      </c>
      <c r="BN210">
        <f t="shared" si="171"/>
        <v>3101.6149116330225</v>
      </c>
      <c r="BO210">
        <f t="shared" si="202"/>
        <v>1878.9362750116636</v>
      </c>
      <c r="BW210">
        <v>21</v>
      </c>
      <c r="BX210">
        <f>BX203</f>
        <v>8363.9910932492039</v>
      </c>
      <c r="BY210">
        <f t="shared" si="172"/>
        <v>4061.310706432273</v>
      </c>
      <c r="BZ210">
        <f t="shared" si="203"/>
        <v>2460.3131684039708</v>
      </c>
      <c r="CH210">
        <v>21</v>
      </c>
      <c r="CI210">
        <f>CI203</f>
        <v>12317.148624586736</v>
      </c>
      <c r="CJ210">
        <f t="shared" si="173"/>
        <v>5980.8489779630627</v>
      </c>
      <c r="CK210">
        <f t="shared" si="204"/>
        <v>3623.15581406092</v>
      </c>
      <c r="CS210">
        <v>21</v>
      </c>
      <c r="CT210">
        <f>CT203</f>
        <v>16270.004074536291</v>
      </c>
      <c r="CU210">
        <f t="shared" si="174"/>
        <v>7900.2405675615628</v>
      </c>
      <c r="CV210">
        <f t="shared" si="205"/>
        <v>4785.9096008455335</v>
      </c>
      <c r="DD210">
        <v>21</v>
      </c>
      <c r="DE210">
        <f>DE203</f>
        <v>24176.01705582338</v>
      </c>
      <c r="DF210">
        <f t="shared" si="175"/>
        <v>11739.170428690853</v>
      </c>
      <c r="DG210">
        <f t="shared" si="206"/>
        <v>7111.5060332870971</v>
      </c>
      <c r="DO210">
        <v>21</v>
      </c>
      <c r="DP210">
        <f>DP203</f>
        <v>32082.030037110468</v>
      </c>
      <c r="DQ210">
        <f t="shared" si="176"/>
        <v>15578.100289820144</v>
      </c>
      <c r="DR210">
        <f t="shared" si="207"/>
        <v>9437.1024657286598</v>
      </c>
      <c r="DZ210">
        <v>21</v>
      </c>
      <c r="EA210">
        <f>EA203</f>
        <v>39848.301883858971</v>
      </c>
      <c r="EB210">
        <f t="shared" si="177"/>
        <v>19349.175922088689</v>
      </c>
      <c r="EC210">
        <f t="shared" si="208"/>
        <v>11721.593288463097</v>
      </c>
      <c r="EK210">
        <v>21</v>
      </c>
      <c r="EL210">
        <f>EL203</f>
        <v>47746.333084684375</v>
      </c>
      <c r="EM210">
        <f t="shared" si="178"/>
        <v>23184.23006287299</v>
      </c>
      <c r="EN210">
        <f t="shared" si="209"/>
        <v>14044.841837058508</v>
      </c>
      <c r="EV210">
        <v>21</v>
      </c>
      <c r="EW210">
        <f>EW203</f>
        <v>55823.910877257484</v>
      </c>
      <c r="EX210">
        <f t="shared" si="179"/>
        <v>27106.466804312728</v>
      </c>
      <c r="EY210">
        <f t="shared" si="210"/>
        <v>16420.904985656958</v>
      </c>
      <c r="FH210">
        <v>21</v>
      </c>
      <c r="FI210">
        <f>FI203</f>
        <v>63987.521434311915</v>
      </c>
      <c r="FJ210">
        <f t="shared" si="180"/>
        <v>31070.478552874836</v>
      </c>
      <c r="FK210">
        <f t="shared" si="211"/>
        <v>18822.275136738761</v>
      </c>
    </row>
    <row r="211" spans="1:172" x14ac:dyDescent="0.25">
      <c r="I211">
        <v>22</v>
      </c>
      <c r="J211">
        <f>J197</f>
        <v>456.62507176211642</v>
      </c>
      <c r="K211">
        <f t="shared" si="196"/>
        <v>214.22594043623249</v>
      </c>
      <c r="L211">
        <f t="shared" si="197"/>
        <v>126.71578479007236</v>
      </c>
      <c r="T211">
        <v>22</v>
      </c>
      <c r="U211">
        <f>U197</f>
        <v>456.62507176211642</v>
      </c>
      <c r="V211">
        <f t="shared" si="167"/>
        <v>214.22594043623249</v>
      </c>
      <c r="W211">
        <f t="shared" si="198"/>
        <v>126.71578479007236</v>
      </c>
      <c r="AE211">
        <v>22</v>
      </c>
      <c r="AF211">
        <f>AF197</f>
        <v>456.62507176211642</v>
      </c>
      <c r="AG211">
        <f t="shared" si="168"/>
        <v>214.22594043623249</v>
      </c>
      <c r="AH211">
        <f t="shared" si="199"/>
        <v>126.71578479007236</v>
      </c>
      <c r="AP211">
        <v>22</v>
      </c>
      <c r="AQ211">
        <f>AQ197</f>
        <v>456.62507176211642</v>
      </c>
      <c r="AR211">
        <f t="shared" si="169"/>
        <v>214.22594043623249</v>
      </c>
      <c r="AS211">
        <f t="shared" si="200"/>
        <v>126.71578479007236</v>
      </c>
      <c r="BA211">
        <v>22</v>
      </c>
      <c r="BB211">
        <f>BB197</f>
        <v>456.62507176211642</v>
      </c>
      <c r="BC211">
        <f t="shared" si="170"/>
        <v>214.22594043623249</v>
      </c>
      <c r="BD211">
        <f t="shared" si="201"/>
        <v>126.71578479007236</v>
      </c>
      <c r="BL211">
        <v>22</v>
      </c>
      <c r="BM211">
        <f>BM197</f>
        <v>456.62507176211642</v>
      </c>
      <c r="BN211">
        <f t="shared" si="171"/>
        <v>214.22594043623249</v>
      </c>
      <c r="BO211">
        <f t="shared" si="202"/>
        <v>126.71578479007236</v>
      </c>
      <c r="BW211">
        <v>22</v>
      </c>
      <c r="BX211">
        <f>BX197</f>
        <v>456.62507176211642</v>
      </c>
      <c r="BY211">
        <f t="shared" si="172"/>
        <v>214.22594043623249</v>
      </c>
      <c r="BZ211">
        <f t="shared" si="203"/>
        <v>126.71578479007236</v>
      </c>
      <c r="CH211">
        <v>22</v>
      </c>
      <c r="CI211">
        <f>CI197</f>
        <v>456.62507176211642</v>
      </c>
      <c r="CJ211">
        <f t="shared" si="173"/>
        <v>214.22594043623249</v>
      </c>
      <c r="CK211">
        <f t="shared" si="204"/>
        <v>126.71578479007236</v>
      </c>
      <c r="CS211">
        <v>22</v>
      </c>
      <c r="CT211">
        <f>CT197</f>
        <v>456.62507176211642</v>
      </c>
      <c r="CU211">
        <f t="shared" si="174"/>
        <v>214.22594043623249</v>
      </c>
      <c r="CV211">
        <f t="shared" si="205"/>
        <v>126.71578479007236</v>
      </c>
      <c r="DD211">
        <v>22</v>
      </c>
      <c r="DE211">
        <f>DE197</f>
        <v>456.62507176211642</v>
      </c>
      <c r="DF211">
        <f t="shared" si="175"/>
        <v>214.22594043623249</v>
      </c>
      <c r="DG211">
        <f t="shared" si="206"/>
        <v>126.71578479007236</v>
      </c>
      <c r="DO211">
        <v>22</v>
      </c>
      <c r="DP211">
        <f>DP197</f>
        <v>456.62507176211642</v>
      </c>
      <c r="DQ211">
        <f t="shared" si="176"/>
        <v>214.22594043623249</v>
      </c>
      <c r="DR211">
        <f t="shared" si="207"/>
        <v>126.71578479007236</v>
      </c>
      <c r="DZ211">
        <v>22</v>
      </c>
      <c r="EA211">
        <f>EA197</f>
        <v>456.62507176211642</v>
      </c>
      <c r="EB211">
        <f t="shared" si="177"/>
        <v>214.22594043623249</v>
      </c>
      <c r="EC211">
        <f t="shared" si="208"/>
        <v>126.71578479007236</v>
      </c>
      <c r="EK211">
        <v>22</v>
      </c>
      <c r="EL211">
        <f>EL197</f>
        <v>456.62507176211642</v>
      </c>
      <c r="EM211">
        <f t="shared" si="178"/>
        <v>214.22594043623249</v>
      </c>
      <c r="EN211">
        <f t="shared" si="209"/>
        <v>126.71578479007236</v>
      </c>
      <c r="EV211">
        <v>22</v>
      </c>
      <c r="EW211">
        <f>EW197</f>
        <v>456.62507176211642</v>
      </c>
      <c r="EX211">
        <f t="shared" si="179"/>
        <v>214.22594043623249</v>
      </c>
      <c r="EY211">
        <f t="shared" si="210"/>
        <v>126.71578479007236</v>
      </c>
      <c r="FH211">
        <v>22</v>
      </c>
      <c r="FI211">
        <f>FI197</f>
        <v>456.62507176211642</v>
      </c>
      <c r="FJ211">
        <f t="shared" si="180"/>
        <v>214.22594043623249</v>
      </c>
      <c r="FK211">
        <f t="shared" si="211"/>
        <v>126.71578479007236</v>
      </c>
    </row>
    <row r="212" spans="1:172" x14ac:dyDescent="0.25">
      <c r="I212">
        <v>23</v>
      </c>
      <c r="J212">
        <f>J211</f>
        <v>456.62507176211642</v>
      </c>
      <c r="K212">
        <f t="shared" si="196"/>
        <v>206.98158496254348</v>
      </c>
      <c r="L212">
        <f t="shared" si="197"/>
        <v>119.54319319818146</v>
      </c>
      <c r="T212">
        <v>23</v>
      </c>
      <c r="U212">
        <f>U211</f>
        <v>456.62507176211642</v>
      </c>
      <c r="V212">
        <f t="shared" si="167"/>
        <v>206.98158496254348</v>
      </c>
      <c r="W212">
        <f t="shared" si="198"/>
        <v>119.54319319818146</v>
      </c>
      <c r="AE212">
        <v>23</v>
      </c>
      <c r="AF212">
        <f>AF211</f>
        <v>456.62507176211642</v>
      </c>
      <c r="AG212">
        <f t="shared" si="168"/>
        <v>206.98158496254348</v>
      </c>
      <c r="AH212">
        <f t="shared" si="199"/>
        <v>119.54319319818146</v>
      </c>
      <c r="AP212">
        <v>23</v>
      </c>
      <c r="AQ212">
        <f>AQ211</f>
        <v>456.62507176211642</v>
      </c>
      <c r="AR212">
        <f t="shared" si="169"/>
        <v>206.98158496254348</v>
      </c>
      <c r="AS212">
        <f t="shared" si="200"/>
        <v>119.54319319818146</v>
      </c>
      <c r="BA212">
        <v>23</v>
      </c>
      <c r="BB212">
        <f>BB211</f>
        <v>456.62507176211642</v>
      </c>
      <c r="BC212">
        <f t="shared" si="170"/>
        <v>206.98158496254348</v>
      </c>
      <c r="BD212">
        <f t="shared" si="201"/>
        <v>119.54319319818146</v>
      </c>
      <c r="BL212">
        <v>23</v>
      </c>
      <c r="BM212">
        <f>BM211</f>
        <v>456.62507176211642</v>
      </c>
      <c r="BN212">
        <f t="shared" si="171"/>
        <v>206.98158496254348</v>
      </c>
      <c r="BO212">
        <f t="shared" si="202"/>
        <v>119.54319319818146</v>
      </c>
      <c r="BW212">
        <v>23</v>
      </c>
      <c r="BX212">
        <f>BX211</f>
        <v>456.62507176211642</v>
      </c>
      <c r="BY212">
        <f t="shared" si="172"/>
        <v>206.98158496254348</v>
      </c>
      <c r="BZ212">
        <f t="shared" si="203"/>
        <v>119.54319319818146</v>
      </c>
      <c r="CH212">
        <v>23</v>
      </c>
      <c r="CI212">
        <f>CI211</f>
        <v>456.62507176211642</v>
      </c>
      <c r="CJ212">
        <f t="shared" si="173"/>
        <v>206.98158496254348</v>
      </c>
      <c r="CK212">
        <f t="shared" si="204"/>
        <v>119.54319319818146</v>
      </c>
      <c r="CS212">
        <v>23</v>
      </c>
      <c r="CT212">
        <f>CT211</f>
        <v>456.62507176211642</v>
      </c>
      <c r="CU212">
        <f t="shared" si="174"/>
        <v>206.98158496254348</v>
      </c>
      <c r="CV212">
        <f t="shared" si="205"/>
        <v>119.54319319818146</v>
      </c>
      <c r="DD212">
        <v>23</v>
      </c>
      <c r="DE212">
        <f>DE211</f>
        <v>456.62507176211642</v>
      </c>
      <c r="DF212">
        <f t="shared" si="175"/>
        <v>206.98158496254348</v>
      </c>
      <c r="DG212">
        <f t="shared" si="206"/>
        <v>119.54319319818146</v>
      </c>
      <c r="DO212">
        <v>23</v>
      </c>
      <c r="DP212">
        <f>DP211</f>
        <v>456.62507176211642</v>
      </c>
      <c r="DQ212">
        <f t="shared" si="176"/>
        <v>206.98158496254348</v>
      </c>
      <c r="DR212">
        <f t="shared" si="207"/>
        <v>119.54319319818146</v>
      </c>
      <c r="DZ212">
        <v>23</v>
      </c>
      <c r="EA212">
        <f>EA211</f>
        <v>456.62507176211642</v>
      </c>
      <c r="EB212">
        <f t="shared" si="177"/>
        <v>206.98158496254348</v>
      </c>
      <c r="EC212">
        <f t="shared" si="208"/>
        <v>119.54319319818146</v>
      </c>
      <c r="EK212">
        <v>23</v>
      </c>
      <c r="EL212">
        <f>EL211</f>
        <v>456.62507176211642</v>
      </c>
      <c r="EM212">
        <f t="shared" si="178"/>
        <v>206.98158496254348</v>
      </c>
      <c r="EN212">
        <f t="shared" si="209"/>
        <v>119.54319319818146</v>
      </c>
      <c r="EV212">
        <v>23</v>
      </c>
      <c r="EW212">
        <f>EW211</f>
        <v>456.62507176211642</v>
      </c>
      <c r="EX212">
        <f t="shared" si="179"/>
        <v>206.98158496254348</v>
      </c>
      <c r="EY212">
        <f t="shared" si="210"/>
        <v>119.54319319818146</v>
      </c>
      <c r="FH212">
        <v>23</v>
      </c>
      <c r="FI212">
        <f>FI211</f>
        <v>456.62507176211642</v>
      </c>
      <c r="FJ212">
        <f t="shared" si="180"/>
        <v>206.98158496254348</v>
      </c>
      <c r="FK212">
        <f t="shared" si="211"/>
        <v>119.54319319818146</v>
      </c>
    </row>
    <row r="213" spans="1:172" x14ac:dyDescent="0.25">
      <c r="I213">
        <v>24</v>
      </c>
      <c r="J213">
        <f t="shared" ref="J213:J216" si="242">J212</f>
        <v>456.62507176211642</v>
      </c>
      <c r="K213">
        <f t="shared" si="196"/>
        <v>199.98220769327875</v>
      </c>
      <c r="L213">
        <f t="shared" si="197"/>
        <v>112.77659735677497</v>
      </c>
      <c r="T213">
        <v>24</v>
      </c>
      <c r="U213">
        <f t="shared" ref="U213:U216" si="243">U212</f>
        <v>456.62507176211642</v>
      </c>
      <c r="V213">
        <f t="shared" si="167"/>
        <v>199.98220769327875</v>
      </c>
      <c r="W213">
        <f t="shared" si="198"/>
        <v>112.77659735677497</v>
      </c>
      <c r="AE213">
        <v>24</v>
      </c>
      <c r="AF213">
        <f t="shared" ref="AF213:AF216" si="244">AF212</f>
        <v>456.62507176211642</v>
      </c>
      <c r="AG213">
        <f t="shared" si="168"/>
        <v>199.98220769327875</v>
      </c>
      <c r="AH213">
        <f t="shared" si="199"/>
        <v>112.77659735677497</v>
      </c>
      <c r="AP213">
        <v>24</v>
      </c>
      <c r="AQ213">
        <f t="shared" ref="AQ213:AQ216" si="245">AQ212</f>
        <v>456.62507176211642</v>
      </c>
      <c r="AR213">
        <f t="shared" si="169"/>
        <v>199.98220769327875</v>
      </c>
      <c r="AS213">
        <f t="shared" si="200"/>
        <v>112.77659735677497</v>
      </c>
      <c r="BA213">
        <v>24</v>
      </c>
      <c r="BB213">
        <f t="shared" ref="BB213:BB216" si="246">BB212</f>
        <v>456.62507176211642</v>
      </c>
      <c r="BC213">
        <f t="shared" si="170"/>
        <v>199.98220769327875</v>
      </c>
      <c r="BD213">
        <f t="shared" si="201"/>
        <v>112.77659735677497</v>
      </c>
      <c r="BL213">
        <v>24</v>
      </c>
      <c r="BM213">
        <f t="shared" ref="BM213:BM216" si="247">BM212</f>
        <v>456.62507176211642</v>
      </c>
      <c r="BN213">
        <f t="shared" si="171"/>
        <v>199.98220769327875</v>
      </c>
      <c r="BO213">
        <f t="shared" si="202"/>
        <v>112.77659735677497</v>
      </c>
      <c r="BW213">
        <v>24</v>
      </c>
      <c r="BX213">
        <f t="shared" ref="BX213:BX216" si="248">BX212</f>
        <v>456.62507176211642</v>
      </c>
      <c r="BY213">
        <f t="shared" si="172"/>
        <v>199.98220769327875</v>
      </c>
      <c r="BZ213">
        <f t="shared" si="203"/>
        <v>112.77659735677497</v>
      </c>
      <c r="CH213">
        <v>24</v>
      </c>
      <c r="CI213">
        <f t="shared" ref="CI213:CI216" si="249">CI212</f>
        <v>456.62507176211642</v>
      </c>
      <c r="CJ213">
        <f t="shared" si="173"/>
        <v>199.98220769327875</v>
      </c>
      <c r="CK213">
        <f t="shared" si="204"/>
        <v>112.77659735677497</v>
      </c>
      <c r="CS213">
        <v>24</v>
      </c>
      <c r="CT213">
        <f t="shared" ref="CT213:CT216" si="250">CT212</f>
        <v>456.62507176211642</v>
      </c>
      <c r="CU213">
        <f t="shared" si="174"/>
        <v>199.98220769327875</v>
      </c>
      <c r="CV213">
        <f t="shared" si="205"/>
        <v>112.77659735677497</v>
      </c>
      <c r="DD213">
        <v>24</v>
      </c>
      <c r="DE213">
        <f t="shared" ref="DE213:DE216" si="251">DE212</f>
        <v>456.62507176211642</v>
      </c>
      <c r="DF213">
        <f t="shared" si="175"/>
        <v>199.98220769327875</v>
      </c>
      <c r="DG213">
        <f t="shared" si="206"/>
        <v>112.77659735677497</v>
      </c>
      <c r="DO213">
        <v>24</v>
      </c>
      <c r="DP213">
        <f t="shared" ref="DP213:DP216" si="252">DP212</f>
        <v>456.62507176211642</v>
      </c>
      <c r="DQ213">
        <f t="shared" si="176"/>
        <v>199.98220769327875</v>
      </c>
      <c r="DR213">
        <f t="shared" si="207"/>
        <v>112.77659735677497</v>
      </c>
      <c r="DZ213">
        <v>24</v>
      </c>
      <c r="EA213">
        <f t="shared" ref="EA213:EA216" si="253">EA212</f>
        <v>456.62507176211642</v>
      </c>
      <c r="EB213">
        <f t="shared" si="177"/>
        <v>199.98220769327875</v>
      </c>
      <c r="EC213">
        <f t="shared" si="208"/>
        <v>112.77659735677497</v>
      </c>
      <c r="EK213">
        <v>24</v>
      </c>
      <c r="EL213">
        <f t="shared" ref="EL213:EL216" si="254">EL212</f>
        <v>456.62507176211642</v>
      </c>
      <c r="EM213">
        <f t="shared" si="178"/>
        <v>199.98220769327875</v>
      </c>
      <c r="EN213">
        <f t="shared" si="209"/>
        <v>112.77659735677497</v>
      </c>
      <c r="EV213">
        <v>24</v>
      </c>
      <c r="EW213">
        <f t="shared" ref="EW213:EW216" si="255">EW212</f>
        <v>456.62507176211642</v>
      </c>
      <c r="EX213">
        <f t="shared" si="179"/>
        <v>199.98220769327875</v>
      </c>
      <c r="EY213">
        <f t="shared" si="210"/>
        <v>112.77659735677497</v>
      </c>
      <c r="FH213">
        <v>24</v>
      </c>
      <c r="FI213">
        <f t="shared" ref="FI213:FI216" si="256">FI212</f>
        <v>456.62507176211642</v>
      </c>
      <c r="FJ213">
        <f t="shared" si="180"/>
        <v>199.98220769327875</v>
      </c>
      <c r="FK213">
        <f t="shared" si="211"/>
        <v>112.77659735677497</v>
      </c>
    </row>
    <row r="214" spans="1:172" x14ac:dyDescent="0.25">
      <c r="I214">
        <v>25</v>
      </c>
      <c r="J214">
        <f t="shared" si="242"/>
        <v>456.62507176211642</v>
      </c>
      <c r="K214">
        <f t="shared" si="196"/>
        <v>193.21952434133215</v>
      </c>
      <c r="L214">
        <f t="shared" si="197"/>
        <v>106.39301637431602</v>
      </c>
      <c r="T214">
        <v>25</v>
      </c>
      <c r="U214">
        <f t="shared" si="243"/>
        <v>456.62507176211642</v>
      </c>
      <c r="V214">
        <f t="shared" si="167"/>
        <v>193.21952434133215</v>
      </c>
      <c r="W214">
        <f t="shared" si="198"/>
        <v>106.39301637431602</v>
      </c>
      <c r="AE214">
        <v>25</v>
      </c>
      <c r="AF214">
        <f t="shared" si="244"/>
        <v>456.62507176211642</v>
      </c>
      <c r="AG214">
        <f t="shared" si="168"/>
        <v>193.21952434133215</v>
      </c>
      <c r="AH214">
        <f t="shared" si="199"/>
        <v>106.39301637431602</v>
      </c>
      <c r="AP214">
        <v>25</v>
      </c>
      <c r="AQ214">
        <f t="shared" si="245"/>
        <v>456.62507176211642</v>
      </c>
      <c r="AR214">
        <f t="shared" si="169"/>
        <v>193.21952434133215</v>
      </c>
      <c r="AS214">
        <f t="shared" si="200"/>
        <v>106.39301637431602</v>
      </c>
      <c r="BA214">
        <v>25</v>
      </c>
      <c r="BB214">
        <f t="shared" si="246"/>
        <v>456.62507176211642</v>
      </c>
      <c r="BC214">
        <f t="shared" si="170"/>
        <v>193.21952434133215</v>
      </c>
      <c r="BD214">
        <f t="shared" si="201"/>
        <v>106.39301637431602</v>
      </c>
      <c r="BL214">
        <v>25</v>
      </c>
      <c r="BM214">
        <f t="shared" si="247"/>
        <v>456.62507176211642</v>
      </c>
      <c r="BN214">
        <f t="shared" si="171"/>
        <v>193.21952434133215</v>
      </c>
      <c r="BO214">
        <f t="shared" si="202"/>
        <v>106.39301637431602</v>
      </c>
      <c r="BW214">
        <v>25</v>
      </c>
      <c r="BX214">
        <f t="shared" si="248"/>
        <v>456.62507176211642</v>
      </c>
      <c r="BY214">
        <f t="shared" si="172"/>
        <v>193.21952434133215</v>
      </c>
      <c r="BZ214">
        <f t="shared" si="203"/>
        <v>106.39301637431602</v>
      </c>
      <c r="CH214">
        <v>25</v>
      </c>
      <c r="CI214">
        <f t="shared" si="249"/>
        <v>456.62507176211642</v>
      </c>
      <c r="CJ214">
        <f t="shared" si="173"/>
        <v>193.21952434133215</v>
      </c>
      <c r="CK214">
        <f t="shared" si="204"/>
        <v>106.39301637431602</v>
      </c>
      <c r="CS214">
        <v>25</v>
      </c>
      <c r="CT214">
        <f t="shared" si="250"/>
        <v>456.62507176211642</v>
      </c>
      <c r="CU214">
        <f t="shared" si="174"/>
        <v>193.21952434133215</v>
      </c>
      <c r="CV214">
        <f t="shared" si="205"/>
        <v>106.39301637431602</v>
      </c>
      <c r="DD214">
        <v>25</v>
      </c>
      <c r="DE214">
        <f t="shared" si="251"/>
        <v>456.62507176211642</v>
      </c>
      <c r="DF214">
        <f t="shared" si="175"/>
        <v>193.21952434133215</v>
      </c>
      <c r="DG214">
        <f t="shared" si="206"/>
        <v>106.39301637431602</v>
      </c>
      <c r="DO214">
        <v>25</v>
      </c>
      <c r="DP214">
        <f t="shared" si="252"/>
        <v>456.62507176211642</v>
      </c>
      <c r="DQ214">
        <f t="shared" si="176"/>
        <v>193.21952434133215</v>
      </c>
      <c r="DR214">
        <f t="shared" si="207"/>
        <v>106.39301637431602</v>
      </c>
      <c r="DZ214">
        <v>25</v>
      </c>
      <c r="EA214">
        <f t="shared" si="253"/>
        <v>456.62507176211642</v>
      </c>
      <c r="EB214">
        <f t="shared" si="177"/>
        <v>193.21952434133215</v>
      </c>
      <c r="EC214">
        <f t="shared" si="208"/>
        <v>106.39301637431602</v>
      </c>
      <c r="EK214">
        <v>25</v>
      </c>
      <c r="EL214">
        <f t="shared" si="254"/>
        <v>456.62507176211642</v>
      </c>
      <c r="EM214">
        <f t="shared" si="178"/>
        <v>193.21952434133215</v>
      </c>
      <c r="EN214">
        <f t="shared" si="209"/>
        <v>106.39301637431602</v>
      </c>
      <c r="EV214">
        <v>25</v>
      </c>
      <c r="EW214">
        <f t="shared" si="255"/>
        <v>456.62507176211642</v>
      </c>
      <c r="EX214">
        <f t="shared" si="179"/>
        <v>193.21952434133215</v>
      </c>
      <c r="EY214">
        <f t="shared" si="210"/>
        <v>106.39301637431602</v>
      </c>
      <c r="FH214">
        <v>25</v>
      </c>
      <c r="FI214">
        <f t="shared" si="256"/>
        <v>456.62507176211642</v>
      </c>
      <c r="FJ214">
        <f t="shared" si="180"/>
        <v>193.21952434133215</v>
      </c>
      <c r="FK214">
        <f t="shared" si="211"/>
        <v>106.39301637431602</v>
      </c>
    </row>
    <row r="215" spans="1:172" x14ac:dyDescent="0.25">
      <c r="I215">
        <v>26</v>
      </c>
      <c r="J215">
        <f t="shared" si="242"/>
        <v>456.62507176211642</v>
      </c>
      <c r="K215">
        <f t="shared" si="196"/>
        <v>186.68553076457212</v>
      </c>
      <c r="L215">
        <f t="shared" si="197"/>
        <v>100.37077016444907</v>
      </c>
      <c r="T215">
        <v>26</v>
      </c>
      <c r="U215">
        <f t="shared" si="243"/>
        <v>456.62507176211642</v>
      </c>
      <c r="V215">
        <f t="shared" si="167"/>
        <v>186.68553076457212</v>
      </c>
      <c r="W215">
        <f t="shared" si="198"/>
        <v>100.37077016444907</v>
      </c>
      <c r="Z215">
        <f>(1350-V223)/1350</f>
        <v>0.24420631054321601</v>
      </c>
      <c r="AE215">
        <v>26</v>
      </c>
      <c r="AF215">
        <f t="shared" si="244"/>
        <v>456.62507176211642</v>
      </c>
      <c r="AG215">
        <f t="shared" si="168"/>
        <v>186.68553076457212</v>
      </c>
      <c r="AH215">
        <f t="shared" si="199"/>
        <v>100.37077016444907</v>
      </c>
      <c r="AP215">
        <v>26</v>
      </c>
      <c r="AQ215">
        <f t="shared" si="245"/>
        <v>456.62507176211642</v>
      </c>
      <c r="AR215">
        <f t="shared" si="169"/>
        <v>186.68553076457212</v>
      </c>
      <c r="AS215">
        <f t="shared" si="200"/>
        <v>100.37077016444907</v>
      </c>
      <c r="BA215">
        <v>26</v>
      </c>
      <c r="BB215">
        <f t="shared" si="246"/>
        <v>456.62507176211642</v>
      </c>
      <c r="BC215">
        <f t="shared" si="170"/>
        <v>186.68553076457212</v>
      </c>
      <c r="BD215">
        <f t="shared" si="201"/>
        <v>100.37077016444907</v>
      </c>
      <c r="BL215">
        <v>26</v>
      </c>
      <c r="BM215">
        <f t="shared" si="247"/>
        <v>456.62507176211642</v>
      </c>
      <c r="BN215">
        <f t="shared" si="171"/>
        <v>186.68553076457212</v>
      </c>
      <c r="BO215">
        <f t="shared" si="202"/>
        <v>100.37077016444907</v>
      </c>
      <c r="BW215">
        <v>26</v>
      </c>
      <c r="BX215">
        <f t="shared" si="248"/>
        <v>456.62507176211642</v>
      </c>
      <c r="BY215">
        <f t="shared" si="172"/>
        <v>186.68553076457212</v>
      </c>
      <c r="BZ215">
        <f t="shared" si="203"/>
        <v>100.37077016444907</v>
      </c>
      <c r="CH215">
        <v>26</v>
      </c>
      <c r="CI215">
        <f t="shared" si="249"/>
        <v>456.62507176211642</v>
      </c>
      <c r="CJ215">
        <f t="shared" si="173"/>
        <v>186.68553076457212</v>
      </c>
      <c r="CK215">
        <f t="shared" si="204"/>
        <v>100.37077016444907</v>
      </c>
      <c r="CS215">
        <v>26</v>
      </c>
      <c r="CT215">
        <f t="shared" si="250"/>
        <v>456.62507176211642</v>
      </c>
      <c r="CU215">
        <f t="shared" si="174"/>
        <v>186.68553076457212</v>
      </c>
      <c r="CV215">
        <f t="shared" si="205"/>
        <v>100.37077016444907</v>
      </c>
      <c r="DD215">
        <v>26</v>
      </c>
      <c r="DE215">
        <f t="shared" si="251"/>
        <v>456.62507176211642</v>
      </c>
      <c r="DF215">
        <f t="shared" si="175"/>
        <v>186.68553076457212</v>
      </c>
      <c r="DG215">
        <f t="shared" si="206"/>
        <v>100.37077016444907</v>
      </c>
      <c r="DO215">
        <v>26</v>
      </c>
      <c r="DP215">
        <f t="shared" si="252"/>
        <v>456.62507176211642</v>
      </c>
      <c r="DQ215">
        <f t="shared" si="176"/>
        <v>186.68553076457212</v>
      </c>
      <c r="DR215">
        <f t="shared" si="207"/>
        <v>100.37077016444907</v>
      </c>
      <c r="DZ215">
        <v>26</v>
      </c>
      <c r="EA215">
        <f t="shared" si="253"/>
        <v>456.62507176211642</v>
      </c>
      <c r="EB215">
        <f t="shared" si="177"/>
        <v>186.68553076457212</v>
      </c>
      <c r="EC215">
        <f t="shared" si="208"/>
        <v>100.37077016444907</v>
      </c>
      <c r="EK215">
        <v>26</v>
      </c>
      <c r="EL215">
        <f t="shared" si="254"/>
        <v>456.62507176211642</v>
      </c>
      <c r="EM215">
        <f t="shared" si="178"/>
        <v>186.68553076457212</v>
      </c>
      <c r="EN215">
        <f t="shared" si="209"/>
        <v>100.37077016444907</v>
      </c>
      <c r="EV215">
        <v>26</v>
      </c>
      <c r="EW215">
        <f t="shared" si="255"/>
        <v>456.62507176211642</v>
      </c>
      <c r="EX215">
        <f t="shared" si="179"/>
        <v>186.68553076457212</v>
      </c>
      <c r="EY215">
        <f t="shared" si="210"/>
        <v>100.37077016444907</v>
      </c>
      <c r="FH215">
        <v>26</v>
      </c>
      <c r="FI215">
        <f t="shared" si="256"/>
        <v>456.62507176211642</v>
      </c>
      <c r="FJ215">
        <f t="shared" si="180"/>
        <v>186.68553076457212</v>
      </c>
      <c r="FK215">
        <f t="shared" si="211"/>
        <v>100.37077016444907</v>
      </c>
    </row>
    <row r="216" spans="1:172" x14ac:dyDescent="0.25">
      <c r="I216">
        <v>27</v>
      </c>
      <c r="J216">
        <f t="shared" si="242"/>
        <v>456.62507176211642</v>
      </c>
      <c r="K216">
        <f t="shared" si="196"/>
        <v>180.37249349234023</v>
      </c>
      <c r="L216">
        <f t="shared" si="197"/>
        <v>94.689405815517972</v>
      </c>
      <c r="T216">
        <v>27</v>
      </c>
      <c r="U216">
        <f t="shared" si="243"/>
        <v>456.62507176211642</v>
      </c>
      <c r="V216">
        <f t="shared" si="167"/>
        <v>180.37249349234023</v>
      </c>
      <c r="W216">
        <f t="shared" si="198"/>
        <v>94.689405815517972</v>
      </c>
      <c r="AE216">
        <v>27</v>
      </c>
      <c r="AF216">
        <f t="shared" si="244"/>
        <v>456.62507176211642</v>
      </c>
      <c r="AG216">
        <f t="shared" si="168"/>
        <v>180.37249349234023</v>
      </c>
      <c r="AH216">
        <f t="shared" si="199"/>
        <v>94.689405815517972</v>
      </c>
      <c r="AP216">
        <v>27</v>
      </c>
      <c r="AQ216">
        <f t="shared" si="245"/>
        <v>456.62507176211642</v>
      </c>
      <c r="AR216">
        <f t="shared" si="169"/>
        <v>180.37249349234023</v>
      </c>
      <c r="AS216">
        <f t="shared" si="200"/>
        <v>94.689405815517972</v>
      </c>
      <c r="BA216">
        <v>27</v>
      </c>
      <c r="BB216">
        <f t="shared" si="246"/>
        <v>456.62507176211642</v>
      </c>
      <c r="BC216">
        <f t="shared" si="170"/>
        <v>180.37249349234023</v>
      </c>
      <c r="BD216">
        <f t="shared" si="201"/>
        <v>94.689405815517972</v>
      </c>
      <c r="BL216">
        <v>27</v>
      </c>
      <c r="BM216">
        <f t="shared" si="247"/>
        <v>456.62507176211642</v>
      </c>
      <c r="BN216">
        <f t="shared" si="171"/>
        <v>180.37249349234023</v>
      </c>
      <c r="BO216">
        <f t="shared" si="202"/>
        <v>94.689405815517972</v>
      </c>
      <c r="BW216">
        <v>27</v>
      </c>
      <c r="BX216">
        <f t="shared" si="248"/>
        <v>456.62507176211642</v>
      </c>
      <c r="BY216">
        <f t="shared" si="172"/>
        <v>180.37249349234023</v>
      </c>
      <c r="BZ216">
        <f t="shared" si="203"/>
        <v>94.689405815517972</v>
      </c>
      <c r="CH216">
        <v>27</v>
      </c>
      <c r="CI216">
        <f t="shared" si="249"/>
        <v>456.62507176211642</v>
      </c>
      <c r="CJ216">
        <f t="shared" si="173"/>
        <v>180.37249349234023</v>
      </c>
      <c r="CK216">
        <f t="shared" si="204"/>
        <v>94.689405815517972</v>
      </c>
      <c r="CS216">
        <v>27</v>
      </c>
      <c r="CT216">
        <f t="shared" si="250"/>
        <v>456.62507176211642</v>
      </c>
      <c r="CU216">
        <f t="shared" si="174"/>
        <v>180.37249349234023</v>
      </c>
      <c r="CV216">
        <f t="shared" si="205"/>
        <v>94.689405815517972</v>
      </c>
      <c r="DD216">
        <v>27</v>
      </c>
      <c r="DE216">
        <f t="shared" si="251"/>
        <v>456.62507176211642</v>
      </c>
      <c r="DF216">
        <f t="shared" si="175"/>
        <v>180.37249349234023</v>
      </c>
      <c r="DG216">
        <f t="shared" si="206"/>
        <v>94.689405815517972</v>
      </c>
      <c r="DO216">
        <v>27</v>
      </c>
      <c r="DP216">
        <f t="shared" si="252"/>
        <v>456.62507176211642</v>
      </c>
      <c r="DQ216">
        <f t="shared" si="176"/>
        <v>180.37249349234023</v>
      </c>
      <c r="DR216">
        <f t="shared" si="207"/>
        <v>94.689405815517972</v>
      </c>
      <c r="DZ216">
        <v>27</v>
      </c>
      <c r="EA216">
        <f t="shared" si="253"/>
        <v>456.62507176211642</v>
      </c>
      <c r="EB216">
        <f t="shared" si="177"/>
        <v>180.37249349234023</v>
      </c>
      <c r="EC216">
        <f t="shared" si="208"/>
        <v>94.689405815517972</v>
      </c>
      <c r="EK216">
        <v>27</v>
      </c>
      <c r="EL216">
        <f t="shared" si="254"/>
        <v>456.62507176211642</v>
      </c>
      <c r="EM216">
        <f t="shared" si="178"/>
        <v>180.37249349234023</v>
      </c>
      <c r="EN216">
        <f t="shared" si="209"/>
        <v>94.689405815517972</v>
      </c>
      <c r="EV216">
        <v>27</v>
      </c>
      <c r="EW216">
        <f t="shared" si="255"/>
        <v>456.62507176211642</v>
      </c>
      <c r="EX216">
        <f t="shared" si="179"/>
        <v>180.37249349234023</v>
      </c>
      <c r="EY216">
        <f t="shared" si="210"/>
        <v>94.689405815517972</v>
      </c>
      <c r="FH216">
        <v>27</v>
      </c>
      <c r="FI216">
        <f t="shared" si="256"/>
        <v>456.62507176211642</v>
      </c>
      <c r="FJ216">
        <f t="shared" si="180"/>
        <v>180.37249349234023</v>
      </c>
      <c r="FK216">
        <f t="shared" si="211"/>
        <v>94.689405815517972</v>
      </c>
    </row>
    <row r="217" spans="1:172" x14ac:dyDescent="0.25">
      <c r="I217">
        <v>28</v>
      </c>
      <c r="J217">
        <f>J210</f>
        <v>850.54183988308489</v>
      </c>
      <c r="K217">
        <f t="shared" si="196"/>
        <v>324.6129848810134</v>
      </c>
      <c r="L217">
        <f t="shared" si="197"/>
        <v>166.39162184137081</v>
      </c>
      <c r="T217">
        <v>28</v>
      </c>
      <c r="U217">
        <f>U210</f>
        <v>1251.4059374732374</v>
      </c>
      <c r="V217">
        <f t="shared" si="167"/>
        <v>477.60450763580258</v>
      </c>
      <c r="W217">
        <f t="shared" si="198"/>
        <v>244.81272261305256</v>
      </c>
      <c r="AE217">
        <v>28</v>
      </c>
      <c r="AF217">
        <f>AF210</f>
        <v>2032.2921442459904</v>
      </c>
      <c r="AG217">
        <f t="shared" si="168"/>
        <v>775.63311780712536</v>
      </c>
      <c r="AH217">
        <f t="shared" si="199"/>
        <v>397.57760298194177</v>
      </c>
      <c r="AP217">
        <v>28</v>
      </c>
      <c r="AQ217">
        <f>AQ210</f>
        <v>2841.5883394909692</v>
      </c>
      <c r="AR217">
        <f t="shared" si="169"/>
        <v>1084.5045233895148</v>
      </c>
      <c r="AS217">
        <f t="shared" si="200"/>
        <v>555.90033346087159</v>
      </c>
      <c r="BA217">
        <v>28</v>
      </c>
      <c r="BB217">
        <f>BB210</f>
        <v>4441.0973082605988</v>
      </c>
      <c r="BC217">
        <f t="shared" si="170"/>
        <v>1694.9640638250951</v>
      </c>
      <c r="BD217">
        <f t="shared" si="201"/>
        <v>868.81250189691389</v>
      </c>
      <c r="BL217">
        <v>28</v>
      </c>
      <c r="BM217">
        <f>BM210</f>
        <v>6387.5633682744256</v>
      </c>
      <c r="BN217">
        <f t="shared" si="171"/>
        <v>2437.8412840656979</v>
      </c>
      <c r="BO217">
        <f t="shared" si="202"/>
        <v>1249.599935739561</v>
      </c>
      <c r="BW217">
        <v>28</v>
      </c>
      <c r="BX217">
        <f>BX210</f>
        <v>8363.9910932492039</v>
      </c>
      <c r="BY217">
        <f t="shared" si="172"/>
        <v>3192.1535037841822</v>
      </c>
      <c r="BZ217">
        <f t="shared" si="203"/>
        <v>1636.2487743857696</v>
      </c>
      <c r="CH217">
        <v>28</v>
      </c>
      <c r="CI217">
        <f>CI210</f>
        <v>12317.148624586736</v>
      </c>
      <c r="CJ217">
        <f t="shared" si="173"/>
        <v>4700.8932338940249</v>
      </c>
      <c r="CK217">
        <f t="shared" si="204"/>
        <v>2409.6055479033412</v>
      </c>
      <c r="CS217">
        <v>28</v>
      </c>
      <c r="CT217">
        <f>CT210</f>
        <v>16270.004074536291</v>
      </c>
      <c r="CU217">
        <f t="shared" si="174"/>
        <v>6209.5176733309927</v>
      </c>
      <c r="CV217">
        <f t="shared" si="205"/>
        <v>3182.9032251957578</v>
      </c>
      <c r="DD217">
        <v>28</v>
      </c>
      <c r="DE217">
        <f>DE210</f>
        <v>24176.01705582338</v>
      </c>
      <c r="DF217">
        <f t="shared" si="175"/>
        <v>9226.881842877805</v>
      </c>
      <c r="DG217">
        <f t="shared" si="206"/>
        <v>4729.5576760057465</v>
      </c>
      <c r="DO217">
        <v>28</v>
      </c>
      <c r="DP217">
        <f>DP210</f>
        <v>32082.030037110468</v>
      </c>
      <c r="DQ217">
        <f t="shared" si="176"/>
        <v>12244.246012424615</v>
      </c>
      <c r="DR217">
        <f t="shared" si="207"/>
        <v>6276.2121268157343</v>
      </c>
      <c r="DZ217">
        <v>28</v>
      </c>
      <c r="EA217">
        <f>EA210</f>
        <v>39848.301883858971</v>
      </c>
      <c r="EB217">
        <f t="shared" si="177"/>
        <v>15208.277371442711</v>
      </c>
      <c r="EC217">
        <f t="shared" si="208"/>
        <v>7795.5289994802142</v>
      </c>
      <c r="EK217">
        <v>28</v>
      </c>
      <c r="EL217">
        <f>EL210</f>
        <v>47746.333084684375</v>
      </c>
      <c r="EM217">
        <f t="shared" si="178"/>
        <v>18222.595259832222</v>
      </c>
      <c r="EN217">
        <f t="shared" si="209"/>
        <v>9340.6219734363603</v>
      </c>
      <c r="EV217">
        <v>28</v>
      </c>
      <c r="EW217">
        <f>EW210</f>
        <v>55823.910877257484</v>
      </c>
      <c r="EX217">
        <f t="shared" si="179"/>
        <v>21305.437884265812</v>
      </c>
      <c r="EY217">
        <f t="shared" si="210"/>
        <v>10920.839672827646</v>
      </c>
      <c r="FH217">
        <v>28</v>
      </c>
      <c r="FI217">
        <f>FI210</f>
        <v>63987.521434311915</v>
      </c>
      <c r="FJ217">
        <f t="shared" si="180"/>
        <v>24421.115286680091</v>
      </c>
      <c r="FK217">
        <f t="shared" si="211"/>
        <v>12517.887974244943</v>
      </c>
    </row>
    <row r="218" spans="1:172" x14ac:dyDescent="0.25">
      <c r="I218">
        <v>29</v>
      </c>
      <c r="J218">
        <f>J190</f>
        <v>456.62507176211642</v>
      </c>
      <c r="K218">
        <f t="shared" si="196"/>
        <v>168.37965272686901</v>
      </c>
      <c r="L218">
        <f t="shared" si="197"/>
        <v>84.273234082874652</v>
      </c>
      <c r="T218">
        <v>29</v>
      </c>
      <c r="U218">
        <f>U190</f>
        <v>456.62507176211642</v>
      </c>
      <c r="V218">
        <f t="shared" si="167"/>
        <v>168.37965272686901</v>
      </c>
      <c r="W218">
        <f t="shared" si="198"/>
        <v>84.273234082874652</v>
      </c>
      <c r="AE218">
        <v>29</v>
      </c>
      <c r="AF218">
        <f>AF190</f>
        <v>456.62507176211642</v>
      </c>
      <c r="AG218">
        <f t="shared" si="168"/>
        <v>168.37965272686901</v>
      </c>
      <c r="AH218">
        <f t="shared" si="199"/>
        <v>84.273234082874652</v>
      </c>
      <c r="AP218">
        <v>29</v>
      </c>
      <c r="AQ218">
        <f>AQ190</f>
        <v>456.62507176211642</v>
      </c>
      <c r="AR218">
        <f t="shared" si="169"/>
        <v>168.37965272686901</v>
      </c>
      <c r="AS218">
        <f t="shared" si="200"/>
        <v>84.273234082874652</v>
      </c>
      <c r="BA218">
        <v>29</v>
      </c>
      <c r="BB218">
        <f>BB190</f>
        <v>456.62507176211642</v>
      </c>
      <c r="BC218">
        <f t="shared" si="170"/>
        <v>168.37965272686901</v>
      </c>
      <c r="BD218">
        <f t="shared" si="201"/>
        <v>84.273234082874652</v>
      </c>
      <c r="BL218">
        <v>29</v>
      </c>
      <c r="BM218">
        <f>BM190</f>
        <v>456.62507176211642</v>
      </c>
      <c r="BN218">
        <f t="shared" si="171"/>
        <v>168.37965272686901</v>
      </c>
      <c r="BO218">
        <f t="shared" si="202"/>
        <v>84.273234082874652</v>
      </c>
      <c r="BW218">
        <v>29</v>
      </c>
      <c r="BX218">
        <f>BX190</f>
        <v>456.62507176211642</v>
      </c>
      <c r="BY218">
        <f t="shared" si="172"/>
        <v>168.37965272686901</v>
      </c>
      <c r="BZ218">
        <f t="shared" si="203"/>
        <v>84.273234082874652</v>
      </c>
      <c r="CH218">
        <v>29</v>
      </c>
      <c r="CI218">
        <f>CI190</f>
        <v>456.62507176211642</v>
      </c>
      <c r="CJ218">
        <f t="shared" si="173"/>
        <v>168.37965272686901</v>
      </c>
      <c r="CK218">
        <f t="shared" si="204"/>
        <v>84.273234082874652</v>
      </c>
      <c r="CS218">
        <v>29</v>
      </c>
      <c r="CT218">
        <f>CT190</f>
        <v>456.62507176211642</v>
      </c>
      <c r="CU218">
        <f t="shared" si="174"/>
        <v>168.37965272686901</v>
      </c>
      <c r="CV218">
        <f t="shared" si="205"/>
        <v>84.273234082874652</v>
      </c>
      <c r="DD218">
        <v>29</v>
      </c>
      <c r="DE218">
        <f>DE190</f>
        <v>456.62507176211642</v>
      </c>
      <c r="DF218">
        <f t="shared" si="175"/>
        <v>168.37965272686901</v>
      </c>
      <c r="DG218">
        <f t="shared" si="206"/>
        <v>84.273234082874652</v>
      </c>
      <c r="DO218">
        <v>29</v>
      </c>
      <c r="DP218">
        <f>DP190</f>
        <v>456.62507176211642</v>
      </c>
      <c r="DQ218">
        <f t="shared" si="176"/>
        <v>168.37965272686901</v>
      </c>
      <c r="DR218">
        <f t="shared" si="207"/>
        <v>84.273234082874652</v>
      </c>
      <c r="DZ218">
        <v>29</v>
      </c>
      <c r="EA218">
        <f>EA190</f>
        <v>456.62507176211642</v>
      </c>
      <c r="EB218">
        <f t="shared" si="177"/>
        <v>168.37965272686901</v>
      </c>
      <c r="EC218">
        <f t="shared" si="208"/>
        <v>84.273234082874652</v>
      </c>
      <c r="EK218">
        <v>29</v>
      </c>
      <c r="EL218">
        <f>EL190</f>
        <v>456.62507176211642</v>
      </c>
      <c r="EM218">
        <f t="shared" si="178"/>
        <v>168.37965272686901</v>
      </c>
      <c r="EN218">
        <f t="shared" si="209"/>
        <v>84.273234082874652</v>
      </c>
      <c r="EV218">
        <v>29</v>
      </c>
      <c r="EW218">
        <f>EW190</f>
        <v>456.62507176211642</v>
      </c>
      <c r="EX218">
        <f t="shared" si="179"/>
        <v>168.37965272686901</v>
      </c>
      <c r="EY218">
        <f t="shared" si="210"/>
        <v>84.273234082874652</v>
      </c>
      <c r="FH218">
        <v>29</v>
      </c>
      <c r="FI218">
        <f>FI190</f>
        <v>456.62507176211642</v>
      </c>
      <c r="FJ218">
        <f t="shared" si="180"/>
        <v>168.37965272686901</v>
      </c>
      <c r="FK218">
        <f t="shared" si="211"/>
        <v>84.273234082874652</v>
      </c>
    </row>
    <row r="219" spans="1:172" x14ac:dyDescent="0.25">
      <c r="I219">
        <v>30</v>
      </c>
      <c r="J219">
        <f>J191</f>
        <v>456.62507176211642</v>
      </c>
      <c r="K219">
        <f t="shared" si="196"/>
        <v>162.6856548085691</v>
      </c>
      <c r="L219">
        <f t="shared" si="197"/>
        <v>79.503051021579864</v>
      </c>
      <c r="T219">
        <v>30</v>
      </c>
      <c r="U219">
        <f>U191</f>
        <v>456.62507176211642</v>
      </c>
      <c r="V219">
        <f t="shared" si="167"/>
        <v>162.6856548085691</v>
      </c>
      <c r="W219">
        <f t="shared" si="198"/>
        <v>79.503051021579864</v>
      </c>
      <c r="AE219">
        <v>30</v>
      </c>
      <c r="AF219">
        <f>AF191</f>
        <v>456.62507176211642</v>
      </c>
      <c r="AG219">
        <f t="shared" si="168"/>
        <v>162.6856548085691</v>
      </c>
      <c r="AH219">
        <f t="shared" si="199"/>
        <v>79.503051021579864</v>
      </c>
      <c r="AP219">
        <v>30</v>
      </c>
      <c r="AQ219">
        <f>AQ191</f>
        <v>456.62507176211642</v>
      </c>
      <c r="AR219">
        <f t="shared" si="169"/>
        <v>162.6856548085691</v>
      </c>
      <c r="AS219">
        <f t="shared" si="200"/>
        <v>79.503051021579864</v>
      </c>
      <c r="BA219">
        <v>30</v>
      </c>
      <c r="BB219">
        <f>BB191</f>
        <v>456.62507176211642</v>
      </c>
      <c r="BC219">
        <f t="shared" si="170"/>
        <v>162.6856548085691</v>
      </c>
      <c r="BD219">
        <f t="shared" si="201"/>
        <v>79.503051021579864</v>
      </c>
      <c r="BL219">
        <v>30</v>
      </c>
      <c r="BM219">
        <f>BM191</f>
        <v>456.62507176211642</v>
      </c>
      <c r="BN219">
        <f t="shared" si="171"/>
        <v>162.6856548085691</v>
      </c>
      <c r="BO219">
        <f t="shared" si="202"/>
        <v>79.503051021579864</v>
      </c>
      <c r="BW219">
        <v>30</v>
      </c>
      <c r="BX219">
        <f>BX191</f>
        <v>456.62507176211642</v>
      </c>
      <c r="BY219">
        <f t="shared" si="172"/>
        <v>162.6856548085691</v>
      </c>
      <c r="BZ219">
        <f t="shared" si="203"/>
        <v>79.503051021579864</v>
      </c>
      <c r="CH219">
        <v>30</v>
      </c>
      <c r="CI219">
        <f>CI191</f>
        <v>456.62507176211642</v>
      </c>
      <c r="CJ219">
        <f t="shared" si="173"/>
        <v>162.6856548085691</v>
      </c>
      <c r="CK219">
        <f t="shared" si="204"/>
        <v>79.503051021579864</v>
      </c>
      <c r="CS219">
        <v>30</v>
      </c>
      <c r="CT219">
        <f>CT191</f>
        <v>456.62507176211642</v>
      </c>
      <c r="CU219">
        <f t="shared" si="174"/>
        <v>162.6856548085691</v>
      </c>
      <c r="CV219">
        <f t="shared" si="205"/>
        <v>79.503051021579864</v>
      </c>
      <c r="DD219">
        <v>30</v>
      </c>
      <c r="DE219">
        <f>DE191</f>
        <v>456.62507176211642</v>
      </c>
      <c r="DF219">
        <f t="shared" si="175"/>
        <v>162.6856548085691</v>
      </c>
      <c r="DG219">
        <f t="shared" si="206"/>
        <v>79.503051021579864</v>
      </c>
      <c r="DO219">
        <v>30</v>
      </c>
      <c r="DP219">
        <f>DP191</f>
        <v>456.62507176211642</v>
      </c>
      <c r="DQ219">
        <f t="shared" si="176"/>
        <v>162.6856548085691</v>
      </c>
      <c r="DR219">
        <f t="shared" si="207"/>
        <v>79.503051021579864</v>
      </c>
      <c r="DZ219">
        <v>30</v>
      </c>
      <c r="EA219">
        <f>EA191</f>
        <v>456.62507176211642</v>
      </c>
      <c r="EB219">
        <f t="shared" si="177"/>
        <v>162.6856548085691</v>
      </c>
      <c r="EC219">
        <f t="shared" si="208"/>
        <v>79.503051021579864</v>
      </c>
      <c r="EK219">
        <v>30</v>
      </c>
      <c r="EL219">
        <f>EL191</f>
        <v>456.62507176211642</v>
      </c>
      <c r="EM219">
        <f t="shared" si="178"/>
        <v>162.6856548085691</v>
      </c>
      <c r="EN219">
        <f t="shared" si="209"/>
        <v>79.503051021579864</v>
      </c>
      <c r="EV219">
        <v>30</v>
      </c>
      <c r="EW219">
        <f>EW191</f>
        <v>456.62507176211642</v>
      </c>
      <c r="EX219">
        <f t="shared" si="179"/>
        <v>162.6856548085691</v>
      </c>
      <c r="EY219">
        <f t="shared" si="210"/>
        <v>79.503051021579864</v>
      </c>
      <c r="FH219">
        <v>30</v>
      </c>
      <c r="FI219">
        <f>FI191</f>
        <v>456.62507176211642</v>
      </c>
      <c r="FJ219">
        <f t="shared" si="180"/>
        <v>162.6856548085691</v>
      </c>
      <c r="FK219">
        <f t="shared" si="211"/>
        <v>79.503051021579864</v>
      </c>
    </row>
    <row r="220" spans="1:172" x14ac:dyDescent="0.25">
      <c r="I220" t="s">
        <v>1615</v>
      </c>
      <c r="T220" t="s">
        <v>1615</v>
      </c>
      <c r="AE220" t="s">
        <v>1615</v>
      </c>
      <c r="AF220"/>
      <c r="AP220" t="s">
        <v>1615</v>
      </c>
      <c r="BA220" t="s">
        <v>1615</v>
      </c>
      <c r="BL220" t="s">
        <v>1615</v>
      </c>
      <c r="BW220" t="s">
        <v>1615</v>
      </c>
      <c r="CH220" t="s">
        <v>1615</v>
      </c>
      <c r="CS220" t="s">
        <v>1615</v>
      </c>
      <c r="DD220" t="s">
        <v>1615</v>
      </c>
      <c r="DO220" t="s">
        <v>1615</v>
      </c>
      <c r="DZ220" t="s">
        <v>1615</v>
      </c>
      <c r="EK220" t="s">
        <v>1615</v>
      </c>
      <c r="EV220" t="s">
        <v>1615</v>
      </c>
      <c r="FH220" t="s">
        <v>1615</v>
      </c>
    </row>
    <row r="221" spans="1:172" x14ac:dyDescent="0.25">
      <c r="J221">
        <f>SUM(J190:J219)</f>
        <v>15274.419225347368</v>
      </c>
      <c r="K221">
        <f t="shared" ref="K221:L221" si="257">SUM(K190:K219)</f>
        <v>9292.8532460963725</v>
      </c>
      <c r="L221">
        <f t="shared" si="257"/>
        <v>6914.5086668608474</v>
      </c>
      <c r="U221">
        <f>SUM(U190:U219)</f>
        <v>16877.875615707977</v>
      </c>
      <c r="V221">
        <f t="shared" ref="V221:W221" si="258">SUM(V190:V219)</f>
        <v>10203.214807666584</v>
      </c>
      <c r="W221">
        <f t="shared" si="258"/>
        <v>7554.7462043436826</v>
      </c>
      <c r="AF221">
        <f>SUM(AF190:AF219)</f>
        <v>20001.42044279899</v>
      </c>
      <c r="AG221">
        <f t="shared" ref="AG221:AH221" si="259">SUM(AG190:AG219)</f>
        <v>11976.605816938514</v>
      </c>
      <c r="AH221">
        <f t="shared" si="259"/>
        <v>8801.9336304165863</v>
      </c>
      <c r="AQ221">
        <f>SUM(AQ190:AQ219)</f>
        <v>23238.605223778894</v>
      </c>
      <c r="AR221">
        <f t="shared" ref="AR221:AS221" si="260">SUM(AR190:AR219)</f>
        <v>13814.515853045845</v>
      </c>
      <c r="AS221">
        <f t="shared" si="260"/>
        <v>10094.495888430583</v>
      </c>
      <c r="BB221">
        <f>SUM(BB190:BB219)</f>
        <v>29636.641098857413</v>
      </c>
      <c r="BC221">
        <f t="shared" ref="BC221:BD221" si="261">SUM(BC190:BC219)</f>
        <v>17446.997512811351</v>
      </c>
      <c r="BD221">
        <f t="shared" si="261"/>
        <v>12649.141439137371</v>
      </c>
      <c r="BM221">
        <f>SUM(BM190:BM219)</f>
        <v>37422.505338912713</v>
      </c>
      <c r="BN221">
        <f t="shared" ref="BN221:BO221" si="262">SUM(BN190:BN219)</f>
        <v>21867.418030862591</v>
      </c>
      <c r="BO221">
        <f t="shared" si="262"/>
        <v>15757.927295862548</v>
      </c>
      <c r="BX221">
        <f>SUM(BX190:BX219)</f>
        <v>45328.21623881183</v>
      </c>
      <c r="BY221">
        <f t="shared" ref="BY221:BZ221" si="263">SUM(BY190:BY219)</f>
        <v>26355.881429942761</v>
      </c>
      <c r="BZ221">
        <f t="shared" si="263"/>
        <v>18914.566234739021</v>
      </c>
      <c r="CI221">
        <f>SUM(CI190:CI219)</f>
        <v>61140.846364161946</v>
      </c>
      <c r="CJ221">
        <f t="shared" ref="CJ221:CK221" si="264">SUM(CJ190:CJ219)</f>
        <v>35333.494254329271</v>
      </c>
      <c r="CK221">
        <f t="shared" si="264"/>
        <v>25228.326579854631</v>
      </c>
      <c r="CT221">
        <f>SUM(CT190:CT219)</f>
        <v>76952.268163960165</v>
      </c>
      <c r="CU221">
        <f t="shared" ref="CU221:CV221" si="265">SUM(CU190:CU219)</f>
        <v>44310.42105248959</v>
      </c>
      <c r="CV221">
        <f t="shared" si="265"/>
        <v>31541.604457607566</v>
      </c>
      <c r="DE221">
        <f>SUM(DE190:DE219)</f>
        <v>108576.32008910851</v>
      </c>
      <c r="DF221">
        <f t="shared" ref="DF221:DG221" si="266">SUM(DF190:DF219)</f>
        <v>62264.960675036418</v>
      </c>
      <c r="DG221">
        <f t="shared" si="266"/>
        <v>44168.642680476121</v>
      </c>
      <c r="DP221">
        <f>SUM(DP190:DP219)</f>
        <v>140200.37201425689</v>
      </c>
      <c r="DQ221">
        <f t="shared" ref="DQ221:DR221" si="267">SUM(DQ190:DQ219)</f>
        <v>80219.500297583247</v>
      </c>
      <c r="DR221">
        <f t="shared" si="267"/>
        <v>56795.680903344677</v>
      </c>
      <c r="EA221">
        <f>SUM(EA190:EA219)</f>
        <v>171265.45940125093</v>
      </c>
      <c r="EB221">
        <f t="shared" ref="EB221:EC221" si="268">SUM(EB190:EB219)</f>
        <v>97856.688083887071</v>
      </c>
      <c r="EC221">
        <f t="shared" si="268"/>
        <v>69199.532464200121</v>
      </c>
      <c r="EL221">
        <f>SUM(EL190:EL219)</f>
        <v>202857.58420455264</v>
      </c>
      <c r="EM221">
        <f t="shared" ref="EM221:EN221" si="269">SUM(EM190:EM219)</f>
        <v>115793.10109901536</v>
      </c>
      <c r="EN221">
        <f t="shared" si="269"/>
        <v>81813.822637297591</v>
      </c>
      <c r="EW221">
        <f>SUM(EW190:EW219)</f>
        <v>235167.89537484501</v>
      </c>
      <c r="EX221">
        <f t="shared" ref="EX221:EY221" si="270">SUM(EX190:EX219)</f>
        <v>134137.26406386643</v>
      </c>
      <c r="EY221">
        <f t="shared" si="270"/>
        <v>94714.874504582811</v>
      </c>
      <c r="FI221">
        <f>SUM(FI190:FI219)</f>
        <v>267822.33760306292</v>
      </c>
      <c r="FJ221">
        <f t="shared" ref="FJ221:FK221" si="271">SUM(FJ190:FJ219)</f>
        <v>152676.80726428924</v>
      </c>
      <c r="FK221">
        <f t="shared" si="271"/>
        <v>107753.33305309861</v>
      </c>
    </row>
    <row r="223" spans="1:172" ht="15.75" thickBot="1" x14ac:dyDescent="0.3">
      <c r="V223">
        <f>V221/10</f>
        <v>1020.3214807666584</v>
      </c>
    </row>
    <row r="224" spans="1:172" s="88" customFormat="1" ht="15.75" thickBot="1" x14ac:dyDescent="0.3">
      <c r="A224" s="86" t="s">
        <v>1628</v>
      </c>
      <c r="G224" s="90"/>
      <c r="R224" s="90"/>
      <c r="AC224" s="90"/>
      <c r="AF224" s="90"/>
      <c r="AN224" s="90"/>
      <c r="AT224" s="90"/>
      <c r="AY224" s="90"/>
      <c r="BG224" s="90"/>
      <c r="BJ224" s="90"/>
      <c r="BU224" s="90"/>
      <c r="CF224" s="90"/>
      <c r="CQ224" s="90"/>
      <c r="DB224" s="90"/>
      <c r="DM224" s="90"/>
      <c r="DX224" s="90"/>
      <c r="EI224" s="90"/>
      <c r="ET224" s="90"/>
      <c r="FE224" s="90"/>
      <c r="FP224" s="90"/>
    </row>
    <row r="226" spans="9:165" x14ac:dyDescent="0.25">
      <c r="I226" t="s">
        <v>1626</v>
      </c>
      <c r="T226" t="s">
        <v>1626</v>
      </c>
      <c r="AE226" t="s">
        <v>1626</v>
      </c>
      <c r="AF226"/>
      <c r="AP226" t="s">
        <v>1626</v>
      </c>
      <c r="BA226" t="s">
        <v>1626</v>
      </c>
      <c r="BL226" t="s">
        <v>1626</v>
      </c>
      <c r="BW226" t="s">
        <v>1626</v>
      </c>
      <c r="CH226" t="s">
        <v>1626</v>
      </c>
      <c r="CS226" t="s">
        <v>1626</v>
      </c>
      <c r="DD226" t="s">
        <v>1626</v>
      </c>
      <c r="DO226" t="s">
        <v>1626</v>
      </c>
      <c r="DZ226" t="s">
        <v>1626</v>
      </c>
      <c r="EK226" t="s">
        <v>1626</v>
      </c>
      <c r="EV226" t="s">
        <v>1626</v>
      </c>
      <c r="FH226" t="s">
        <v>1626</v>
      </c>
    </row>
    <row r="227" spans="9:165" x14ac:dyDescent="0.25">
      <c r="I227" t="s">
        <v>1614</v>
      </c>
      <c r="T227" t="s">
        <v>1614</v>
      </c>
      <c r="AE227" t="s">
        <v>1614</v>
      </c>
      <c r="AF227"/>
      <c r="AP227" t="s">
        <v>1614</v>
      </c>
      <c r="BA227" t="s">
        <v>1614</v>
      </c>
      <c r="BL227" t="s">
        <v>1614</v>
      </c>
      <c r="BW227" t="s">
        <v>1614</v>
      </c>
      <c r="CH227" t="s">
        <v>1614</v>
      </c>
      <c r="CS227" t="s">
        <v>1614</v>
      </c>
      <c r="DD227" t="s">
        <v>1614</v>
      </c>
      <c r="DO227" t="s">
        <v>1614</v>
      </c>
      <c r="DZ227" t="s">
        <v>1614</v>
      </c>
      <c r="EK227" t="s">
        <v>1614</v>
      </c>
      <c r="EV227" t="s">
        <v>1614</v>
      </c>
      <c r="FH227" t="s">
        <v>1614</v>
      </c>
    </row>
    <row r="228" spans="9:165" x14ac:dyDescent="0.25">
      <c r="I228">
        <v>0</v>
      </c>
      <c r="J228">
        <f>M$28+J221</f>
        <v>17626.623182178904</v>
      </c>
      <c r="T228">
        <v>0</v>
      </c>
      <c r="U228">
        <f>X$28+U221</f>
        <v>21433.024646454018</v>
      </c>
      <c r="AE228">
        <v>0</v>
      </c>
      <c r="AF228">
        <f>AI$28+AF221</f>
        <v>28631.500051577139</v>
      </c>
      <c r="AP228">
        <v>0</v>
      </c>
      <c r="AQ228">
        <f>AT$28+AQ221</f>
        <v>36135.823832183713</v>
      </c>
      <c r="BA228">
        <v>0</v>
      </c>
      <c r="BB228">
        <f>BE$28+BB221</f>
        <v>50919.764702206594</v>
      </c>
      <c r="BL228">
        <v>0</v>
      </c>
      <c r="BM228">
        <f>BP$28+BM221</f>
        <v>68950.346116346904</v>
      </c>
      <c r="BW228">
        <v>0</v>
      </c>
      <c r="BX228">
        <f>CA$28+BX221</f>
        <v>86904.274666794779</v>
      </c>
      <c r="CH228">
        <v>0</v>
      </c>
      <c r="CI228" s="121">
        <f>CL$111+CI221</f>
        <v>142492.87064840487</v>
      </c>
      <c r="CS228">
        <v>0</v>
      </c>
      <c r="CT228" s="121">
        <f>CW$111+CT221</f>
        <v>184007.25330779474</v>
      </c>
      <c r="DD228">
        <v>0</v>
      </c>
      <c r="DE228" s="121">
        <f>DH$111+DE221</f>
        <v>269158.12398262438</v>
      </c>
      <c r="DO228">
        <v>0</v>
      </c>
      <c r="DP228" s="121">
        <f>DS$111+DP221</f>
        <v>354308.99465745402</v>
      </c>
      <c r="DZ228">
        <v>0</v>
      </c>
      <c r="EA228" s="121">
        <f>ED$111+EA221</f>
        <v>435712.55630847346</v>
      </c>
      <c r="EK228">
        <v>0</v>
      </c>
      <c r="EL228" s="121">
        <f>EO$111+EL221</f>
        <v>523466.26280521759</v>
      </c>
      <c r="EV228">
        <v>0</v>
      </c>
      <c r="EW228" s="121">
        <f>EZ$111+EW221</f>
        <v>610521.23020936328</v>
      </c>
      <c r="FH228">
        <v>0</v>
      </c>
      <c r="FI228" s="121">
        <f>FL$111+FI221</f>
        <v>699511.18173789559</v>
      </c>
    </row>
    <row r="229" spans="9:165" x14ac:dyDescent="0.25">
      <c r="I229">
        <v>3.5000000000000003E-2</v>
      </c>
      <c r="J229">
        <f>M$28+K221</f>
        <v>11645.05720292791</v>
      </c>
      <c r="T229">
        <v>3.5000000000000003E-2</v>
      </c>
      <c r="U229">
        <f>X$28+V221</f>
        <v>14758.363838412624</v>
      </c>
      <c r="AE229">
        <v>3.5000000000000003E-2</v>
      </c>
      <c r="AF229">
        <f>AI$28+AG221</f>
        <v>20606.685425716663</v>
      </c>
      <c r="AP229">
        <v>3.5000000000000003E-2</v>
      </c>
      <c r="AQ229">
        <f>AT$28+AR221</f>
        <v>26711.734461450662</v>
      </c>
      <c r="BA229">
        <v>3.5000000000000003E-2</v>
      </c>
      <c r="BB229">
        <f>BE$28+BC221</f>
        <v>38730.121116160532</v>
      </c>
      <c r="BL229">
        <v>3.5000000000000003E-2</v>
      </c>
      <c r="BM229">
        <f>BP$28+BN221</f>
        <v>53395.258808296785</v>
      </c>
      <c r="BW229">
        <v>3.5000000000000003E-2</v>
      </c>
      <c r="BX229">
        <f>CA$28+BY221</f>
        <v>67931.93985792571</v>
      </c>
      <c r="CH229">
        <v>3.5000000000000003E-2</v>
      </c>
      <c r="CI229" s="121">
        <f>CL$111+CJ221</f>
        <v>116685.51853857219</v>
      </c>
      <c r="CS229">
        <v>3.5000000000000003E-2</v>
      </c>
      <c r="CT229" s="121">
        <f>CW$111+CU221</f>
        <v>151365.40619632418</v>
      </c>
      <c r="DD229">
        <v>3.5000000000000003E-2</v>
      </c>
      <c r="DE229" s="121">
        <f>DH$111+DF221</f>
        <v>222846.76456855229</v>
      </c>
      <c r="DO229">
        <v>3.5000000000000003E-2</v>
      </c>
      <c r="DP229" s="121">
        <f>DS$111+DQ221</f>
        <v>294328.12294078036</v>
      </c>
      <c r="DZ229">
        <v>3.5000000000000003E-2</v>
      </c>
      <c r="EA229" s="121">
        <f>ED$111+EB221</f>
        <v>362303.78499110963</v>
      </c>
      <c r="EK229">
        <v>3.5000000000000003E-2</v>
      </c>
      <c r="EL229" s="121">
        <f>EO$111+EM221</f>
        <v>436401.77969968028</v>
      </c>
      <c r="EV229">
        <v>3.5000000000000003E-2</v>
      </c>
      <c r="EW229" s="121">
        <f>EZ$111+EX221</f>
        <v>509490.59889838472</v>
      </c>
      <c r="FH229">
        <v>3.5000000000000003E-2</v>
      </c>
      <c r="FI229" s="121">
        <f>FL$111+FJ221</f>
        <v>584365.65139912197</v>
      </c>
    </row>
    <row r="230" spans="9:165" x14ac:dyDescent="0.25">
      <c r="I230">
        <v>0.06</v>
      </c>
      <c r="J230">
        <f>M$28+L221</f>
        <v>9266.7126236923832</v>
      </c>
      <c r="T230">
        <v>0.06</v>
      </c>
      <c r="U230">
        <f>X$28+W221</f>
        <v>12109.895235089723</v>
      </c>
      <c r="AE230">
        <v>0.06</v>
      </c>
      <c r="AF230">
        <f>AI$28+AH221</f>
        <v>17432.013239194734</v>
      </c>
      <c r="AP230">
        <v>0.06</v>
      </c>
      <c r="AQ230">
        <f>AT$28+AS221</f>
        <v>22991.7144968354</v>
      </c>
      <c r="BA230">
        <v>0.06</v>
      </c>
      <c r="BB230">
        <f>BE$28+BD221</f>
        <v>33932.26504248655</v>
      </c>
      <c r="BL230">
        <v>0.06</v>
      </c>
      <c r="BM230">
        <f>BP$28+BO221</f>
        <v>47285.768073296742</v>
      </c>
      <c r="BW230">
        <v>0.06</v>
      </c>
      <c r="BX230">
        <f>CA$28+BZ221</f>
        <v>60490.624662721966</v>
      </c>
      <c r="CH230">
        <v>0.06</v>
      </c>
      <c r="CI230" s="121">
        <f>CL$111+CK221</f>
        <v>106580.35086409755</v>
      </c>
      <c r="CS230">
        <v>0.06</v>
      </c>
      <c r="CT230" s="121">
        <f>CW$111+CV221</f>
        <v>138596.58960144216</v>
      </c>
      <c r="DD230">
        <v>0.06</v>
      </c>
      <c r="DE230" s="121">
        <f>DH$111+DG221</f>
        <v>204750.446573992</v>
      </c>
      <c r="DO230">
        <v>0.06</v>
      </c>
      <c r="DP230" s="121">
        <f>DS$111+DR221</f>
        <v>270904.30354654184</v>
      </c>
      <c r="DZ230">
        <v>0.06</v>
      </c>
      <c r="EA230" s="121">
        <f>ED$111+EC221</f>
        <v>333646.62937142263</v>
      </c>
      <c r="EK230">
        <v>0.06</v>
      </c>
      <c r="EL230" s="121">
        <f>EO$111+EN221</f>
        <v>402422.50123796251</v>
      </c>
      <c r="EV230">
        <v>0.06</v>
      </c>
      <c r="EW230" s="121">
        <f>EZ$111+EY221</f>
        <v>470068.2093391011</v>
      </c>
      <c r="FH230">
        <v>0.06</v>
      </c>
      <c r="FI230" s="121">
        <f>FL$111+FK221</f>
        <v>539442.17718793137</v>
      </c>
    </row>
    <row r="240" spans="9:165" ht="15.75" thickBot="1" x14ac:dyDescent="0.3"/>
    <row r="241" spans="1:172" s="88" customFormat="1" ht="15.75" thickBot="1" x14ac:dyDescent="0.3">
      <c r="A241" s="129" t="s">
        <v>1579</v>
      </c>
      <c r="B241" s="130"/>
      <c r="C241" s="130"/>
      <c r="D241" s="130"/>
      <c r="E241" s="130"/>
      <c r="F241" s="130"/>
      <c r="G241" s="131"/>
      <c r="R241" s="90"/>
      <c r="AC241" s="90"/>
      <c r="AN241" s="90"/>
      <c r="AY241" s="90"/>
      <c r="BJ241" s="90"/>
      <c r="BU241" s="90"/>
      <c r="CF241" s="90"/>
      <c r="CQ241" s="90"/>
      <c r="DB241" s="90"/>
      <c r="DM241" s="90"/>
      <c r="DX241" s="90"/>
      <c r="EI241" s="90"/>
      <c r="ET241" s="90"/>
      <c r="FE241" s="90"/>
      <c r="FP241" s="90"/>
    </row>
    <row r="242" spans="1:172" x14ac:dyDescent="0.25">
      <c r="R242"/>
      <c r="AC242"/>
      <c r="AF242"/>
      <c r="AN242"/>
      <c r="AT242"/>
      <c r="AY242"/>
      <c r="BG242"/>
    </row>
    <row r="243" spans="1:172" x14ac:dyDescent="0.25">
      <c r="A243" t="s">
        <v>217</v>
      </c>
      <c r="R243"/>
      <c r="AC243"/>
      <c r="AF243"/>
      <c r="AN243"/>
      <c r="AT243"/>
      <c r="AY243"/>
      <c r="BG243"/>
    </row>
    <row r="244" spans="1:172" x14ac:dyDescent="0.25">
      <c r="R244"/>
      <c r="AC244"/>
      <c r="AF244"/>
      <c r="AN244"/>
      <c r="AT244"/>
      <c r="AY244"/>
      <c r="BG244"/>
    </row>
    <row r="245" spans="1:172" x14ac:dyDescent="0.25">
      <c r="B245" t="s">
        <v>1587</v>
      </c>
      <c r="I245" t="str">
        <f>B319</f>
        <v>Dry</v>
      </c>
      <c r="R245"/>
      <c r="AC245"/>
      <c r="AF245"/>
      <c r="AN245"/>
      <c r="AT245"/>
      <c r="AY245"/>
      <c r="BG245"/>
    </row>
    <row r="246" spans="1:172" x14ac:dyDescent="0.25">
      <c r="C246" s="122" t="s">
        <v>129</v>
      </c>
      <c r="D246" s="122"/>
      <c r="M246" t="s">
        <v>250</v>
      </c>
      <c r="P246" t="s">
        <v>251</v>
      </c>
      <c r="R246"/>
      <c r="V246" t="s">
        <v>254</v>
      </c>
      <c r="Z246" s="143" t="s">
        <v>263</v>
      </c>
      <c r="AA246" s="143"/>
      <c r="AB246" s="143"/>
      <c r="AC246" s="143"/>
      <c r="AD246" s="143"/>
      <c r="AF246" s="10" t="s">
        <v>206</v>
      </c>
      <c r="AL246" t="s">
        <v>205</v>
      </c>
      <c r="AN246"/>
      <c r="AT246"/>
      <c r="AY246"/>
      <c r="BG246"/>
    </row>
    <row r="247" spans="1:172" x14ac:dyDescent="0.25">
      <c r="C247" t="s">
        <v>150</v>
      </c>
      <c r="D247" t="s">
        <v>116</v>
      </c>
      <c r="E247" t="s">
        <v>150</v>
      </c>
      <c r="F247" t="s">
        <v>116</v>
      </c>
      <c r="I247" t="str">
        <f t="shared" ref="I247:I261" si="272">B321</f>
        <v>PE</v>
      </c>
      <c r="J247" t="str">
        <f t="shared" ref="J247:J261" si="273">C321</f>
        <v>Length</v>
      </c>
      <c r="K247" t="str">
        <f t="shared" ref="K247:K261" si="274">D321</f>
        <v>Width</v>
      </c>
      <c r="M247" t="s">
        <v>245</v>
      </c>
      <c r="N247" t="s">
        <v>116</v>
      </c>
      <c r="P247" t="s">
        <v>245</v>
      </c>
      <c r="Q247" t="s">
        <v>116</v>
      </c>
      <c r="R247"/>
      <c r="V247" t="s">
        <v>245</v>
      </c>
      <c r="W247" t="s">
        <v>116</v>
      </c>
      <c r="X247" t="s">
        <v>125</v>
      </c>
      <c r="Z247" t="s">
        <v>261</v>
      </c>
      <c r="AA247" t="s">
        <v>231</v>
      </c>
      <c r="AB247" t="s">
        <v>262</v>
      </c>
      <c r="AC247" s="7" t="s">
        <v>14</v>
      </c>
      <c r="AD247" s="7" t="s">
        <v>100</v>
      </c>
      <c r="AF247" t="s">
        <v>261</v>
      </c>
      <c r="AG247" t="s">
        <v>231</v>
      </c>
      <c r="AH247" t="s">
        <v>262</v>
      </c>
      <c r="AI247" t="s">
        <v>14</v>
      </c>
      <c r="AJ247" t="s">
        <v>100</v>
      </c>
      <c r="AL247" t="s">
        <v>261</v>
      </c>
      <c r="AM247" t="s">
        <v>231</v>
      </c>
      <c r="AN247" t="s">
        <v>262</v>
      </c>
      <c r="AO247" t="s">
        <v>14</v>
      </c>
      <c r="AP247" t="s">
        <v>100</v>
      </c>
      <c r="AQ247" t="s">
        <v>156</v>
      </c>
      <c r="AR247" t="s">
        <v>125</v>
      </c>
      <c r="AT247"/>
      <c r="BG247"/>
    </row>
    <row r="248" spans="1:172" x14ac:dyDescent="0.25">
      <c r="B248">
        <v>5</v>
      </c>
      <c r="C248">
        <f>'ABR Design'!J23</f>
        <v>3</v>
      </c>
      <c r="D248">
        <f>'ABR Design'!K23</f>
        <v>1</v>
      </c>
      <c r="E248">
        <f>C248+0.3</f>
        <v>3.3</v>
      </c>
      <c r="F248">
        <f>D248+0.3</f>
        <v>1.3</v>
      </c>
      <c r="I248">
        <f t="shared" si="272"/>
        <v>5</v>
      </c>
      <c r="J248">
        <f t="shared" si="273"/>
        <v>6.3</v>
      </c>
      <c r="K248">
        <f t="shared" si="274"/>
        <v>5</v>
      </c>
      <c r="M248">
        <f t="shared" ref="M248:M257" si="275">ROUNDUP((J248/2.75),0)</f>
        <v>3</v>
      </c>
      <c r="N248">
        <f t="shared" ref="N248:N257" si="276">ROUNDUP((K248/2.75),0)</f>
        <v>2</v>
      </c>
      <c r="P248">
        <f t="shared" ref="P248:P261" si="277">(M248*2.75)-J248</f>
        <v>1.9500000000000002</v>
      </c>
      <c r="Q248">
        <f t="shared" ref="Q248:Q261" si="278">(N248*2.75)-K248</f>
        <v>0.5</v>
      </c>
      <c r="R248"/>
      <c r="S248">
        <f t="shared" ref="S248:S257" si="279">P248/2</f>
        <v>0.97500000000000009</v>
      </c>
      <c r="T248">
        <f t="shared" ref="T248:T257" si="280">Q248/2</f>
        <v>0.25</v>
      </c>
      <c r="V248">
        <f t="shared" ref="V248:V261" si="281">IF(S248&gt;1,M248,M248+1)</f>
        <v>4</v>
      </c>
      <c r="W248">
        <f t="shared" ref="W248:W261" si="282">IF(T248&gt;1,N248,N248+1)</f>
        <v>3</v>
      </c>
      <c r="X248">
        <f t="shared" ref="X248:X261" si="283">(V248*2-1)+W248*2</f>
        <v>13</v>
      </c>
      <c r="Z248">
        <f>X248</f>
        <v>13</v>
      </c>
      <c r="AA248">
        <v>4</v>
      </c>
      <c r="AB248">
        <v>1</v>
      </c>
      <c r="AC248" s="7">
        <f>Fencing!$C$15*(Z248+AA248+2)</f>
        <v>3.4627500000000007</v>
      </c>
      <c r="AD248" s="7">
        <f>AC248</f>
        <v>3.4627500000000007</v>
      </c>
      <c r="AF248" s="5">
        <f>Fencing!$C$26</f>
        <v>112.824</v>
      </c>
      <c r="AG248" s="5">
        <f>Fencing!$C$34</f>
        <v>36.384</v>
      </c>
      <c r="AH248" s="5">
        <f>Fencing!$C$56</f>
        <v>539.4</v>
      </c>
      <c r="AI248">
        <f>Index!$C$69</f>
        <v>11.9580460758</v>
      </c>
      <c r="AJ248" s="5">
        <f>Index!$C$53</f>
        <v>99.508928571428555</v>
      </c>
      <c r="AL248">
        <f>Z248*AF248</f>
        <v>1466.712</v>
      </c>
      <c r="AM248">
        <f t="shared" ref="AM248:AP248" si="284">AA248*AG248</f>
        <v>145.536</v>
      </c>
      <c r="AN248">
        <f t="shared" si="284"/>
        <v>539.4</v>
      </c>
      <c r="AO248">
        <f t="shared" si="284"/>
        <v>41.407724048976462</v>
      </c>
      <c r="AP248">
        <f t="shared" si="284"/>
        <v>344.57454241071429</v>
      </c>
      <c r="AQ248">
        <v>5</v>
      </c>
      <c r="AR248">
        <f>SUM(AL248:AP248)</f>
        <v>2537.630266459691</v>
      </c>
      <c r="AT248"/>
      <c r="BG248"/>
    </row>
    <row r="249" spans="1:172" x14ac:dyDescent="0.25">
      <c r="B249">
        <v>10</v>
      </c>
      <c r="C249">
        <f>'ABR Design'!J24</f>
        <v>4.0451991747794525</v>
      </c>
      <c r="D249">
        <f>'ABR Design'!K24</f>
        <v>1.3483997249264841</v>
      </c>
      <c r="E249">
        <f t="shared" ref="E249:E261" si="285">C249+0.3</f>
        <v>4.3451991747794523</v>
      </c>
      <c r="F249">
        <f t="shared" ref="F249:F261" si="286">D249+0.3</f>
        <v>1.6483997249264841</v>
      </c>
      <c r="I249">
        <f t="shared" si="272"/>
        <v>10</v>
      </c>
      <c r="J249">
        <f t="shared" si="273"/>
        <v>8.7483997249264842</v>
      </c>
      <c r="K249">
        <f t="shared" si="274"/>
        <v>7.1</v>
      </c>
      <c r="M249">
        <f t="shared" si="275"/>
        <v>4</v>
      </c>
      <c r="N249">
        <f t="shared" si="276"/>
        <v>3</v>
      </c>
      <c r="P249">
        <f t="shared" si="277"/>
        <v>2.2516002750735158</v>
      </c>
      <c r="Q249">
        <f t="shared" si="278"/>
        <v>1.1500000000000004</v>
      </c>
      <c r="R249"/>
      <c r="S249">
        <f t="shared" si="279"/>
        <v>1.1258001375367579</v>
      </c>
      <c r="T249">
        <f t="shared" si="280"/>
        <v>0.57500000000000018</v>
      </c>
      <c r="V249">
        <f t="shared" si="281"/>
        <v>4</v>
      </c>
      <c r="W249">
        <f t="shared" si="282"/>
        <v>4</v>
      </c>
      <c r="X249">
        <f t="shared" si="283"/>
        <v>15</v>
      </c>
      <c r="Z249">
        <f t="shared" ref="Z249:Z261" si="287">X249</f>
        <v>15</v>
      </c>
      <c r="AA249">
        <v>4</v>
      </c>
      <c r="AB249">
        <v>1</v>
      </c>
      <c r="AC249" s="7">
        <f>Fencing!$C$15*(Z249+AA249+2)</f>
        <v>3.8272500000000003</v>
      </c>
      <c r="AD249" s="7">
        <f t="shared" ref="AD249:AD261" si="288">AC249</f>
        <v>3.8272500000000003</v>
      </c>
      <c r="AF249" s="5">
        <f>Fencing!$C$26</f>
        <v>112.824</v>
      </c>
      <c r="AG249" s="5">
        <f>Fencing!$C$34</f>
        <v>36.384</v>
      </c>
      <c r="AH249" s="5">
        <f>Fencing!$C$56</f>
        <v>539.4</v>
      </c>
      <c r="AI249">
        <f>Index!$C$69</f>
        <v>11.9580460758</v>
      </c>
      <c r="AJ249" s="5">
        <f>Index!$C$53</f>
        <v>99.508928571428555</v>
      </c>
      <c r="AL249">
        <f t="shared" ref="AL249:AL261" si="289">Z249*AF249</f>
        <v>1692.36</v>
      </c>
      <c r="AM249">
        <f t="shared" ref="AM249:AM261" si="290">AA249*AG249</f>
        <v>145.536</v>
      </c>
      <c r="AN249">
        <f t="shared" ref="AN249:AN261" si="291">AB249*AH249</f>
        <v>539.4</v>
      </c>
      <c r="AO249">
        <f t="shared" ref="AO249:AO261" si="292">AC249*AI249</f>
        <v>45.766431843605552</v>
      </c>
      <c r="AP249">
        <f t="shared" ref="AP249:AP261" si="293">AD249*AJ249</f>
        <v>380.84554687499997</v>
      </c>
      <c r="AQ249">
        <v>10</v>
      </c>
      <c r="AR249">
        <f t="shared" ref="AR249:AR261" si="294">SUM(AL249:AP249)</f>
        <v>2803.9079787186051</v>
      </c>
      <c r="AT249"/>
      <c r="BG249"/>
    </row>
    <row r="250" spans="1:172" x14ac:dyDescent="0.25">
      <c r="B250">
        <v>20</v>
      </c>
      <c r="C250">
        <f>'ABR Design'!J25</f>
        <v>5.7207755354735541</v>
      </c>
      <c r="D250">
        <f>'ABR Design'!K25</f>
        <v>1.9069251784911847</v>
      </c>
      <c r="E250">
        <f t="shared" si="285"/>
        <v>6.0207755354735539</v>
      </c>
      <c r="F250">
        <f t="shared" si="286"/>
        <v>2.2069251784911845</v>
      </c>
      <c r="I250">
        <f t="shared" si="272"/>
        <v>20</v>
      </c>
      <c r="J250">
        <f t="shared" si="273"/>
        <v>12.206925178491185</v>
      </c>
      <c r="K250">
        <f t="shared" si="274"/>
        <v>10</v>
      </c>
      <c r="M250">
        <f t="shared" si="275"/>
        <v>5</v>
      </c>
      <c r="N250">
        <f t="shared" si="276"/>
        <v>4</v>
      </c>
      <c r="P250">
        <f t="shared" si="277"/>
        <v>1.5430748215088155</v>
      </c>
      <c r="Q250">
        <f t="shared" si="278"/>
        <v>1</v>
      </c>
      <c r="R250"/>
      <c r="S250">
        <f t="shared" si="279"/>
        <v>0.77153741075440774</v>
      </c>
      <c r="T250">
        <f t="shared" si="280"/>
        <v>0.5</v>
      </c>
      <c r="V250">
        <f t="shared" si="281"/>
        <v>6</v>
      </c>
      <c r="W250">
        <f t="shared" si="282"/>
        <v>5</v>
      </c>
      <c r="X250">
        <f t="shared" si="283"/>
        <v>21</v>
      </c>
      <c r="Z250">
        <f t="shared" si="287"/>
        <v>21</v>
      </c>
      <c r="AA250">
        <v>4</v>
      </c>
      <c r="AB250">
        <v>1</v>
      </c>
      <c r="AC250" s="7">
        <f>Fencing!$C$15*(Z250+AA250+2)</f>
        <v>4.9207500000000008</v>
      </c>
      <c r="AD250" s="7">
        <f t="shared" si="288"/>
        <v>4.9207500000000008</v>
      </c>
      <c r="AF250" s="5">
        <f>Fencing!$C$26</f>
        <v>112.824</v>
      </c>
      <c r="AG250" s="5">
        <f>Fencing!$C$34</f>
        <v>36.384</v>
      </c>
      <c r="AH250" s="5">
        <f>Fencing!$C$56</f>
        <v>539.4</v>
      </c>
      <c r="AI250">
        <f>Index!$C$69</f>
        <v>11.9580460758</v>
      </c>
      <c r="AJ250" s="5">
        <f>Index!$C$53</f>
        <v>99.508928571428555</v>
      </c>
      <c r="AL250">
        <f t="shared" si="289"/>
        <v>2369.3040000000001</v>
      </c>
      <c r="AM250">
        <f t="shared" si="290"/>
        <v>145.536</v>
      </c>
      <c r="AN250">
        <f t="shared" si="291"/>
        <v>539.4</v>
      </c>
      <c r="AO250">
        <f t="shared" si="292"/>
        <v>58.842555227492859</v>
      </c>
      <c r="AP250">
        <f t="shared" si="293"/>
        <v>489.65856026785713</v>
      </c>
      <c r="AQ250">
        <v>20</v>
      </c>
      <c r="AR250">
        <f t="shared" si="294"/>
        <v>3602.7411154953502</v>
      </c>
      <c r="AT250"/>
      <c r="BG250"/>
    </row>
    <row r="251" spans="1:172" x14ac:dyDescent="0.25">
      <c r="B251">
        <v>30</v>
      </c>
      <c r="C251">
        <f>'ABR Design'!J26</f>
        <v>7.0064904974537061</v>
      </c>
      <c r="D251">
        <f>'ABR Design'!K26</f>
        <v>2.3354968324845689</v>
      </c>
      <c r="E251">
        <f t="shared" si="285"/>
        <v>7.3064904974537059</v>
      </c>
      <c r="F251">
        <f t="shared" si="286"/>
        <v>2.6354968324845687</v>
      </c>
      <c r="I251">
        <f t="shared" si="272"/>
        <v>30</v>
      </c>
      <c r="J251">
        <f t="shared" si="273"/>
        <v>14.935496832484567</v>
      </c>
      <c r="K251">
        <f t="shared" si="274"/>
        <v>12.299999999999999</v>
      </c>
      <c r="M251">
        <f t="shared" si="275"/>
        <v>6</v>
      </c>
      <c r="N251">
        <f t="shared" si="276"/>
        <v>5</v>
      </c>
      <c r="P251">
        <f t="shared" si="277"/>
        <v>1.5645031675154328</v>
      </c>
      <c r="Q251">
        <f t="shared" si="278"/>
        <v>1.4500000000000011</v>
      </c>
      <c r="R251"/>
      <c r="S251">
        <f t="shared" si="279"/>
        <v>0.78225158375771642</v>
      </c>
      <c r="T251">
        <f t="shared" si="280"/>
        <v>0.72500000000000053</v>
      </c>
      <c r="V251">
        <f t="shared" si="281"/>
        <v>7</v>
      </c>
      <c r="W251">
        <f t="shared" si="282"/>
        <v>6</v>
      </c>
      <c r="X251">
        <f t="shared" si="283"/>
        <v>25</v>
      </c>
      <c r="Z251">
        <f t="shared" si="287"/>
        <v>25</v>
      </c>
      <c r="AA251">
        <v>4</v>
      </c>
      <c r="AB251">
        <v>1</v>
      </c>
      <c r="AC251" s="7">
        <f>Fencing!$C$15*(Z251+AA251+2)</f>
        <v>5.6497500000000009</v>
      </c>
      <c r="AD251" s="7">
        <f t="shared" si="288"/>
        <v>5.6497500000000009</v>
      </c>
      <c r="AF251" s="5">
        <f>Fencing!$C$26</f>
        <v>112.824</v>
      </c>
      <c r="AG251" s="5">
        <f>Fencing!$C$34</f>
        <v>36.384</v>
      </c>
      <c r="AH251" s="5">
        <f>Fencing!$C$56</f>
        <v>539.4</v>
      </c>
      <c r="AI251">
        <f>Index!$C$69</f>
        <v>11.9580460758</v>
      </c>
      <c r="AJ251" s="5">
        <f>Index!$C$53</f>
        <v>99.508928571428555</v>
      </c>
      <c r="AL251">
        <f t="shared" si="289"/>
        <v>2820.6</v>
      </c>
      <c r="AM251">
        <f t="shared" si="290"/>
        <v>145.536</v>
      </c>
      <c r="AN251">
        <f t="shared" si="291"/>
        <v>539.4</v>
      </c>
      <c r="AO251">
        <f t="shared" si="292"/>
        <v>67.559970816751061</v>
      </c>
      <c r="AP251">
        <f t="shared" si="293"/>
        <v>562.20056919642855</v>
      </c>
      <c r="AQ251">
        <v>30</v>
      </c>
      <c r="AR251">
        <f t="shared" si="294"/>
        <v>4135.2965400131798</v>
      </c>
      <c r="AT251"/>
      <c r="BG251"/>
    </row>
    <row r="252" spans="1:172" x14ac:dyDescent="0.25">
      <c r="B252">
        <v>50</v>
      </c>
      <c r="C252">
        <f>'ABR Design'!J27</f>
        <v>9.0453403373329078</v>
      </c>
      <c r="D252">
        <f>'ABR Design'!K27</f>
        <v>3.0151134457776361</v>
      </c>
      <c r="E252">
        <f t="shared" si="285"/>
        <v>9.3453403373329085</v>
      </c>
      <c r="F252">
        <f t="shared" si="286"/>
        <v>3.3151134457776359</v>
      </c>
      <c r="I252">
        <f t="shared" si="272"/>
        <v>50</v>
      </c>
      <c r="J252">
        <f t="shared" si="273"/>
        <v>19.215113445777636</v>
      </c>
      <c r="K252">
        <f t="shared" si="274"/>
        <v>15.9</v>
      </c>
      <c r="M252">
        <f t="shared" si="275"/>
        <v>7</v>
      </c>
      <c r="N252">
        <f t="shared" si="276"/>
        <v>6</v>
      </c>
      <c r="P252">
        <f t="shared" si="277"/>
        <v>3.4886554222364197E-2</v>
      </c>
      <c r="Q252">
        <f t="shared" si="278"/>
        <v>0.59999999999999964</v>
      </c>
      <c r="R252"/>
      <c r="S252">
        <f t="shared" si="279"/>
        <v>1.7443277111182098E-2</v>
      </c>
      <c r="T252">
        <f t="shared" si="280"/>
        <v>0.29999999999999982</v>
      </c>
      <c r="V252">
        <f t="shared" si="281"/>
        <v>8</v>
      </c>
      <c r="W252">
        <f t="shared" si="282"/>
        <v>7</v>
      </c>
      <c r="X252">
        <f t="shared" si="283"/>
        <v>29</v>
      </c>
      <c r="Z252">
        <f t="shared" si="287"/>
        <v>29</v>
      </c>
      <c r="AA252">
        <v>4</v>
      </c>
      <c r="AB252">
        <v>1</v>
      </c>
      <c r="AC252" s="7">
        <f>Fencing!$C$15*(Z252+AA252+2)</f>
        <v>6.378750000000001</v>
      </c>
      <c r="AD252" s="7">
        <f t="shared" si="288"/>
        <v>6.378750000000001</v>
      </c>
      <c r="AF252" s="5">
        <f>Fencing!$C$26</f>
        <v>112.824</v>
      </c>
      <c r="AG252" s="5">
        <f>Fencing!$C$34</f>
        <v>36.384</v>
      </c>
      <c r="AH252" s="5">
        <f>Fencing!$C$56</f>
        <v>539.4</v>
      </c>
      <c r="AI252">
        <f>Index!$C$69</f>
        <v>11.9580460758</v>
      </c>
      <c r="AJ252" s="5">
        <f>Index!$C$53</f>
        <v>99.508928571428555</v>
      </c>
      <c r="AL252">
        <f t="shared" si="289"/>
        <v>3271.8959999999997</v>
      </c>
      <c r="AM252">
        <f t="shared" si="290"/>
        <v>145.536</v>
      </c>
      <c r="AN252">
        <f t="shared" si="291"/>
        <v>539.4</v>
      </c>
      <c r="AO252">
        <f t="shared" si="292"/>
        <v>76.277386406009271</v>
      </c>
      <c r="AP252">
        <f t="shared" si="293"/>
        <v>634.74257812500002</v>
      </c>
      <c r="AQ252">
        <v>50</v>
      </c>
      <c r="AR252">
        <f t="shared" si="294"/>
        <v>4667.8519645310089</v>
      </c>
      <c r="AT252"/>
      <c r="BG252"/>
    </row>
    <row r="253" spans="1:172" x14ac:dyDescent="0.25">
      <c r="B253">
        <v>75</v>
      </c>
      <c r="C253">
        <f>'ABR Design'!J28</f>
        <v>11.078234188139946</v>
      </c>
      <c r="D253">
        <f>'ABR Design'!K28</f>
        <v>3.692744729379982</v>
      </c>
      <c r="E253">
        <f t="shared" si="285"/>
        <v>11.378234188139947</v>
      </c>
      <c r="F253">
        <f t="shared" si="286"/>
        <v>3.9927447293799818</v>
      </c>
      <c r="I253">
        <f t="shared" si="272"/>
        <v>75</v>
      </c>
      <c r="J253">
        <f t="shared" si="273"/>
        <v>23.392744729379984</v>
      </c>
      <c r="K253">
        <f t="shared" si="274"/>
        <v>19.400000000000002</v>
      </c>
      <c r="M253">
        <f t="shared" si="275"/>
        <v>9</v>
      </c>
      <c r="N253">
        <f t="shared" si="276"/>
        <v>8</v>
      </c>
      <c r="P253">
        <f t="shared" si="277"/>
        <v>1.3572552706200156</v>
      </c>
      <c r="Q253">
        <f t="shared" si="278"/>
        <v>2.5999999999999979</v>
      </c>
      <c r="R253"/>
      <c r="S253">
        <f t="shared" si="279"/>
        <v>0.6786276353100078</v>
      </c>
      <c r="T253">
        <f t="shared" si="280"/>
        <v>1.2999999999999989</v>
      </c>
      <c r="V253">
        <f t="shared" si="281"/>
        <v>10</v>
      </c>
      <c r="W253">
        <f t="shared" si="282"/>
        <v>8</v>
      </c>
      <c r="X253">
        <f t="shared" si="283"/>
        <v>35</v>
      </c>
      <c r="Z253">
        <f t="shared" si="287"/>
        <v>35</v>
      </c>
      <c r="AA253">
        <v>4</v>
      </c>
      <c r="AB253">
        <v>1</v>
      </c>
      <c r="AC253" s="7">
        <f>Fencing!$C$15*(Z253+AA253+2)</f>
        <v>7.4722500000000007</v>
      </c>
      <c r="AD253" s="7">
        <f t="shared" si="288"/>
        <v>7.4722500000000007</v>
      </c>
      <c r="AF253" s="5">
        <f>Fencing!$C$26</f>
        <v>112.824</v>
      </c>
      <c r="AG253" s="5">
        <f>Fencing!$C$34</f>
        <v>36.384</v>
      </c>
      <c r="AH253" s="5">
        <f>Fencing!$C$56</f>
        <v>539.4</v>
      </c>
      <c r="AI253">
        <f>Index!$C$69</f>
        <v>11.9580460758</v>
      </c>
      <c r="AJ253" s="5">
        <f>Index!$C$53</f>
        <v>99.508928571428555</v>
      </c>
      <c r="AL253">
        <f t="shared" si="289"/>
        <v>3948.84</v>
      </c>
      <c r="AM253">
        <f t="shared" si="290"/>
        <v>145.536</v>
      </c>
      <c r="AN253">
        <f t="shared" si="291"/>
        <v>539.4</v>
      </c>
      <c r="AO253">
        <f t="shared" si="292"/>
        <v>89.353509789896563</v>
      </c>
      <c r="AP253">
        <f t="shared" si="293"/>
        <v>743.55559151785712</v>
      </c>
      <c r="AQ253">
        <v>75</v>
      </c>
      <c r="AR253">
        <f t="shared" si="294"/>
        <v>5466.6851013077539</v>
      </c>
      <c r="AT253"/>
      <c r="BG253"/>
    </row>
    <row r="254" spans="1:172" x14ac:dyDescent="0.25">
      <c r="B254">
        <v>100</v>
      </c>
      <c r="C254">
        <f>'ABR Design'!J29</f>
        <v>12.792042981336627</v>
      </c>
      <c r="D254">
        <f>'ABR Design'!K29</f>
        <v>4.2640143271122088</v>
      </c>
      <c r="E254">
        <f t="shared" si="285"/>
        <v>13.092042981336627</v>
      </c>
      <c r="F254">
        <f t="shared" si="286"/>
        <v>4.5640143271122087</v>
      </c>
      <c r="I254">
        <f t="shared" si="272"/>
        <v>100</v>
      </c>
      <c r="J254">
        <f t="shared" si="273"/>
        <v>26.96401432711221</v>
      </c>
      <c r="K254">
        <f t="shared" si="274"/>
        <v>22.400000000000002</v>
      </c>
      <c r="M254">
        <f t="shared" si="275"/>
        <v>10</v>
      </c>
      <c r="N254">
        <f t="shared" si="276"/>
        <v>9</v>
      </c>
      <c r="P254">
        <f t="shared" si="277"/>
        <v>0.53598567288779009</v>
      </c>
      <c r="Q254">
        <f t="shared" si="278"/>
        <v>2.3499999999999979</v>
      </c>
      <c r="R254"/>
      <c r="S254">
        <f t="shared" si="279"/>
        <v>0.26799283644389504</v>
      </c>
      <c r="T254">
        <f t="shared" si="280"/>
        <v>1.1749999999999989</v>
      </c>
      <c r="V254">
        <f t="shared" si="281"/>
        <v>11</v>
      </c>
      <c r="W254">
        <f t="shared" si="282"/>
        <v>9</v>
      </c>
      <c r="X254">
        <f t="shared" si="283"/>
        <v>39</v>
      </c>
      <c r="Z254">
        <f t="shared" si="287"/>
        <v>39</v>
      </c>
      <c r="AA254">
        <v>4</v>
      </c>
      <c r="AB254">
        <v>1</v>
      </c>
      <c r="AC254" s="7">
        <f>Fencing!$C$15*(Z254+AA254+2)</f>
        <v>8.2012500000000017</v>
      </c>
      <c r="AD254" s="7">
        <f t="shared" si="288"/>
        <v>8.2012500000000017</v>
      </c>
      <c r="AF254" s="5">
        <f>Fencing!$C$26</f>
        <v>112.824</v>
      </c>
      <c r="AG254" s="5">
        <f>Fencing!$C$34</f>
        <v>36.384</v>
      </c>
      <c r="AH254" s="5">
        <f>Fencing!$C$56</f>
        <v>539.4</v>
      </c>
      <c r="AI254">
        <f>Index!$C$69</f>
        <v>11.9580460758</v>
      </c>
      <c r="AJ254" s="5">
        <f>Index!$C$53</f>
        <v>99.508928571428555</v>
      </c>
      <c r="AL254">
        <f t="shared" si="289"/>
        <v>4400.1359999999995</v>
      </c>
      <c r="AM254">
        <f t="shared" si="290"/>
        <v>145.536</v>
      </c>
      <c r="AN254">
        <f t="shared" si="291"/>
        <v>539.4</v>
      </c>
      <c r="AO254">
        <f t="shared" si="292"/>
        <v>98.070925379154772</v>
      </c>
      <c r="AP254">
        <f t="shared" si="293"/>
        <v>816.0976004464286</v>
      </c>
      <c r="AQ254">
        <v>100</v>
      </c>
      <c r="AR254">
        <f t="shared" si="294"/>
        <v>5999.2405258255822</v>
      </c>
      <c r="AT254"/>
      <c r="BG254"/>
    </row>
    <row r="255" spans="1:172" x14ac:dyDescent="0.25">
      <c r="B255">
        <v>200</v>
      </c>
      <c r="C255">
        <f>'ABR Design'!J30</f>
        <v>18.090680674665816</v>
      </c>
      <c r="D255">
        <f>'ABR Design'!K30</f>
        <v>6.0302268915552721</v>
      </c>
      <c r="E255">
        <f t="shared" si="285"/>
        <v>18.390680674665816</v>
      </c>
      <c r="F255">
        <f t="shared" si="286"/>
        <v>6.330226891555272</v>
      </c>
      <c r="I255">
        <f t="shared" si="272"/>
        <v>200</v>
      </c>
      <c r="J255">
        <f t="shared" si="273"/>
        <v>51.130226891555274</v>
      </c>
      <c r="K255">
        <f t="shared" si="274"/>
        <v>22.400000000000002</v>
      </c>
      <c r="M255">
        <f t="shared" si="275"/>
        <v>19</v>
      </c>
      <c r="N255">
        <f t="shared" si="276"/>
        <v>9</v>
      </c>
      <c r="P255">
        <f t="shared" si="277"/>
        <v>1.1197731084447256</v>
      </c>
      <c r="Q255">
        <f t="shared" si="278"/>
        <v>2.3499999999999979</v>
      </c>
      <c r="R255"/>
      <c r="S255">
        <f t="shared" si="279"/>
        <v>0.55988655422236278</v>
      </c>
      <c r="T255">
        <f t="shared" si="280"/>
        <v>1.1749999999999989</v>
      </c>
      <c r="V255">
        <f t="shared" si="281"/>
        <v>20</v>
      </c>
      <c r="W255">
        <f t="shared" si="282"/>
        <v>9</v>
      </c>
      <c r="X255">
        <f t="shared" si="283"/>
        <v>57</v>
      </c>
      <c r="Z255">
        <f t="shared" si="287"/>
        <v>57</v>
      </c>
      <c r="AA255">
        <v>4</v>
      </c>
      <c r="AB255">
        <v>1</v>
      </c>
      <c r="AC255" s="7">
        <f>Fencing!$C$15*(Z255+AA255+2)</f>
        <v>11.481750000000002</v>
      </c>
      <c r="AD255" s="7">
        <f t="shared" si="288"/>
        <v>11.481750000000002</v>
      </c>
      <c r="AF255" s="5">
        <f>Fencing!$C$26</f>
        <v>112.824</v>
      </c>
      <c r="AG255" s="5">
        <f>Fencing!$C$34</f>
        <v>36.384</v>
      </c>
      <c r="AH255" s="5">
        <f>Fencing!$C$56</f>
        <v>539.4</v>
      </c>
      <c r="AI255">
        <f>Index!$C$69</f>
        <v>11.9580460758</v>
      </c>
      <c r="AJ255" s="5">
        <f>Index!$C$53</f>
        <v>99.508928571428555</v>
      </c>
      <c r="AL255">
        <f t="shared" si="289"/>
        <v>6430.9679999999998</v>
      </c>
      <c r="AM255">
        <f t="shared" si="290"/>
        <v>145.536</v>
      </c>
      <c r="AN255">
        <f t="shared" si="291"/>
        <v>539.4</v>
      </c>
      <c r="AO255">
        <f t="shared" si="292"/>
        <v>137.29929553081666</v>
      </c>
      <c r="AP255">
        <f t="shared" si="293"/>
        <v>1142.536640625</v>
      </c>
      <c r="AQ255">
        <v>200</v>
      </c>
      <c r="AR255">
        <f t="shared" si="294"/>
        <v>8395.7399361558164</v>
      </c>
      <c r="AT255"/>
      <c r="BG255"/>
    </row>
    <row r="256" spans="1:172" x14ac:dyDescent="0.25">
      <c r="B256">
        <v>300</v>
      </c>
      <c r="C256">
        <f>'ABR Design'!J31</f>
        <v>22.156468376279893</v>
      </c>
      <c r="D256">
        <f>'ABR Design'!K31</f>
        <v>7.385489458759964</v>
      </c>
      <c r="E256">
        <f t="shared" si="285"/>
        <v>22.456468376279894</v>
      </c>
      <c r="F256">
        <f t="shared" si="286"/>
        <v>7.6854894587599638</v>
      </c>
      <c r="I256">
        <f t="shared" si="272"/>
        <v>300</v>
      </c>
      <c r="J256">
        <f t="shared" si="273"/>
        <v>52.485489458759972</v>
      </c>
      <c r="K256">
        <f t="shared" si="274"/>
        <v>45.300000000000004</v>
      </c>
      <c r="M256">
        <f t="shared" si="275"/>
        <v>20</v>
      </c>
      <c r="N256">
        <f t="shared" si="276"/>
        <v>17</v>
      </c>
      <c r="P256">
        <f t="shared" si="277"/>
        <v>2.5145105412400284</v>
      </c>
      <c r="Q256">
        <f t="shared" si="278"/>
        <v>1.4499999999999957</v>
      </c>
      <c r="R256"/>
      <c r="S256">
        <f t="shared" si="279"/>
        <v>1.2572552706200142</v>
      </c>
      <c r="T256">
        <f t="shared" si="280"/>
        <v>0.72499999999999787</v>
      </c>
      <c r="V256">
        <f t="shared" si="281"/>
        <v>20</v>
      </c>
      <c r="W256">
        <f t="shared" si="282"/>
        <v>18</v>
      </c>
      <c r="X256">
        <f t="shared" si="283"/>
        <v>75</v>
      </c>
      <c r="Z256">
        <f t="shared" si="287"/>
        <v>75</v>
      </c>
      <c r="AA256">
        <v>4</v>
      </c>
      <c r="AB256">
        <v>1</v>
      </c>
      <c r="AC256" s="7">
        <f>Fencing!$C$15*(Z256+AA256+2)</f>
        <v>14.762250000000002</v>
      </c>
      <c r="AD256" s="7">
        <f t="shared" si="288"/>
        <v>14.762250000000002</v>
      </c>
      <c r="AF256" s="5">
        <f>Fencing!$C$26</f>
        <v>112.824</v>
      </c>
      <c r="AG256" s="5">
        <f>Fencing!$C$34</f>
        <v>36.384</v>
      </c>
      <c r="AH256" s="5">
        <f>Fencing!$C$56</f>
        <v>539.4</v>
      </c>
      <c r="AI256">
        <f>Index!$C$69</f>
        <v>11.9580460758</v>
      </c>
      <c r="AJ256" s="5">
        <f>Index!$C$53</f>
        <v>99.508928571428555</v>
      </c>
      <c r="AL256">
        <f t="shared" si="289"/>
        <v>8461.7999999999993</v>
      </c>
      <c r="AM256">
        <f t="shared" si="290"/>
        <v>145.536</v>
      </c>
      <c r="AN256">
        <f t="shared" si="291"/>
        <v>539.4</v>
      </c>
      <c r="AO256">
        <f t="shared" si="292"/>
        <v>176.52766568247858</v>
      </c>
      <c r="AP256">
        <f t="shared" si="293"/>
        <v>1468.9756808035713</v>
      </c>
      <c r="AQ256">
        <v>300</v>
      </c>
      <c r="AR256">
        <f t="shared" si="294"/>
        <v>10792.239346486049</v>
      </c>
      <c r="AT256"/>
      <c r="BG256"/>
    </row>
    <row r="257" spans="1:59" x14ac:dyDescent="0.25">
      <c r="B257">
        <v>400</v>
      </c>
      <c r="C257">
        <f>'ABR Design'!J32</f>
        <v>25.584085962673253</v>
      </c>
      <c r="D257">
        <f>'ABR Design'!K32</f>
        <v>8.5280286542244177</v>
      </c>
      <c r="E257">
        <f t="shared" si="285"/>
        <v>25.884085962673254</v>
      </c>
      <c r="F257">
        <f t="shared" si="286"/>
        <v>8.8280286542244184</v>
      </c>
      <c r="I257">
        <f t="shared" si="272"/>
        <v>400</v>
      </c>
      <c r="J257">
        <f t="shared" si="273"/>
        <v>53.628028654224423</v>
      </c>
      <c r="K257">
        <f t="shared" si="274"/>
        <v>45.300000000000004</v>
      </c>
      <c r="M257">
        <f t="shared" si="275"/>
        <v>20</v>
      </c>
      <c r="N257">
        <f t="shared" si="276"/>
        <v>17</v>
      </c>
      <c r="P257">
        <f t="shared" si="277"/>
        <v>1.3719713457755773</v>
      </c>
      <c r="Q257">
        <f t="shared" si="278"/>
        <v>1.4499999999999957</v>
      </c>
      <c r="R257"/>
      <c r="S257">
        <f t="shared" si="279"/>
        <v>0.68598567288778867</v>
      </c>
      <c r="T257">
        <f t="shared" si="280"/>
        <v>0.72499999999999787</v>
      </c>
      <c r="V257">
        <f t="shared" si="281"/>
        <v>21</v>
      </c>
      <c r="W257">
        <f t="shared" si="282"/>
        <v>18</v>
      </c>
      <c r="X257">
        <f t="shared" si="283"/>
        <v>77</v>
      </c>
      <c r="Z257">
        <f t="shared" si="287"/>
        <v>77</v>
      </c>
      <c r="AA257">
        <v>4</v>
      </c>
      <c r="AB257">
        <v>1</v>
      </c>
      <c r="AC257" s="7">
        <f>Fencing!$C$15*(Z257+AA257+2)</f>
        <v>15.126750000000001</v>
      </c>
      <c r="AD257" s="7">
        <f t="shared" si="288"/>
        <v>15.126750000000001</v>
      </c>
      <c r="AF257" s="5">
        <f>Fencing!$C$26</f>
        <v>112.824</v>
      </c>
      <c r="AG257" s="5">
        <f>Fencing!$C$34</f>
        <v>36.384</v>
      </c>
      <c r="AH257" s="5">
        <f>Fencing!$C$56</f>
        <v>539.4</v>
      </c>
      <c r="AI257">
        <f>Index!$C$69</f>
        <v>11.9580460758</v>
      </c>
      <c r="AJ257" s="5">
        <f>Index!$C$53</f>
        <v>99.508928571428555</v>
      </c>
      <c r="AL257">
        <f t="shared" si="289"/>
        <v>8687.4480000000003</v>
      </c>
      <c r="AM257">
        <f t="shared" si="290"/>
        <v>145.536</v>
      </c>
      <c r="AN257">
        <f t="shared" si="291"/>
        <v>539.4</v>
      </c>
      <c r="AO257">
        <f t="shared" si="292"/>
        <v>180.88637347710767</v>
      </c>
      <c r="AP257">
        <f t="shared" si="293"/>
        <v>1505.2466852678569</v>
      </c>
      <c r="AQ257">
        <v>400</v>
      </c>
      <c r="AR257">
        <f t="shared" si="294"/>
        <v>11058.517058744965</v>
      </c>
      <c r="AT257"/>
      <c r="BG257"/>
    </row>
    <row r="258" spans="1:59" x14ac:dyDescent="0.25">
      <c r="B258">
        <v>500</v>
      </c>
      <c r="C258">
        <f>'ABR Design'!J33</f>
        <v>28.60387767736777</v>
      </c>
      <c r="D258">
        <f>'ABR Design'!K33</f>
        <v>9.5346258924559226</v>
      </c>
      <c r="E258">
        <f t="shared" si="285"/>
        <v>28.90387767736777</v>
      </c>
      <c r="F258">
        <f t="shared" si="286"/>
        <v>9.8346258924559233</v>
      </c>
      <c r="I258">
        <f t="shared" si="272"/>
        <v>500</v>
      </c>
      <c r="J258">
        <f t="shared" si="273"/>
        <v>59.834625892455925</v>
      </c>
      <c r="K258">
        <f t="shared" si="274"/>
        <v>50.5</v>
      </c>
      <c r="M258">
        <f t="shared" ref="M258:M261" si="295">ROUNDUP((J258/2.75),0)</f>
        <v>22</v>
      </c>
      <c r="N258">
        <f t="shared" ref="N258:N261" si="296">ROUNDUP((K258/2.75),0)</f>
        <v>19</v>
      </c>
      <c r="P258">
        <f t="shared" si="277"/>
        <v>0.66537410754407489</v>
      </c>
      <c r="Q258">
        <f t="shared" si="278"/>
        <v>1.75</v>
      </c>
      <c r="R258"/>
      <c r="S258">
        <f t="shared" ref="S258:S261" si="297">P258/2</f>
        <v>0.33268705377203744</v>
      </c>
      <c r="T258">
        <f t="shared" ref="T258:T261" si="298">Q258/2</f>
        <v>0.875</v>
      </c>
      <c r="V258">
        <f t="shared" si="281"/>
        <v>23</v>
      </c>
      <c r="W258">
        <f t="shared" si="282"/>
        <v>20</v>
      </c>
      <c r="X258">
        <f t="shared" si="283"/>
        <v>85</v>
      </c>
      <c r="Z258">
        <f t="shared" si="287"/>
        <v>85</v>
      </c>
      <c r="AA258">
        <v>4</v>
      </c>
      <c r="AB258">
        <v>1</v>
      </c>
      <c r="AC258" s="7">
        <f>Fencing!$C$15*(Z258+AA258+2)</f>
        <v>16.584750000000003</v>
      </c>
      <c r="AD258" s="7">
        <f t="shared" si="288"/>
        <v>16.584750000000003</v>
      </c>
      <c r="AF258" s="5">
        <f>Fencing!$C$26</f>
        <v>112.824</v>
      </c>
      <c r="AG258" s="5">
        <f>Fencing!$C$34</f>
        <v>36.384</v>
      </c>
      <c r="AH258" s="5">
        <f>Fencing!$C$56</f>
        <v>539.4</v>
      </c>
      <c r="AI258">
        <f>Index!$C$69</f>
        <v>11.9580460758</v>
      </c>
      <c r="AJ258" s="5">
        <f>Index!$C$53</f>
        <v>99.508928571428555</v>
      </c>
      <c r="AL258">
        <f t="shared" si="289"/>
        <v>9590.0399999999991</v>
      </c>
      <c r="AM258">
        <f t="shared" si="290"/>
        <v>145.536</v>
      </c>
      <c r="AN258">
        <f t="shared" si="291"/>
        <v>539.4</v>
      </c>
      <c r="AO258">
        <f t="shared" si="292"/>
        <v>198.32120465562409</v>
      </c>
      <c r="AP258">
        <f t="shared" si="293"/>
        <v>1650.3307031250001</v>
      </c>
      <c r="AQ258">
        <v>500</v>
      </c>
      <c r="AR258">
        <f t="shared" si="294"/>
        <v>12123.627907780623</v>
      </c>
      <c r="AT258"/>
      <c r="BG258"/>
    </row>
    <row r="259" spans="1:59" x14ac:dyDescent="0.25">
      <c r="B259">
        <v>600</v>
      </c>
      <c r="C259">
        <f>'ABR Design'!J34</f>
        <v>31.333978072025609</v>
      </c>
      <c r="D259">
        <f>'ABR Design'!K34</f>
        <v>10.44465935734187</v>
      </c>
      <c r="E259">
        <f t="shared" si="285"/>
        <v>31.633978072025609</v>
      </c>
      <c r="F259">
        <f t="shared" si="286"/>
        <v>10.74465935734187</v>
      </c>
      <c r="I259">
        <f t="shared" si="272"/>
        <v>600</v>
      </c>
      <c r="J259">
        <f t="shared" si="273"/>
        <v>84.244659357341874</v>
      </c>
      <c r="K259">
        <f t="shared" si="274"/>
        <v>49.5</v>
      </c>
      <c r="M259">
        <f t="shared" si="295"/>
        <v>31</v>
      </c>
      <c r="N259">
        <f t="shared" si="296"/>
        <v>18</v>
      </c>
      <c r="P259">
        <f t="shared" si="277"/>
        <v>1.0053406426581262</v>
      </c>
      <c r="Q259">
        <f t="shared" si="278"/>
        <v>0</v>
      </c>
      <c r="R259"/>
      <c r="S259">
        <f t="shared" si="297"/>
        <v>0.50267032132906309</v>
      </c>
      <c r="T259">
        <f t="shared" si="298"/>
        <v>0</v>
      </c>
      <c r="V259">
        <f t="shared" si="281"/>
        <v>32</v>
      </c>
      <c r="W259">
        <f t="shared" si="282"/>
        <v>19</v>
      </c>
      <c r="X259">
        <f t="shared" si="283"/>
        <v>101</v>
      </c>
      <c r="Z259">
        <f t="shared" si="287"/>
        <v>101</v>
      </c>
      <c r="AA259">
        <v>4</v>
      </c>
      <c r="AB259">
        <v>1</v>
      </c>
      <c r="AC259" s="7">
        <f>Fencing!$C$15*(Z259+AA259+2)</f>
        <v>19.500750000000004</v>
      </c>
      <c r="AD259" s="7">
        <f t="shared" si="288"/>
        <v>19.500750000000004</v>
      </c>
      <c r="AF259" s="5">
        <f>Fencing!$C$26</f>
        <v>112.824</v>
      </c>
      <c r="AG259" s="5">
        <f>Fencing!$C$34</f>
        <v>36.384</v>
      </c>
      <c r="AH259" s="5">
        <f>Fencing!$C$56</f>
        <v>539.4</v>
      </c>
      <c r="AI259">
        <f>Index!$C$69</f>
        <v>11.9580460758</v>
      </c>
      <c r="AJ259" s="5">
        <f>Index!$C$53</f>
        <v>99.508928571428555</v>
      </c>
      <c r="AL259">
        <f t="shared" si="289"/>
        <v>11395.224</v>
      </c>
      <c r="AM259">
        <f t="shared" si="290"/>
        <v>145.536</v>
      </c>
      <c r="AN259">
        <f t="shared" si="291"/>
        <v>539.4</v>
      </c>
      <c r="AO259">
        <f t="shared" si="292"/>
        <v>233.19086701265689</v>
      </c>
      <c r="AP259">
        <f t="shared" si="293"/>
        <v>1940.4987388392858</v>
      </c>
      <c r="AQ259">
        <v>600</v>
      </c>
      <c r="AR259">
        <f t="shared" si="294"/>
        <v>14253.849605851943</v>
      </c>
      <c r="AT259"/>
      <c r="BG259"/>
    </row>
    <row r="260" spans="1:59" x14ac:dyDescent="0.25">
      <c r="B260">
        <v>800</v>
      </c>
      <c r="C260">
        <f>'ABR Design'!J35</f>
        <v>36.181361349331631</v>
      </c>
      <c r="D260">
        <f>'ABR Design'!K35</f>
        <v>12.060453783110544</v>
      </c>
      <c r="E260">
        <f t="shared" si="285"/>
        <v>36.481361349331628</v>
      </c>
      <c r="F260">
        <f t="shared" si="286"/>
        <v>12.360453783110545</v>
      </c>
      <c r="I260">
        <f t="shared" si="272"/>
        <v>800</v>
      </c>
      <c r="J260">
        <f t="shared" si="273"/>
        <v>108.36045378311054</v>
      </c>
      <c r="K260">
        <f t="shared" si="274"/>
        <v>48.5</v>
      </c>
      <c r="M260">
        <f t="shared" si="295"/>
        <v>40</v>
      </c>
      <c r="N260">
        <f t="shared" si="296"/>
        <v>18</v>
      </c>
      <c r="P260">
        <f t="shared" si="277"/>
        <v>1.6395462168894568</v>
      </c>
      <c r="Q260">
        <f t="shared" si="278"/>
        <v>1</v>
      </c>
      <c r="R260"/>
      <c r="S260">
        <f t="shared" si="297"/>
        <v>0.81977310844472839</v>
      </c>
      <c r="T260">
        <f t="shared" si="298"/>
        <v>0.5</v>
      </c>
      <c r="V260">
        <f t="shared" si="281"/>
        <v>41</v>
      </c>
      <c r="W260">
        <f t="shared" si="282"/>
        <v>19</v>
      </c>
      <c r="X260">
        <f t="shared" si="283"/>
        <v>119</v>
      </c>
      <c r="Z260">
        <f t="shared" si="287"/>
        <v>119</v>
      </c>
      <c r="AA260">
        <v>4</v>
      </c>
      <c r="AB260">
        <v>1</v>
      </c>
      <c r="AC260" s="7">
        <f>Fencing!$C$15*(Z260+AA260+2)</f>
        <v>22.781250000000004</v>
      </c>
      <c r="AD260" s="7">
        <f t="shared" si="288"/>
        <v>22.781250000000004</v>
      </c>
      <c r="AF260" s="5">
        <f>Fencing!$C$26</f>
        <v>112.824</v>
      </c>
      <c r="AG260" s="5">
        <f>Fencing!$C$34</f>
        <v>36.384</v>
      </c>
      <c r="AH260" s="5">
        <f>Fencing!$C$56</f>
        <v>539.4</v>
      </c>
      <c r="AI260">
        <f>Index!$C$69</f>
        <v>11.9580460758</v>
      </c>
      <c r="AJ260" s="5">
        <f>Index!$C$53</f>
        <v>99.508928571428555</v>
      </c>
      <c r="AL260">
        <f t="shared" si="289"/>
        <v>13426.056</v>
      </c>
      <c r="AM260">
        <f t="shared" si="290"/>
        <v>145.536</v>
      </c>
      <c r="AN260">
        <f t="shared" si="291"/>
        <v>539.4</v>
      </c>
      <c r="AO260">
        <f t="shared" si="292"/>
        <v>272.41923716431882</v>
      </c>
      <c r="AP260">
        <f t="shared" si="293"/>
        <v>2266.9377790178573</v>
      </c>
      <c r="AQ260">
        <v>800</v>
      </c>
      <c r="AR260">
        <f t="shared" si="294"/>
        <v>16650.349016182176</v>
      </c>
      <c r="AT260"/>
      <c r="BG260"/>
    </row>
    <row r="261" spans="1:59" x14ac:dyDescent="0.25">
      <c r="B261">
        <v>1000</v>
      </c>
      <c r="C261">
        <f>'ABR Design'!J36</f>
        <v>40.451991747794523</v>
      </c>
      <c r="D261">
        <f>'ABR Design'!K36</f>
        <v>13.483997249264842</v>
      </c>
      <c r="E261">
        <f t="shared" si="285"/>
        <v>40.75199174779452</v>
      </c>
      <c r="F261">
        <f t="shared" si="286"/>
        <v>13.783997249264843</v>
      </c>
      <c r="I261">
        <f t="shared" si="272"/>
        <v>1000</v>
      </c>
      <c r="J261">
        <f t="shared" si="273"/>
        <v>113.78399724926484</v>
      </c>
      <c r="K261">
        <f t="shared" si="274"/>
        <v>50.5</v>
      </c>
      <c r="M261">
        <f t="shared" si="295"/>
        <v>42</v>
      </c>
      <c r="N261">
        <f t="shared" si="296"/>
        <v>19</v>
      </c>
      <c r="P261">
        <f t="shared" si="277"/>
        <v>1.7160027507351572</v>
      </c>
      <c r="Q261">
        <f t="shared" si="278"/>
        <v>1.75</v>
      </c>
      <c r="R261"/>
      <c r="S261">
        <f t="shared" si="297"/>
        <v>0.85800137536757859</v>
      </c>
      <c r="T261">
        <f t="shared" si="298"/>
        <v>0.875</v>
      </c>
      <c r="V261">
        <f t="shared" si="281"/>
        <v>43</v>
      </c>
      <c r="W261">
        <f t="shared" si="282"/>
        <v>20</v>
      </c>
      <c r="X261">
        <f t="shared" si="283"/>
        <v>125</v>
      </c>
      <c r="Z261">
        <f t="shared" si="287"/>
        <v>125</v>
      </c>
      <c r="AA261">
        <v>4</v>
      </c>
      <c r="AB261">
        <v>1</v>
      </c>
      <c r="AC261" s="7">
        <f>Fencing!$C$15*(Z261+AA261+2)</f>
        <v>23.874750000000002</v>
      </c>
      <c r="AD261" s="7">
        <f t="shared" si="288"/>
        <v>23.874750000000002</v>
      </c>
      <c r="AF261" s="5">
        <f>Fencing!$C$26</f>
        <v>112.824</v>
      </c>
      <c r="AG261" s="5">
        <f>Fencing!$C$34</f>
        <v>36.384</v>
      </c>
      <c r="AH261" s="5">
        <f>Fencing!$C$56</f>
        <v>539.4</v>
      </c>
      <c r="AI261">
        <f>Index!$C$69</f>
        <v>11.9580460758</v>
      </c>
      <c r="AJ261" s="5">
        <f>Index!$C$53</f>
        <v>99.508928571428555</v>
      </c>
      <c r="AL261">
        <f t="shared" si="289"/>
        <v>14103</v>
      </c>
      <c r="AM261">
        <f t="shared" si="290"/>
        <v>145.536</v>
      </c>
      <c r="AN261">
        <f t="shared" si="291"/>
        <v>539.4</v>
      </c>
      <c r="AO261">
        <f t="shared" si="292"/>
        <v>285.49536054820607</v>
      </c>
      <c r="AP261">
        <f t="shared" si="293"/>
        <v>2375.750792410714</v>
      </c>
      <c r="AQ261">
        <v>1000</v>
      </c>
      <c r="AR261">
        <f t="shared" si="294"/>
        <v>17449.182152958922</v>
      </c>
      <c r="AT261"/>
      <c r="BG261"/>
    </row>
    <row r="262" spans="1:59" x14ac:dyDescent="0.25">
      <c r="R262"/>
      <c r="AC262"/>
      <c r="AF262"/>
      <c r="AN262"/>
      <c r="AT262"/>
      <c r="BG262"/>
    </row>
    <row r="263" spans="1:59" x14ac:dyDescent="0.25">
      <c r="B263" s="92" t="s">
        <v>128</v>
      </c>
      <c r="C263" s="92"/>
      <c r="R263"/>
      <c r="AC263"/>
      <c r="AF263"/>
      <c r="AN263"/>
      <c r="AT263"/>
      <c r="BG263"/>
    </row>
    <row r="264" spans="1:59" x14ac:dyDescent="0.25">
      <c r="A264" t="s">
        <v>156</v>
      </c>
      <c r="B264" t="s">
        <v>150</v>
      </c>
      <c r="C264" t="s">
        <v>116</v>
      </c>
      <c r="D264" t="s">
        <v>1581</v>
      </c>
      <c r="R264"/>
      <c r="AC264"/>
      <c r="AF264"/>
      <c r="AN264"/>
      <c r="AT264"/>
      <c r="BG264"/>
    </row>
    <row r="265" spans="1:59" x14ac:dyDescent="0.25">
      <c r="A265">
        <v>5</v>
      </c>
      <c r="B265" s="1">
        <f>'ABR-T'!V7</f>
        <v>0.9</v>
      </c>
      <c r="C265" s="1">
        <f>'ABR-T'!W7</f>
        <v>2.69</v>
      </c>
      <c r="D265">
        <v>1</v>
      </c>
      <c r="E265" s="1">
        <f>B265+0.3</f>
        <v>1.2</v>
      </c>
      <c r="F265" s="1">
        <f>C265+0.3</f>
        <v>2.9899999999999998</v>
      </c>
      <c r="R265"/>
      <c r="AC265"/>
      <c r="AF265"/>
      <c r="AN265"/>
      <c r="AT265"/>
      <c r="BG265"/>
    </row>
    <row r="266" spans="1:59" x14ac:dyDescent="0.25">
      <c r="A266">
        <v>10</v>
      </c>
      <c r="B266" s="1">
        <f>'ABR-T'!V8</f>
        <v>1.27</v>
      </c>
      <c r="C266" s="1">
        <f>'ABR-T'!W8</f>
        <v>3.8</v>
      </c>
      <c r="D266">
        <v>1</v>
      </c>
      <c r="E266" s="1">
        <f t="shared" ref="E266:E278" si="299">B266+0.3</f>
        <v>1.57</v>
      </c>
      <c r="F266" s="1">
        <f t="shared" ref="F266:F278" si="300">C266+0.3</f>
        <v>4.0999999999999996</v>
      </c>
      <c r="R266"/>
      <c r="AC266"/>
      <c r="AF266"/>
      <c r="AN266"/>
      <c r="AT266"/>
      <c r="BG266"/>
    </row>
    <row r="267" spans="1:59" x14ac:dyDescent="0.25">
      <c r="A267">
        <v>20</v>
      </c>
      <c r="B267" s="1">
        <f>'ABR-T'!V9</f>
        <v>1.79</v>
      </c>
      <c r="C267" s="1">
        <f>'ABR-T'!W9</f>
        <v>5.37</v>
      </c>
      <c r="D267">
        <v>1</v>
      </c>
      <c r="E267" s="1">
        <f t="shared" si="299"/>
        <v>2.09</v>
      </c>
      <c r="F267" s="1">
        <f t="shared" si="300"/>
        <v>5.67</v>
      </c>
      <c r="R267"/>
      <c r="AC267"/>
      <c r="AF267"/>
      <c r="AN267"/>
      <c r="AT267"/>
      <c r="BG267"/>
    </row>
    <row r="268" spans="1:59" x14ac:dyDescent="0.25">
      <c r="A268">
        <v>30</v>
      </c>
      <c r="B268" s="1">
        <f>'ABR-T'!V10</f>
        <v>2.1999999999999997</v>
      </c>
      <c r="C268" s="1">
        <f>'ABR-T'!W10</f>
        <v>6.58</v>
      </c>
      <c r="D268">
        <v>1</v>
      </c>
      <c r="E268" s="1">
        <f t="shared" si="299"/>
        <v>2.4999999999999996</v>
      </c>
      <c r="F268" s="1">
        <f t="shared" si="300"/>
        <v>6.88</v>
      </c>
      <c r="I268" t="str">
        <f>B299</f>
        <v>Wet</v>
      </c>
      <c r="R268"/>
      <c r="AC268"/>
      <c r="AF268"/>
      <c r="AN268"/>
      <c r="AT268"/>
      <c r="BG268"/>
    </row>
    <row r="269" spans="1:59" x14ac:dyDescent="0.25">
      <c r="A269">
        <v>50</v>
      </c>
      <c r="B269" s="1">
        <f>'ABR-T'!V11</f>
        <v>2.8299999999999996</v>
      </c>
      <c r="C269" s="1">
        <f>'ABR-T'!W11</f>
        <v>8.49</v>
      </c>
      <c r="D269">
        <v>1</v>
      </c>
      <c r="E269" s="1">
        <f t="shared" si="299"/>
        <v>3.1299999999999994</v>
      </c>
      <c r="F269" s="1">
        <f t="shared" si="300"/>
        <v>8.7900000000000009</v>
      </c>
      <c r="M269" t="s">
        <v>250</v>
      </c>
      <c r="P269" t="s">
        <v>251</v>
      </c>
      <c r="R269"/>
      <c r="V269" t="s">
        <v>254</v>
      </c>
      <c r="Z269" s="95" t="s">
        <v>263</v>
      </c>
      <c r="AA269" s="95"/>
      <c r="AB269" s="95"/>
      <c r="AC269" s="95"/>
      <c r="AD269" s="95"/>
      <c r="AF269" s="10" t="s">
        <v>206</v>
      </c>
      <c r="AL269" t="s">
        <v>205</v>
      </c>
      <c r="AN269"/>
      <c r="AT269"/>
      <c r="BG269"/>
    </row>
    <row r="270" spans="1:59" x14ac:dyDescent="0.25">
      <c r="A270">
        <v>75</v>
      </c>
      <c r="B270" s="1">
        <f>'ABR-T'!V12</f>
        <v>2.4499999999999997</v>
      </c>
      <c r="C270" s="1">
        <f>'ABR-T'!W12</f>
        <v>7.35</v>
      </c>
      <c r="D270">
        <v>2</v>
      </c>
      <c r="E270" s="1">
        <f t="shared" si="299"/>
        <v>2.7499999999999996</v>
      </c>
      <c r="F270" s="1">
        <f t="shared" si="300"/>
        <v>7.6499999999999995</v>
      </c>
      <c r="I270" t="str">
        <f t="shared" ref="I270:I284" si="301">B301</f>
        <v>PE</v>
      </c>
      <c r="J270" t="str">
        <f t="shared" ref="J270:J284" si="302">C301</f>
        <v>Length</v>
      </c>
      <c r="K270" t="str">
        <f t="shared" ref="K270:K284" si="303">D301</f>
        <v>Width</v>
      </c>
      <c r="M270" t="s">
        <v>245</v>
      </c>
      <c r="N270" t="s">
        <v>116</v>
      </c>
      <c r="P270" t="s">
        <v>245</v>
      </c>
      <c r="Q270" t="s">
        <v>116</v>
      </c>
      <c r="R270"/>
      <c r="V270" t="s">
        <v>245</v>
      </c>
      <c r="W270" t="s">
        <v>116</v>
      </c>
      <c r="X270" t="s">
        <v>125</v>
      </c>
      <c r="Z270" t="s">
        <v>261</v>
      </c>
      <c r="AA270" t="s">
        <v>231</v>
      </c>
      <c r="AB270" t="s">
        <v>262</v>
      </c>
      <c r="AC270" s="7" t="s">
        <v>14</v>
      </c>
      <c r="AD270" s="7" t="s">
        <v>100</v>
      </c>
      <c r="AF270" t="s">
        <v>261</v>
      </c>
      <c r="AG270" t="s">
        <v>231</v>
      </c>
      <c r="AH270" t="s">
        <v>262</v>
      </c>
      <c r="AI270" t="s">
        <v>14</v>
      </c>
      <c r="AJ270" t="s">
        <v>100</v>
      </c>
      <c r="AL270" t="s">
        <v>261</v>
      </c>
      <c r="AM270" t="s">
        <v>231</v>
      </c>
      <c r="AN270" t="s">
        <v>262</v>
      </c>
      <c r="AO270" t="s">
        <v>14</v>
      </c>
      <c r="AP270" t="s">
        <v>100</v>
      </c>
      <c r="AQ270" t="s">
        <v>156</v>
      </c>
      <c r="AR270" t="s">
        <v>125</v>
      </c>
      <c r="AT270"/>
      <c r="BG270"/>
    </row>
    <row r="271" spans="1:59" x14ac:dyDescent="0.25">
      <c r="A271">
        <v>100</v>
      </c>
      <c r="B271" s="1">
        <f>'ABR-T'!V13</f>
        <v>2.8299999999999996</v>
      </c>
      <c r="C271" s="1">
        <f>'ABR-T'!W13</f>
        <v>8.49</v>
      </c>
      <c r="D271">
        <v>2</v>
      </c>
      <c r="E271" s="1">
        <f t="shared" si="299"/>
        <v>3.1299999999999994</v>
      </c>
      <c r="F271" s="1">
        <f t="shared" si="300"/>
        <v>8.7900000000000009</v>
      </c>
      <c r="I271">
        <f t="shared" si="301"/>
        <v>5</v>
      </c>
      <c r="J271">
        <f t="shared" si="302"/>
        <v>5</v>
      </c>
      <c r="K271">
        <f t="shared" si="303"/>
        <v>6.2</v>
      </c>
      <c r="M271">
        <f t="shared" ref="M271:M280" si="304">ROUNDUP((J271/2.75),0)</f>
        <v>2</v>
      </c>
      <c r="N271">
        <f t="shared" ref="N271:N280" si="305">ROUNDUP((K271/2.75),0)</f>
        <v>3</v>
      </c>
      <c r="P271">
        <f t="shared" ref="P271:P284" si="306">(M271*2.75)-J271</f>
        <v>0.5</v>
      </c>
      <c r="Q271">
        <f t="shared" ref="Q271:Q284" si="307">(N271*2.75)-K271</f>
        <v>2.0499999999999998</v>
      </c>
      <c r="R271"/>
      <c r="S271">
        <f t="shared" ref="S271:S280" si="308">P271/2</f>
        <v>0.25</v>
      </c>
      <c r="T271">
        <f t="shared" ref="T271:T280" si="309">Q271/2</f>
        <v>1.0249999999999999</v>
      </c>
      <c r="V271">
        <f t="shared" ref="V271:V284" si="310">IF(S271&gt;1,M271,M271+1)</f>
        <v>3</v>
      </c>
      <c r="W271">
        <f t="shared" ref="W271:W284" si="311">IF(T271&gt;1,N271,N271+1)</f>
        <v>3</v>
      </c>
      <c r="X271">
        <f t="shared" ref="X271:X284" si="312">(V271*2-1)+W271*2</f>
        <v>11</v>
      </c>
      <c r="Z271">
        <f>X271</f>
        <v>11</v>
      </c>
      <c r="AA271">
        <v>4</v>
      </c>
      <c r="AB271">
        <v>1</v>
      </c>
      <c r="AC271" s="7">
        <f>Fencing!$C$15*(Z271+AA271+2)</f>
        <v>3.0982500000000002</v>
      </c>
      <c r="AD271" s="7">
        <f>AC271</f>
        <v>3.0982500000000002</v>
      </c>
      <c r="AF271" s="5">
        <f>Fencing!$C$26</f>
        <v>112.824</v>
      </c>
      <c r="AG271" s="5">
        <f>Fencing!$C$34</f>
        <v>36.384</v>
      </c>
      <c r="AH271" s="5">
        <f>Fencing!$C$56</f>
        <v>539.4</v>
      </c>
      <c r="AI271">
        <f>Index!$C$69</f>
        <v>11.9580460758</v>
      </c>
      <c r="AJ271" s="5">
        <f>Index!$C$53</f>
        <v>99.508928571428555</v>
      </c>
      <c r="AL271">
        <f>Z271*AF271</f>
        <v>1241.0640000000001</v>
      </c>
      <c r="AM271">
        <f t="shared" ref="AM271:AM284" si="313">AA271*AG271</f>
        <v>145.536</v>
      </c>
      <c r="AN271">
        <f t="shared" ref="AN271:AN284" si="314">AB271*AH271</f>
        <v>539.4</v>
      </c>
      <c r="AO271">
        <f t="shared" ref="AO271:AO284" si="315">AC271*AI271</f>
        <v>37.04901625434735</v>
      </c>
      <c r="AP271">
        <f t="shared" ref="AP271:AP284" si="316">AD271*AJ271</f>
        <v>308.30353794642855</v>
      </c>
      <c r="AQ271">
        <v>5</v>
      </c>
      <c r="AR271">
        <f>SUM(AL271:AP271)</f>
        <v>2271.352554200776</v>
      </c>
      <c r="AT271"/>
      <c r="BG271"/>
    </row>
    <row r="272" spans="1:59" x14ac:dyDescent="0.25">
      <c r="A272">
        <v>200</v>
      </c>
      <c r="B272" s="1">
        <f>'ABR-T'!V14</f>
        <v>3.2699999999999996</v>
      </c>
      <c r="C272" s="1">
        <f>'ABR-T'!W14</f>
        <v>9.7999999999999989</v>
      </c>
      <c r="D272">
        <v>3</v>
      </c>
      <c r="E272" s="1">
        <f t="shared" si="299"/>
        <v>3.5699999999999994</v>
      </c>
      <c r="F272" s="1">
        <f t="shared" si="300"/>
        <v>10.1</v>
      </c>
      <c r="I272">
        <f t="shared" si="301"/>
        <v>10</v>
      </c>
      <c r="J272">
        <f t="shared" si="302"/>
        <v>7.1</v>
      </c>
      <c r="K272">
        <f t="shared" si="303"/>
        <v>8.67</v>
      </c>
      <c r="M272">
        <f t="shared" si="304"/>
        <v>3</v>
      </c>
      <c r="N272">
        <f t="shared" si="305"/>
        <v>4</v>
      </c>
      <c r="P272">
        <f t="shared" si="306"/>
        <v>1.1500000000000004</v>
      </c>
      <c r="Q272">
        <f t="shared" si="307"/>
        <v>2.33</v>
      </c>
      <c r="R272"/>
      <c r="S272">
        <f t="shared" si="308"/>
        <v>0.57500000000000018</v>
      </c>
      <c r="T272">
        <f t="shared" si="309"/>
        <v>1.165</v>
      </c>
      <c r="V272">
        <f t="shared" si="310"/>
        <v>4</v>
      </c>
      <c r="W272">
        <f t="shared" si="311"/>
        <v>4</v>
      </c>
      <c r="X272">
        <f t="shared" si="312"/>
        <v>15</v>
      </c>
      <c r="Z272">
        <f t="shared" ref="Z272:Z284" si="317">X272</f>
        <v>15</v>
      </c>
      <c r="AA272">
        <v>4</v>
      </c>
      <c r="AB272">
        <v>1</v>
      </c>
      <c r="AC272" s="7">
        <f>Fencing!$C$15*(Z272+AA272+2)</f>
        <v>3.8272500000000003</v>
      </c>
      <c r="AD272" s="7">
        <f t="shared" ref="AD272:AD284" si="318">AC272</f>
        <v>3.8272500000000003</v>
      </c>
      <c r="AF272" s="5">
        <f>Fencing!$C$26</f>
        <v>112.824</v>
      </c>
      <c r="AG272" s="5">
        <f>Fencing!$C$34</f>
        <v>36.384</v>
      </c>
      <c r="AH272" s="5">
        <f>Fencing!$C$56</f>
        <v>539.4</v>
      </c>
      <c r="AI272">
        <f>Index!$C$69</f>
        <v>11.9580460758</v>
      </c>
      <c r="AJ272" s="5">
        <f>Index!$C$53</f>
        <v>99.508928571428555</v>
      </c>
      <c r="AL272">
        <f t="shared" ref="AL272:AL284" si="319">Z272*AF272</f>
        <v>1692.36</v>
      </c>
      <c r="AM272">
        <f t="shared" si="313"/>
        <v>145.536</v>
      </c>
      <c r="AN272">
        <f t="shared" si="314"/>
        <v>539.4</v>
      </c>
      <c r="AO272">
        <f t="shared" si="315"/>
        <v>45.766431843605552</v>
      </c>
      <c r="AP272">
        <f t="shared" si="316"/>
        <v>380.84554687499997</v>
      </c>
      <c r="AQ272">
        <v>10</v>
      </c>
      <c r="AR272">
        <f t="shared" ref="AR272:AR284" si="320">SUM(AL272:AP272)</f>
        <v>2803.9079787186051</v>
      </c>
      <c r="AT272"/>
      <c r="BG272"/>
    </row>
    <row r="273" spans="1:59" x14ac:dyDescent="0.25">
      <c r="A273">
        <v>300</v>
      </c>
      <c r="B273" s="1">
        <f>'ABR-T'!V15</f>
        <v>2.8299999999999996</v>
      </c>
      <c r="C273" s="1">
        <f>'ABR-T'!W15</f>
        <v>8.49</v>
      </c>
      <c r="D273">
        <v>6</v>
      </c>
      <c r="E273" s="1">
        <f t="shared" si="299"/>
        <v>3.1299999999999994</v>
      </c>
      <c r="F273" s="1">
        <f t="shared" si="300"/>
        <v>8.7900000000000009</v>
      </c>
      <c r="I273">
        <f t="shared" si="301"/>
        <v>20</v>
      </c>
      <c r="J273">
        <f t="shared" si="302"/>
        <v>10</v>
      </c>
      <c r="K273">
        <f t="shared" si="303"/>
        <v>12.09</v>
      </c>
      <c r="M273">
        <f t="shared" si="304"/>
        <v>4</v>
      </c>
      <c r="N273">
        <f t="shared" si="305"/>
        <v>5</v>
      </c>
      <c r="P273">
        <f t="shared" si="306"/>
        <v>1</v>
      </c>
      <c r="Q273">
        <f t="shared" si="307"/>
        <v>1.6600000000000001</v>
      </c>
      <c r="R273"/>
      <c r="S273">
        <f t="shared" si="308"/>
        <v>0.5</v>
      </c>
      <c r="T273">
        <f t="shared" si="309"/>
        <v>0.83000000000000007</v>
      </c>
      <c r="V273">
        <f t="shared" si="310"/>
        <v>5</v>
      </c>
      <c r="W273">
        <f t="shared" si="311"/>
        <v>6</v>
      </c>
      <c r="X273">
        <f t="shared" si="312"/>
        <v>21</v>
      </c>
      <c r="Z273">
        <f t="shared" si="317"/>
        <v>21</v>
      </c>
      <c r="AA273">
        <v>4</v>
      </c>
      <c r="AB273">
        <v>1</v>
      </c>
      <c r="AC273" s="7">
        <f>Fencing!$C$15*(Z273+AA273+2)</f>
        <v>4.9207500000000008</v>
      </c>
      <c r="AD273" s="7">
        <f t="shared" si="318"/>
        <v>4.9207500000000008</v>
      </c>
      <c r="AF273" s="5">
        <f>Fencing!$C$26</f>
        <v>112.824</v>
      </c>
      <c r="AG273" s="5">
        <f>Fencing!$C$34</f>
        <v>36.384</v>
      </c>
      <c r="AH273" s="5">
        <f>Fencing!$C$56</f>
        <v>539.4</v>
      </c>
      <c r="AI273">
        <f>Index!$C$69</f>
        <v>11.9580460758</v>
      </c>
      <c r="AJ273" s="5">
        <f>Index!$C$53</f>
        <v>99.508928571428555</v>
      </c>
      <c r="AL273">
        <f t="shared" si="319"/>
        <v>2369.3040000000001</v>
      </c>
      <c r="AM273">
        <f t="shared" si="313"/>
        <v>145.536</v>
      </c>
      <c r="AN273">
        <f t="shared" si="314"/>
        <v>539.4</v>
      </c>
      <c r="AO273">
        <f t="shared" si="315"/>
        <v>58.842555227492859</v>
      </c>
      <c r="AP273">
        <f t="shared" si="316"/>
        <v>489.65856026785713</v>
      </c>
      <c r="AQ273">
        <v>20</v>
      </c>
      <c r="AR273">
        <f t="shared" si="320"/>
        <v>3602.7411154953502</v>
      </c>
      <c r="AT273"/>
      <c r="BG273"/>
    </row>
    <row r="274" spans="1:59" x14ac:dyDescent="0.25">
      <c r="A274">
        <v>400</v>
      </c>
      <c r="B274" s="1">
        <f>'ABR-T'!V16</f>
        <v>3.2699999999999996</v>
      </c>
      <c r="C274" s="1">
        <f>'ABR-T'!W16</f>
        <v>9.7999999999999989</v>
      </c>
      <c r="D274">
        <v>6</v>
      </c>
      <c r="E274" s="1">
        <f t="shared" si="299"/>
        <v>3.5699999999999994</v>
      </c>
      <c r="F274" s="1">
        <f t="shared" si="300"/>
        <v>10.1</v>
      </c>
      <c r="I274">
        <f t="shared" si="301"/>
        <v>30</v>
      </c>
      <c r="J274">
        <f t="shared" si="302"/>
        <v>12.299999999999999</v>
      </c>
      <c r="K274">
        <f t="shared" si="303"/>
        <v>14.799999999999999</v>
      </c>
      <c r="M274">
        <f t="shared" si="304"/>
        <v>5</v>
      </c>
      <c r="N274">
        <f t="shared" si="305"/>
        <v>6</v>
      </c>
      <c r="P274">
        <f t="shared" si="306"/>
        <v>1.4500000000000011</v>
      </c>
      <c r="Q274">
        <f t="shared" si="307"/>
        <v>1.7000000000000011</v>
      </c>
      <c r="R274"/>
      <c r="S274">
        <f t="shared" si="308"/>
        <v>0.72500000000000053</v>
      </c>
      <c r="T274">
        <f t="shared" si="309"/>
        <v>0.85000000000000053</v>
      </c>
      <c r="V274">
        <f t="shared" si="310"/>
        <v>6</v>
      </c>
      <c r="W274">
        <f t="shared" si="311"/>
        <v>7</v>
      </c>
      <c r="X274">
        <f t="shared" si="312"/>
        <v>25</v>
      </c>
      <c r="Z274">
        <f t="shared" si="317"/>
        <v>25</v>
      </c>
      <c r="AA274">
        <v>4</v>
      </c>
      <c r="AB274">
        <v>1</v>
      </c>
      <c r="AC274" s="7">
        <f>Fencing!$C$15*(Z274+AA274+2)</f>
        <v>5.6497500000000009</v>
      </c>
      <c r="AD274" s="7">
        <f t="shared" si="318"/>
        <v>5.6497500000000009</v>
      </c>
      <c r="AF274" s="5">
        <f>Fencing!$C$26</f>
        <v>112.824</v>
      </c>
      <c r="AG274" s="5">
        <f>Fencing!$C$34</f>
        <v>36.384</v>
      </c>
      <c r="AH274" s="5">
        <f>Fencing!$C$56</f>
        <v>539.4</v>
      </c>
      <c r="AI274">
        <f>Index!$C$69</f>
        <v>11.9580460758</v>
      </c>
      <c r="AJ274" s="5">
        <f>Index!$C$53</f>
        <v>99.508928571428555</v>
      </c>
      <c r="AL274">
        <f t="shared" si="319"/>
        <v>2820.6</v>
      </c>
      <c r="AM274">
        <f t="shared" si="313"/>
        <v>145.536</v>
      </c>
      <c r="AN274">
        <f t="shared" si="314"/>
        <v>539.4</v>
      </c>
      <c r="AO274">
        <f t="shared" si="315"/>
        <v>67.559970816751061</v>
      </c>
      <c r="AP274">
        <f t="shared" si="316"/>
        <v>562.20056919642855</v>
      </c>
      <c r="AQ274">
        <v>30</v>
      </c>
      <c r="AR274">
        <f t="shared" si="320"/>
        <v>4135.2965400131798</v>
      </c>
      <c r="AT274"/>
      <c r="BG274"/>
    </row>
    <row r="275" spans="1:59" x14ac:dyDescent="0.25">
      <c r="A275">
        <v>500</v>
      </c>
      <c r="B275" s="1">
        <f>'ABR-T'!V17</f>
        <v>3.17</v>
      </c>
      <c r="C275" s="1">
        <f>'ABR-T'!W17</f>
        <v>9.49</v>
      </c>
      <c r="D275">
        <v>8</v>
      </c>
      <c r="E275" s="1">
        <f t="shared" si="299"/>
        <v>3.4699999999999998</v>
      </c>
      <c r="F275" s="1">
        <f t="shared" si="300"/>
        <v>9.7900000000000009</v>
      </c>
      <c r="I275">
        <f t="shared" si="301"/>
        <v>50</v>
      </c>
      <c r="J275">
        <f t="shared" si="302"/>
        <v>15.9</v>
      </c>
      <c r="K275">
        <f t="shared" si="303"/>
        <v>19.03</v>
      </c>
      <c r="M275">
        <f t="shared" si="304"/>
        <v>6</v>
      </c>
      <c r="N275">
        <f t="shared" si="305"/>
        <v>7</v>
      </c>
      <c r="P275">
        <f t="shared" si="306"/>
        <v>0.59999999999999964</v>
      </c>
      <c r="Q275">
        <f t="shared" si="307"/>
        <v>0.21999999999999886</v>
      </c>
      <c r="R275"/>
      <c r="S275">
        <f t="shared" si="308"/>
        <v>0.29999999999999982</v>
      </c>
      <c r="T275">
        <f t="shared" si="309"/>
        <v>0.10999999999999943</v>
      </c>
      <c r="V275">
        <f t="shared" si="310"/>
        <v>7</v>
      </c>
      <c r="W275">
        <f t="shared" si="311"/>
        <v>8</v>
      </c>
      <c r="X275">
        <f t="shared" si="312"/>
        <v>29</v>
      </c>
      <c r="Z275">
        <f t="shared" si="317"/>
        <v>29</v>
      </c>
      <c r="AA275">
        <v>4</v>
      </c>
      <c r="AB275">
        <v>1</v>
      </c>
      <c r="AC275" s="7">
        <f>Fencing!$C$15*(Z275+AA275+2)</f>
        <v>6.378750000000001</v>
      </c>
      <c r="AD275" s="7">
        <f t="shared" si="318"/>
        <v>6.378750000000001</v>
      </c>
      <c r="AF275" s="5">
        <f>Fencing!$C$26</f>
        <v>112.824</v>
      </c>
      <c r="AG275" s="5">
        <f>Fencing!$C$34</f>
        <v>36.384</v>
      </c>
      <c r="AH275" s="5">
        <f>Fencing!$C$56</f>
        <v>539.4</v>
      </c>
      <c r="AI275">
        <f>Index!$C$69</f>
        <v>11.9580460758</v>
      </c>
      <c r="AJ275" s="5">
        <f>Index!$C$53</f>
        <v>99.508928571428555</v>
      </c>
      <c r="AL275">
        <f t="shared" si="319"/>
        <v>3271.8959999999997</v>
      </c>
      <c r="AM275">
        <f t="shared" si="313"/>
        <v>145.536</v>
      </c>
      <c r="AN275">
        <f t="shared" si="314"/>
        <v>539.4</v>
      </c>
      <c r="AO275">
        <f t="shared" si="315"/>
        <v>76.277386406009271</v>
      </c>
      <c r="AP275">
        <f t="shared" si="316"/>
        <v>634.74257812500002</v>
      </c>
      <c r="AQ275">
        <v>50</v>
      </c>
      <c r="AR275">
        <f t="shared" si="320"/>
        <v>4667.8519645310089</v>
      </c>
      <c r="AT275"/>
      <c r="BG275"/>
    </row>
    <row r="276" spans="1:59" x14ac:dyDescent="0.25">
      <c r="A276">
        <v>600</v>
      </c>
      <c r="B276" s="1">
        <f>'ABR-T'!V18</f>
        <v>3.2699999999999996</v>
      </c>
      <c r="C276" s="1">
        <f>'ABR-T'!W18</f>
        <v>9.7999999999999989</v>
      </c>
      <c r="D276">
        <v>9</v>
      </c>
      <c r="E276" s="1">
        <f t="shared" si="299"/>
        <v>3.5699999999999994</v>
      </c>
      <c r="F276" s="1">
        <f t="shared" si="300"/>
        <v>10.1</v>
      </c>
      <c r="I276">
        <f t="shared" si="301"/>
        <v>75</v>
      </c>
      <c r="J276">
        <f t="shared" si="302"/>
        <v>19.400000000000002</v>
      </c>
      <c r="K276">
        <f t="shared" si="303"/>
        <v>22.150000000000002</v>
      </c>
      <c r="M276">
        <f t="shared" si="304"/>
        <v>8</v>
      </c>
      <c r="N276">
        <f t="shared" si="305"/>
        <v>9</v>
      </c>
      <c r="P276">
        <f t="shared" si="306"/>
        <v>2.5999999999999979</v>
      </c>
      <c r="Q276">
        <f t="shared" si="307"/>
        <v>2.5999999999999979</v>
      </c>
      <c r="R276"/>
      <c r="S276">
        <f t="shared" si="308"/>
        <v>1.2999999999999989</v>
      </c>
      <c r="T276">
        <f t="shared" si="309"/>
        <v>1.2999999999999989</v>
      </c>
      <c r="V276">
        <f t="shared" si="310"/>
        <v>8</v>
      </c>
      <c r="W276">
        <f t="shared" si="311"/>
        <v>9</v>
      </c>
      <c r="X276">
        <f t="shared" si="312"/>
        <v>33</v>
      </c>
      <c r="Z276">
        <f t="shared" si="317"/>
        <v>33</v>
      </c>
      <c r="AA276">
        <v>4</v>
      </c>
      <c r="AB276">
        <v>1</v>
      </c>
      <c r="AC276" s="7">
        <f>Fencing!$C$15*(Z276+AA276+2)</f>
        <v>7.1077500000000011</v>
      </c>
      <c r="AD276" s="7">
        <f t="shared" si="318"/>
        <v>7.1077500000000011</v>
      </c>
      <c r="AF276" s="5">
        <f>Fencing!$C$26</f>
        <v>112.824</v>
      </c>
      <c r="AG276" s="5">
        <f>Fencing!$C$34</f>
        <v>36.384</v>
      </c>
      <c r="AH276" s="5">
        <f>Fencing!$C$56</f>
        <v>539.4</v>
      </c>
      <c r="AI276">
        <f>Index!$C$69</f>
        <v>11.9580460758</v>
      </c>
      <c r="AJ276" s="5">
        <f>Index!$C$53</f>
        <v>99.508928571428555</v>
      </c>
      <c r="AL276">
        <f t="shared" si="319"/>
        <v>3723.192</v>
      </c>
      <c r="AM276">
        <f t="shared" si="313"/>
        <v>145.536</v>
      </c>
      <c r="AN276">
        <f t="shared" si="314"/>
        <v>539.4</v>
      </c>
      <c r="AO276">
        <f t="shared" si="315"/>
        <v>84.994801995267466</v>
      </c>
      <c r="AP276">
        <f t="shared" si="316"/>
        <v>707.28458705357139</v>
      </c>
      <c r="AQ276">
        <v>75</v>
      </c>
      <c r="AR276">
        <f t="shared" si="320"/>
        <v>5200.407389048838</v>
      </c>
      <c r="AT276"/>
      <c r="BG276"/>
    </row>
    <row r="277" spans="1:59" x14ac:dyDescent="0.25">
      <c r="A277">
        <v>800</v>
      </c>
      <c r="B277" s="1">
        <f>'ABR-T'!V19</f>
        <v>3.2699999999999996</v>
      </c>
      <c r="C277" s="1">
        <f>'ABR-T'!W19</f>
        <v>9.7999999999999989</v>
      </c>
      <c r="D277">
        <v>12</v>
      </c>
      <c r="E277" s="1">
        <f t="shared" si="299"/>
        <v>3.5699999999999994</v>
      </c>
      <c r="F277" s="1">
        <f t="shared" si="300"/>
        <v>10.1</v>
      </c>
      <c r="I277">
        <f t="shared" si="301"/>
        <v>100</v>
      </c>
      <c r="J277">
        <f t="shared" si="302"/>
        <v>22.400000000000002</v>
      </c>
      <c r="K277">
        <f t="shared" si="303"/>
        <v>25.53</v>
      </c>
      <c r="M277">
        <f t="shared" si="304"/>
        <v>9</v>
      </c>
      <c r="N277">
        <f t="shared" si="305"/>
        <v>10</v>
      </c>
      <c r="P277">
        <f t="shared" si="306"/>
        <v>2.3499999999999979</v>
      </c>
      <c r="Q277">
        <f t="shared" si="307"/>
        <v>1.9699999999999989</v>
      </c>
      <c r="R277"/>
      <c r="S277">
        <f t="shared" si="308"/>
        <v>1.1749999999999989</v>
      </c>
      <c r="T277">
        <f t="shared" si="309"/>
        <v>0.98499999999999943</v>
      </c>
      <c r="V277">
        <f t="shared" si="310"/>
        <v>9</v>
      </c>
      <c r="W277">
        <f t="shared" si="311"/>
        <v>11</v>
      </c>
      <c r="X277">
        <f t="shared" si="312"/>
        <v>39</v>
      </c>
      <c r="Z277">
        <f t="shared" si="317"/>
        <v>39</v>
      </c>
      <c r="AA277">
        <v>4</v>
      </c>
      <c r="AB277">
        <v>1</v>
      </c>
      <c r="AC277" s="7">
        <f>Fencing!$C$15*(Z277+AA277+2)</f>
        <v>8.2012500000000017</v>
      </c>
      <c r="AD277" s="7">
        <f t="shared" si="318"/>
        <v>8.2012500000000017</v>
      </c>
      <c r="AF277" s="5">
        <f>Fencing!$C$26</f>
        <v>112.824</v>
      </c>
      <c r="AG277" s="5">
        <f>Fencing!$C$34</f>
        <v>36.384</v>
      </c>
      <c r="AH277" s="5">
        <f>Fencing!$C$56</f>
        <v>539.4</v>
      </c>
      <c r="AI277">
        <f>Index!$C$69</f>
        <v>11.9580460758</v>
      </c>
      <c r="AJ277" s="5">
        <f>Index!$C$53</f>
        <v>99.508928571428555</v>
      </c>
      <c r="AL277">
        <f t="shared" si="319"/>
        <v>4400.1359999999995</v>
      </c>
      <c r="AM277">
        <f t="shared" si="313"/>
        <v>145.536</v>
      </c>
      <c r="AN277">
        <f t="shared" si="314"/>
        <v>539.4</v>
      </c>
      <c r="AO277">
        <f t="shared" si="315"/>
        <v>98.070925379154772</v>
      </c>
      <c r="AP277">
        <f t="shared" si="316"/>
        <v>816.0976004464286</v>
      </c>
      <c r="AQ277">
        <v>100</v>
      </c>
      <c r="AR277">
        <f t="shared" si="320"/>
        <v>5999.2405258255822</v>
      </c>
      <c r="AT277"/>
      <c r="BG277"/>
    </row>
    <row r="278" spans="1:59" x14ac:dyDescent="0.25">
      <c r="A278">
        <v>1000</v>
      </c>
      <c r="B278" s="1">
        <f>'ABR-T'!V20</f>
        <v>3.2699999999999996</v>
      </c>
      <c r="C278" s="1">
        <f>'ABR-T'!W20</f>
        <v>9.7999999999999989</v>
      </c>
      <c r="D278">
        <v>15</v>
      </c>
      <c r="E278" s="1">
        <f t="shared" si="299"/>
        <v>3.5699999999999994</v>
      </c>
      <c r="F278" s="1">
        <f t="shared" si="300"/>
        <v>10.1</v>
      </c>
      <c r="I278">
        <f t="shared" si="301"/>
        <v>200</v>
      </c>
      <c r="J278">
        <f t="shared" si="302"/>
        <v>45.300000000000004</v>
      </c>
      <c r="K278">
        <f t="shared" si="303"/>
        <v>25.970000000000002</v>
      </c>
      <c r="M278">
        <f t="shared" si="304"/>
        <v>17</v>
      </c>
      <c r="N278">
        <f t="shared" si="305"/>
        <v>10</v>
      </c>
      <c r="P278">
        <f t="shared" si="306"/>
        <v>1.4499999999999957</v>
      </c>
      <c r="Q278">
        <f t="shared" si="307"/>
        <v>1.5299999999999976</v>
      </c>
      <c r="R278"/>
      <c r="S278">
        <f t="shared" si="308"/>
        <v>0.72499999999999787</v>
      </c>
      <c r="T278">
        <f t="shared" si="309"/>
        <v>0.76499999999999879</v>
      </c>
      <c r="V278">
        <f t="shared" si="310"/>
        <v>18</v>
      </c>
      <c r="W278">
        <f t="shared" si="311"/>
        <v>11</v>
      </c>
      <c r="X278">
        <f t="shared" si="312"/>
        <v>57</v>
      </c>
      <c r="Z278">
        <f t="shared" si="317"/>
        <v>57</v>
      </c>
      <c r="AA278">
        <v>4</v>
      </c>
      <c r="AB278">
        <v>1</v>
      </c>
      <c r="AC278" s="7">
        <f>Fencing!$C$15*(Z278+AA278+2)</f>
        <v>11.481750000000002</v>
      </c>
      <c r="AD278" s="7">
        <f t="shared" si="318"/>
        <v>11.481750000000002</v>
      </c>
      <c r="AF278" s="5">
        <f>Fencing!$C$26</f>
        <v>112.824</v>
      </c>
      <c r="AG278" s="5">
        <f>Fencing!$C$34</f>
        <v>36.384</v>
      </c>
      <c r="AH278" s="5">
        <f>Fencing!$C$56</f>
        <v>539.4</v>
      </c>
      <c r="AI278">
        <f>Index!$C$69</f>
        <v>11.9580460758</v>
      </c>
      <c r="AJ278" s="5">
        <f>Index!$C$53</f>
        <v>99.508928571428555</v>
      </c>
      <c r="AL278">
        <f t="shared" si="319"/>
        <v>6430.9679999999998</v>
      </c>
      <c r="AM278">
        <f t="shared" si="313"/>
        <v>145.536</v>
      </c>
      <c r="AN278">
        <f t="shared" si="314"/>
        <v>539.4</v>
      </c>
      <c r="AO278">
        <f t="shared" si="315"/>
        <v>137.29929553081666</v>
      </c>
      <c r="AP278">
        <f t="shared" si="316"/>
        <v>1142.536640625</v>
      </c>
      <c r="AQ278">
        <v>200</v>
      </c>
      <c r="AR278">
        <f t="shared" si="320"/>
        <v>8395.7399361558164</v>
      </c>
      <c r="AT278"/>
      <c r="BG278"/>
    </row>
    <row r="279" spans="1:59" x14ac:dyDescent="0.25">
      <c r="I279">
        <f t="shared" si="301"/>
        <v>300</v>
      </c>
      <c r="J279">
        <f t="shared" si="302"/>
        <v>45.300000000000004</v>
      </c>
      <c r="K279">
        <f t="shared" si="303"/>
        <v>45.300000000000004</v>
      </c>
      <c r="M279">
        <f t="shared" si="304"/>
        <v>17</v>
      </c>
      <c r="N279">
        <f t="shared" si="305"/>
        <v>17</v>
      </c>
      <c r="P279">
        <f t="shared" si="306"/>
        <v>1.4499999999999957</v>
      </c>
      <c r="Q279">
        <f t="shared" si="307"/>
        <v>1.4499999999999957</v>
      </c>
      <c r="R279"/>
      <c r="S279">
        <f t="shared" si="308"/>
        <v>0.72499999999999787</v>
      </c>
      <c r="T279">
        <f t="shared" si="309"/>
        <v>0.72499999999999787</v>
      </c>
      <c r="V279">
        <f t="shared" si="310"/>
        <v>18</v>
      </c>
      <c r="W279">
        <f t="shared" si="311"/>
        <v>18</v>
      </c>
      <c r="X279">
        <f t="shared" si="312"/>
        <v>71</v>
      </c>
      <c r="Z279">
        <f t="shared" si="317"/>
        <v>71</v>
      </c>
      <c r="AA279">
        <v>4</v>
      </c>
      <c r="AB279">
        <v>1</v>
      </c>
      <c r="AC279" s="7">
        <f>Fencing!$C$15*(Z279+AA279+2)</f>
        <v>14.033250000000002</v>
      </c>
      <c r="AD279" s="7">
        <f t="shared" si="318"/>
        <v>14.033250000000002</v>
      </c>
      <c r="AF279" s="5">
        <f>Fencing!$C$26</f>
        <v>112.824</v>
      </c>
      <c r="AG279" s="5">
        <f>Fencing!$C$34</f>
        <v>36.384</v>
      </c>
      <c r="AH279" s="5">
        <f>Fencing!$C$56</f>
        <v>539.4</v>
      </c>
      <c r="AI279">
        <f>Index!$C$69</f>
        <v>11.9580460758</v>
      </c>
      <c r="AJ279" s="5">
        <f>Index!$C$53</f>
        <v>99.508928571428555</v>
      </c>
      <c r="AL279">
        <f t="shared" si="319"/>
        <v>8010.5039999999999</v>
      </c>
      <c r="AM279">
        <f t="shared" si="313"/>
        <v>145.536</v>
      </c>
      <c r="AN279">
        <f t="shared" si="314"/>
        <v>539.4</v>
      </c>
      <c r="AO279">
        <f t="shared" si="315"/>
        <v>167.81025009322039</v>
      </c>
      <c r="AP279">
        <f t="shared" si="316"/>
        <v>1396.4336718750001</v>
      </c>
      <c r="AQ279">
        <v>300</v>
      </c>
      <c r="AR279">
        <f t="shared" si="320"/>
        <v>10259.683921968221</v>
      </c>
      <c r="AT279"/>
      <c r="BG279"/>
    </row>
    <row r="280" spans="1:59" x14ac:dyDescent="0.25">
      <c r="I280">
        <f t="shared" si="301"/>
        <v>400</v>
      </c>
      <c r="J280">
        <f t="shared" si="302"/>
        <v>32.64</v>
      </c>
      <c r="K280">
        <f t="shared" si="303"/>
        <v>50.5</v>
      </c>
      <c r="M280">
        <f t="shared" si="304"/>
        <v>12</v>
      </c>
      <c r="N280">
        <f t="shared" si="305"/>
        <v>19</v>
      </c>
      <c r="P280">
        <f t="shared" si="306"/>
        <v>0.35999999999999943</v>
      </c>
      <c r="Q280">
        <f t="shared" si="307"/>
        <v>1.75</v>
      </c>
      <c r="R280"/>
      <c r="S280">
        <f t="shared" si="308"/>
        <v>0.17999999999999972</v>
      </c>
      <c r="T280">
        <f t="shared" si="309"/>
        <v>0.875</v>
      </c>
      <c r="V280">
        <f t="shared" si="310"/>
        <v>13</v>
      </c>
      <c r="W280">
        <f t="shared" si="311"/>
        <v>20</v>
      </c>
      <c r="X280">
        <f t="shared" si="312"/>
        <v>65</v>
      </c>
      <c r="Z280">
        <f t="shared" si="317"/>
        <v>65</v>
      </c>
      <c r="AA280">
        <v>4</v>
      </c>
      <c r="AB280">
        <v>1</v>
      </c>
      <c r="AC280" s="7">
        <f>Fencing!$C$15*(Z280+AA280+2)</f>
        <v>12.939750000000002</v>
      </c>
      <c r="AD280" s="7">
        <f t="shared" si="318"/>
        <v>12.939750000000002</v>
      </c>
      <c r="AF280" s="5">
        <f>Fencing!$C$26</f>
        <v>112.824</v>
      </c>
      <c r="AG280" s="5">
        <f>Fencing!$C$34</f>
        <v>36.384</v>
      </c>
      <c r="AH280" s="5">
        <f>Fencing!$C$56</f>
        <v>539.4</v>
      </c>
      <c r="AI280">
        <f>Index!$C$69</f>
        <v>11.9580460758</v>
      </c>
      <c r="AJ280" s="5">
        <f>Index!$C$53</f>
        <v>99.508928571428555</v>
      </c>
      <c r="AL280">
        <f t="shared" si="319"/>
        <v>7333.5599999999995</v>
      </c>
      <c r="AM280">
        <f t="shared" si="313"/>
        <v>145.536</v>
      </c>
      <c r="AN280">
        <f t="shared" si="314"/>
        <v>539.4</v>
      </c>
      <c r="AO280">
        <f t="shared" si="315"/>
        <v>154.73412670933308</v>
      </c>
      <c r="AP280">
        <f t="shared" si="316"/>
        <v>1287.6206584821427</v>
      </c>
      <c r="AQ280">
        <v>400</v>
      </c>
      <c r="AR280">
        <f t="shared" si="320"/>
        <v>9460.8507851914746</v>
      </c>
      <c r="AT280"/>
      <c r="BG280"/>
    </row>
    <row r="281" spans="1:59" x14ac:dyDescent="0.25">
      <c r="B281" t="str">
        <f t="shared" ref="B281:E294" si="321">A86</f>
        <v>PE</v>
      </c>
      <c r="C281" t="str">
        <f t="shared" si="321"/>
        <v>Cells</v>
      </c>
      <c r="D281" t="str">
        <f t="shared" si="321"/>
        <v>Length</v>
      </c>
      <c r="E281" t="str">
        <f t="shared" si="321"/>
        <v>Width</v>
      </c>
      <c r="I281">
        <f t="shared" si="301"/>
        <v>500</v>
      </c>
      <c r="J281">
        <f t="shared" si="302"/>
        <v>53.47</v>
      </c>
      <c r="K281">
        <f t="shared" si="303"/>
        <v>50.5</v>
      </c>
      <c r="M281">
        <f t="shared" ref="M281:M284" si="322">ROUNDUP((J281/2.75),0)</f>
        <v>20</v>
      </c>
      <c r="N281">
        <f t="shared" ref="N281:N284" si="323">ROUNDUP((K281/2.75),0)</f>
        <v>19</v>
      </c>
      <c r="P281">
        <f t="shared" si="306"/>
        <v>1.5300000000000011</v>
      </c>
      <c r="Q281">
        <f t="shared" si="307"/>
        <v>1.75</v>
      </c>
      <c r="R281"/>
      <c r="S281">
        <f t="shared" ref="S281:S284" si="324">P281/2</f>
        <v>0.76500000000000057</v>
      </c>
      <c r="T281">
        <f t="shared" ref="T281:T284" si="325">Q281/2</f>
        <v>0.875</v>
      </c>
      <c r="V281">
        <f t="shared" si="310"/>
        <v>21</v>
      </c>
      <c r="W281">
        <f t="shared" si="311"/>
        <v>20</v>
      </c>
      <c r="X281">
        <f t="shared" si="312"/>
        <v>81</v>
      </c>
      <c r="Z281">
        <f t="shared" si="317"/>
        <v>81</v>
      </c>
      <c r="AA281">
        <v>4</v>
      </c>
      <c r="AB281">
        <v>1</v>
      </c>
      <c r="AC281" s="7">
        <f>Fencing!$C$15*(Z281+AA281+2)</f>
        <v>15.855750000000002</v>
      </c>
      <c r="AD281" s="7">
        <f t="shared" si="318"/>
        <v>15.855750000000002</v>
      </c>
      <c r="AF281" s="5">
        <f>Fencing!$C$26</f>
        <v>112.824</v>
      </c>
      <c r="AG281" s="5">
        <f>Fencing!$C$34</f>
        <v>36.384</v>
      </c>
      <c r="AH281" s="5">
        <f>Fencing!$C$56</f>
        <v>539.4</v>
      </c>
      <c r="AI281">
        <f>Index!$C$69</f>
        <v>11.9580460758</v>
      </c>
      <c r="AJ281" s="5">
        <f>Index!$C$53</f>
        <v>99.508928571428555</v>
      </c>
      <c r="AL281">
        <f t="shared" si="319"/>
        <v>9138.7440000000006</v>
      </c>
      <c r="AM281">
        <f t="shared" si="313"/>
        <v>145.536</v>
      </c>
      <c r="AN281">
        <f t="shared" si="314"/>
        <v>539.4</v>
      </c>
      <c r="AO281">
        <f t="shared" si="315"/>
        <v>189.60378906636589</v>
      </c>
      <c r="AP281">
        <f t="shared" si="316"/>
        <v>1577.7886941964284</v>
      </c>
      <c r="AQ281">
        <v>500</v>
      </c>
      <c r="AR281">
        <f t="shared" si="320"/>
        <v>11591.072483262795</v>
      </c>
      <c r="AT281"/>
      <c r="BG281"/>
    </row>
    <row r="282" spans="1:59" x14ac:dyDescent="0.25">
      <c r="B282">
        <f t="shared" si="321"/>
        <v>5</v>
      </c>
      <c r="C282">
        <f t="shared" si="321"/>
        <v>1</v>
      </c>
      <c r="D282">
        <f t="shared" si="321"/>
        <v>5</v>
      </c>
      <c r="E282">
        <f t="shared" si="321"/>
        <v>5</v>
      </c>
      <c r="I282">
        <f t="shared" si="301"/>
        <v>600</v>
      </c>
      <c r="J282">
        <f t="shared" si="302"/>
        <v>74.5</v>
      </c>
      <c r="K282">
        <f t="shared" si="303"/>
        <v>49.5</v>
      </c>
      <c r="M282">
        <f t="shared" si="322"/>
        <v>28</v>
      </c>
      <c r="N282">
        <f t="shared" si="323"/>
        <v>18</v>
      </c>
      <c r="P282">
        <f t="shared" si="306"/>
        <v>2.5</v>
      </c>
      <c r="Q282">
        <f t="shared" si="307"/>
        <v>0</v>
      </c>
      <c r="R282"/>
      <c r="S282">
        <f t="shared" si="324"/>
        <v>1.25</v>
      </c>
      <c r="T282">
        <f t="shared" si="325"/>
        <v>0</v>
      </c>
      <c r="V282">
        <f t="shared" si="310"/>
        <v>28</v>
      </c>
      <c r="W282">
        <f t="shared" si="311"/>
        <v>19</v>
      </c>
      <c r="X282">
        <f t="shared" si="312"/>
        <v>93</v>
      </c>
      <c r="Z282">
        <f t="shared" si="317"/>
        <v>93</v>
      </c>
      <c r="AA282">
        <v>4</v>
      </c>
      <c r="AB282">
        <v>1</v>
      </c>
      <c r="AC282" s="7">
        <f>Fencing!$C$15*(Z282+AA282+2)</f>
        <v>18.042750000000002</v>
      </c>
      <c r="AD282" s="7">
        <f t="shared" si="318"/>
        <v>18.042750000000002</v>
      </c>
      <c r="AF282" s="5">
        <f>Fencing!$C$26</f>
        <v>112.824</v>
      </c>
      <c r="AG282" s="5">
        <f>Fencing!$C$34</f>
        <v>36.384</v>
      </c>
      <c r="AH282" s="5">
        <f>Fencing!$C$56</f>
        <v>539.4</v>
      </c>
      <c r="AI282">
        <f>Index!$C$69</f>
        <v>11.9580460758</v>
      </c>
      <c r="AJ282" s="5">
        <f>Index!$C$53</f>
        <v>99.508928571428555</v>
      </c>
      <c r="AL282">
        <f t="shared" si="319"/>
        <v>10492.632</v>
      </c>
      <c r="AM282">
        <f t="shared" si="313"/>
        <v>145.536</v>
      </c>
      <c r="AN282">
        <f t="shared" si="314"/>
        <v>539.4</v>
      </c>
      <c r="AO282">
        <f t="shared" si="315"/>
        <v>215.75603583414048</v>
      </c>
      <c r="AP282">
        <f t="shared" si="316"/>
        <v>1795.4147209821426</v>
      </c>
      <c r="AQ282">
        <v>600</v>
      </c>
      <c r="AR282">
        <f t="shared" si="320"/>
        <v>13188.738756816281</v>
      </c>
      <c r="AT282"/>
      <c r="BG282"/>
    </row>
    <row r="283" spans="1:59" x14ac:dyDescent="0.25">
      <c r="B283">
        <f t="shared" si="321"/>
        <v>10</v>
      </c>
      <c r="C283">
        <f t="shared" si="321"/>
        <v>1</v>
      </c>
      <c r="D283">
        <f t="shared" si="321"/>
        <v>7.1</v>
      </c>
      <c r="E283">
        <f t="shared" si="321"/>
        <v>7.1</v>
      </c>
      <c r="I283">
        <f t="shared" si="301"/>
        <v>800</v>
      </c>
      <c r="J283">
        <f t="shared" si="302"/>
        <v>97.5</v>
      </c>
      <c r="K283">
        <f t="shared" si="303"/>
        <v>48.5</v>
      </c>
      <c r="M283">
        <f t="shared" si="322"/>
        <v>36</v>
      </c>
      <c r="N283">
        <f t="shared" si="323"/>
        <v>18</v>
      </c>
      <c r="P283">
        <f t="shared" si="306"/>
        <v>1.5</v>
      </c>
      <c r="Q283">
        <f t="shared" si="307"/>
        <v>1</v>
      </c>
      <c r="R283"/>
      <c r="S283">
        <f t="shared" si="324"/>
        <v>0.75</v>
      </c>
      <c r="T283">
        <f t="shared" si="325"/>
        <v>0.5</v>
      </c>
      <c r="V283">
        <f t="shared" si="310"/>
        <v>37</v>
      </c>
      <c r="W283">
        <f t="shared" si="311"/>
        <v>19</v>
      </c>
      <c r="X283">
        <f t="shared" si="312"/>
        <v>111</v>
      </c>
      <c r="Z283">
        <f t="shared" si="317"/>
        <v>111</v>
      </c>
      <c r="AA283">
        <v>4</v>
      </c>
      <c r="AB283">
        <v>1</v>
      </c>
      <c r="AC283" s="7">
        <f>Fencing!$C$15*(Z283+AA283+2)</f>
        <v>21.323250000000002</v>
      </c>
      <c r="AD283" s="7">
        <f t="shared" si="318"/>
        <v>21.323250000000002</v>
      </c>
      <c r="AF283" s="5">
        <f>Fencing!$C$26</f>
        <v>112.824</v>
      </c>
      <c r="AG283" s="5">
        <f>Fencing!$C$34</f>
        <v>36.384</v>
      </c>
      <c r="AH283" s="5">
        <f>Fencing!$C$56</f>
        <v>539.4</v>
      </c>
      <c r="AI283">
        <f>Index!$C$69</f>
        <v>11.9580460758</v>
      </c>
      <c r="AJ283" s="5">
        <f>Index!$C$53</f>
        <v>99.508928571428555</v>
      </c>
      <c r="AL283">
        <f t="shared" si="319"/>
        <v>12523.464</v>
      </c>
      <c r="AM283">
        <f t="shared" si="313"/>
        <v>145.536</v>
      </c>
      <c r="AN283">
        <f t="shared" si="314"/>
        <v>539.4</v>
      </c>
      <c r="AO283">
        <f t="shared" si="315"/>
        <v>254.98440598580237</v>
      </c>
      <c r="AP283">
        <f t="shared" si="316"/>
        <v>2121.8537611607139</v>
      </c>
      <c r="AQ283">
        <v>800</v>
      </c>
      <c r="AR283">
        <f t="shared" si="320"/>
        <v>15585.238167146515</v>
      </c>
      <c r="AT283"/>
      <c r="BG283"/>
    </row>
    <row r="284" spans="1:59" x14ac:dyDescent="0.25">
      <c r="B284">
        <f t="shared" si="321"/>
        <v>20</v>
      </c>
      <c r="C284">
        <f t="shared" si="321"/>
        <v>1</v>
      </c>
      <c r="D284">
        <f t="shared" si="321"/>
        <v>10</v>
      </c>
      <c r="E284">
        <f t="shared" si="321"/>
        <v>10</v>
      </c>
      <c r="I284">
        <f t="shared" si="301"/>
        <v>1000</v>
      </c>
      <c r="J284">
        <f t="shared" si="302"/>
        <v>110.71</v>
      </c>
      <c r="K284">
        <f t="shared" si="303"/>
        <v>50.5</v>
      </c>
      <c r="M284">
        <f t="shared" si="322"/>
        <v>41</v>
      </c>
      <c r="N284">
        <f t="shared" si="323"/>
        <v>19</v>
      </c>
      <c r="P284">
        <f t="shared" si="306"/>
        <v>2.0400000000000063</v>
      </c>
      <c r="Q284">
        <f t="shared" si="307"/>
        <v>1.75</v>
      </c>
      <c r="R284"/>
      <c r="S284">
        <f t="shared" si="324"/>
        <v>1.0200000000000031</v>
      </c>
      <c r="T284">
        <f t="shared" si="325"/>
        <v>0.875</v>
      </c>
      <c r="V284">
        <f t="shared" si="310"/>
        <v>41</v>
      </c>
      <c r="W284">
        <f t="shared" si="311"/>
        <v>20</v>
      </c>
      <c r="X284">
        <f t="shared" si="312"/>
        <v>121</v>
      </c>
      <c r="Z284">
        <f t="shared" si="317"/>
        <v>121</v>
      </c>
      <c r="AA284">
        <v>4</v>
      </c>
      <c r="AB284">
        <v>1</v>
      </c>
      <c r="AC284" s="7">
        <f>Fencing!$C$15*(Z284+AA284+2)</f>
        <v>23.145750000000003</v>
      </c>
      <c r="AD284" s="7">
        <f t="shared" si="318"/>
        <v>23.145750000000003</v>
      </c>
      <c r="AF284" s="5">
        <f>Fencing!$C$26</f>
        <v>112.824</v>
      </c>
      <c r="AG284" s="5">
        <f>Fencing!$C$34</f>
        <v>36.384</v>
      </c>
      <c r="AH284" s="5">
        <f>Fencing!$C$56</f>
        <v>539.4</v>
      </c>
      <c r="AI284">
        <f>Index!$C$69</f>
        <v>11.9580460758</v>
      </c>
      <c r="AJ284" s="5">
        <f>Index!$C$53</f>
        <v>99.508928571428555</v>
      </c>
      <c r="AL284">
        <f t="shared" si="319"/>
        <v>13651.704</v>
      </c>
      <c r="AM284">
        <f t="shared" si="313"/>
        <v>145.536</v>
      </c>
      <c r="AN284">
        <f t="shared" si="314"/>
        <v>539.4</v>
      </c>
      <c r="AO284">
        <f t="shared" si="315"/>
        <v>276.7779449589479</v>
      </c>
      <c r="AP284">
        <f t="shared" si="316"/>
        <v>2303.2087834821427</v>
      </c>
      <c r="AQ284">
        <v>1000</v>
      </c>
      <c r="AR284">
        <f t="shared" si="320"/>
        <v>16916.62672844109</v>
      </c>
      <c r="AT284"/>
      <c r="BG284"/>
    </row>
    <row r="285" spans="1:59" x14ac:dyDescent="0.25">
      <c r="B285">
        <f t="shared" si="321"/>
        <v>30</v>
      </c>
      <c r="C285">
        <f t="shared" si="321"/>
        <v>1</v>
      </c>
      <c r="D285">
        <f t="shared" si="321"/>
        <v>12.299999999999999</v>
      </c>
      <c r="E285">
        <f t="shared" si="321"/>
        <v>12.299999999999999</v>
      </c>
      <c r="R285"/>
      <c r="AC285"/>
      <c r="AF285"/>
      <c r="AN285"/>
      <c r="AT285"/>
      <c r="BG285"/>
    </row>
    <row r="286" spans="1:59" x14ac:dyDescent="0.25">
      <c r="B286">
        <f t="shared" si="321"/>
        <v>50</v>
      </c>
      <c r="C286">
        <f t="shared" si="321"/>
        <v>1</v>
      </c>
      <c r="D286">
        <f t="shared" si="321"/>
        <v>15.9</v>
      </c>
      <c r="E286">
        <f t="shared" si="321"/>
        <v>15.9</v>
      </c>
      <c r="R286"/>
      <c r="AC286"/>
      <c r="AF286"/>
      <c r="AN286"/>
      <c r="AT286"/>
      <c r="BG286"/>
    </row>
    <row r="287" spans="1:59" x14ac:dyDescent="0.25">
      <c r="B287">
        <f t="shared" si="321"/>
        <v>75</v>
      </c>
      <c r="C287">
        <f t="shared" si="321"/>
        <v>1</v>
      </c>
      <c r="D287">
        <f t="shared" si="321"/>
        <v>19.400000000000002</v>
      </c>
      <c r="E287">
        <f t="shared" si="321"/>
        <v>19.400000000000002</v>
      </c>
      <c r="R287"/>
      <c r="AC287"/>
      <c r="AF287"/>
      <c r="AN287"/>
      <c r="AT287"/>
      <c r="BG287"/>
    </row>
    <row r="288" spans="1:59" x14ac:dyDescent="0.25">
      <c r="B288">
        <f t="shared" si="321"/>
        <v>100</v>
      </c>
      <c r="C288">
        <f t="shared" si="321"/>
        <v>1</v>
      </c>
      <c r="D288">
        <f t="shared" si="321"/>
        <v>22.400000000000002</v>
      </c>
      <c r="E288">
        <f t="shared" si="321"/>
        <v>22.400000000000002</v>
      </c>
      <c r="R288"/>
      <c r="AC288"/>
      <c r="AF288"/>
      <c r="AN288"/>
      <c r="AT288"/>
      <c r="BG288"/>
    </row>
    <row r="289" spans="2:59" x14ac:dyDescent="0.25">
      <c r="B289">
        <f t="shared" si="321"/>
        <v>150</v>
      </c>
      <c r="C289">
        <f t="shared" si="321"/>
        <v>2</v>
      </c>
      <c r="D289">
        <f t="shared" si="321"/>
        <v>19.400000000000002</v>
      </c>
      <c r="E289">
        <f t="shared" si="321"/>
        <v>19.400000000000002</v>
      </c>
      <c r="R289"/>
      <c r="AC289"/>
      <c r="AF289"/>
      <c r="AN289"/>
      <c r="AT289"/>
      <c r="BG289"/>
    </row>
    <row r="290" spans="2:59" x14ac:dyDescent="0.25">
      <c r="B290">
        <f t="shared" si="321"/>
        <v>200</v>
      </c>
      <c r="C290">
        <f t="shared" si="321"/>
        <v>2</v>
      </c>
      <c r="D290">
        <f t="shared" si="321"/>
        <v>22.400000000000002</v>
      </c>
      <c r="E290">
        <f t="shared" si="321"/>
        <v>22.400000000000002</v>
      </c>
      <c r="R290"/>
      <c r="AC290"/>
      <c r="AF290"/>
      <c r="AN290"/>
      <c r="AT290"/>
      <c r="BG290"/>
    </row>
    <row r="291" spans="2:59" x14ac:dyDescent="0.25">
      <c r="B291">
        <f t="shared" si="321"/>
        <v>300</v>
      </c>
      <c r="C291">
        <f t="shared" si="321"/>
        <v>3</v>
      </c>
      <c r="D291">
        <f t="shared" si="321"/>
        <v>22.400000000000002</v>
      </c>
      <c r="E291">
        <f t="shared" si="321"/>
        <v>22.400000000000002</v>
      </c>
      <c r="R291"/>
      <c r="AC291"/>
      <c r="AF291"/>
      <c r="AN291"/>
      <c r="AT291"/>
      <c r="BG291"/>
    </row>
    <row r="292" spans="2:59" x14ac:dyDescent="0.25">
      <c r="B292">
        <f t="shared" si="321"/>
        <v>400</v>
      </c>
      <c r="C292">
        <f t="shared" si="321"/>
        <v>4</v>
      </c>
      <c r="D292">
        <f t="shared" si="321"/>
        <v>22.400000000000002</v>
      </c>
      <c r="E292">
        <f t="shared" si="321"/>
        <v>22.400000000000002</v>
      </c>
      <c r="R292"/>
      <c r="AC292"/>
      <c r="AF292"/>
      <c r="AN292"/>
      <c r="AT292"/>
      <c r="BG292"/>
    </row>
    <row r="293" spans="2:59" x14ac:dyDescent="0.25">
      <c r="B293">
        <f t="shared" si="321"/>
        <v>500</v>
      </c>
      <c r="C293">
        <f t="shared" si="321"/>
        <v>4</v>
      </c>
      <c r="D293">
        <f t="shared" si="321"/>
        <v>25</v>
      </c>
      <c r="E293">
        <f t="shared" si="321"/>
        <v>25</v>
      </c>
      <c r="R293"/>
      <c r="AC293"/>
      <c r="AF293"/>
      <c r="AN293"/>
      <c r="AT293"/>
      <c r="BG293"/>
    </row>
    <row r="294" spans="2:59" x14ac:dyDescent="0.25">
      <c r="B294">
        <f t="shared" si="321"/>
        <v>600</v>
      </c>
      <c r="C294">
        <f t="shared" si="321"/>
        <v>5</v>
      </c>
      <c r="D294">
        <f t="shared" si="321"/>
        <v>24.5</v>
      </c>
      <c r="E294">
        <f t="shared" si="321"/>
        <v>24.5</v>
      </c>
      <c r="R294"/>
      <c r="AC294"/>
      <c r="AF294"/>
      <c r="AN294"/>
      <c r="AT294"/>
      <c r="BG294"/>
    </row>
    <row r="295" spans="2:59" x14ac:dyDescent="0.25">
      <c r="B295">
        <f t="shared" ref="B295:E296" si="326">A101</f>
        <v>800</v>
      </c>
      <c r="C295">
        <f t="shared" si="326"/>
        <v>7</v>
      </c>
      <c r="D295">
        <f t="shared" si="326"/>
        <v>24</v>
      </c>
      <c r="E295">
        <f t="shared" si="326"/>
        <v>24</v>
      </c>
      <c r="R295"/>
      <c r="AC295"/>
      <c r="AF295"/>
      <c r="AN295"/>
      <c r="AT295"/>
      <c r="BG295"/>
    </row>
    <row r="296" spans="2:59" x14ac:dyDescent="0.25">
      <c r="B296">
        <f t="shared" si="326"/>
        <v>1000</v>
      </c>
      <c r="C296">
        <f t="shared" si="326"/>
        <v>8</v>
      </c>
      <c r="D296">
        <f t="shared" si="326"/>
        <v>25</v>
      </c>
      <c r="E296">
        <f t="shared" si="326"/>
        <v>25</v>
      </c>
      <c r="R296"/>
      <c r="AC296"/>
      <c r="AF296"/>
      <c r="AN296"/>
      <c r="AT296"/>
      <c r="BG296"/>
    </row>
    <row r="297" spans="2:59" x14ac:dyDescent="0.25">
      <c r="R297"/>
      <c r="AC297"/>
      <c r="AF297"/>
      <c r="AN297"/>
      <c r="AT297"/>
      <c r="BG297"/>
    </row>
    <row r="298" spans="2:59" x14ac:dyDescent="0.25">
      <c r="R298"/>
      <c r="AC298"/>
      <c r="AF298"/>
      <c r="AN298"/>
      <c r="AT298"/>
      <c r="BG298"/>
    </row>
    <row r="299" spans="2:59" x14ac:dyDescent="0.25">
      <c r="B299" t="s">
        <v>129</v>
      </c>
      <c r="R299"/>
      <c r="AC299"/>
      <c r="AF299"/>
      <c r="AN299"/>
      <c r="AT299"/>
      <c r="BG299"/>
    </row>
    <row r="300" spans="2:59" x14ac:dyDescent="0.25">
      <c r="R300"/>
      <c r="AC300"/>
      <c r="AF300"/>
      <c r="AN300"/>
      <c r="AT300"/>
      <c r="BG300"/>
    </row>
    <row r="301" spans="2:59" x14ac:dyDescent="0.25">
      <c r="B301" t="str">
        <f t="shared" ref="B301:B308" si="327">B281</f>
        <v>PE</v>
      </c>
      <c r="C301" t="s">
        <v>150</v>
      </c>
      <c r="D301" t="s">
        <v>116</v>
      </c>
      <c r="R301"/>
      <c r="AC301"/>
      <c r="AF301"/>
      <c r="AN301"/>
      <c r="AT301"/>
      <c r="BG301"/>
    </row>
    <row r="302" spans="2:59" x14ac:dyDescent="0.25">
      <c r="B302">
        <f t="shared" si="327"/>
        <v>5</v>
      </c>
      <c r="C302">
        <f>D282</f>
        <v>5</v>
      </c>
      <c r="D302" s="1">
        <f t="shared" ref="D302:D306" si="328">E282+E265</f>
        <v>6.2</v>
      </c>
      <c r="R302"/>
      <c r="AC302"/>
      <c r="AF302"/>
      <c r="AN302"/>
      <c r="AT302"/>
      <c r="BG302"/>
    </row>
    <row r="303" spans="2:59" x14ac:dyDescent="0.25">
      <c r="B303">
        <f t="shared" si="327"/>
        <v>10</v>
      </c>
      <c r="C303">
        <f t="shared" ref="C303:C306" si="329">D283</f>
        <v>7.1</v>
      </c>
      <c r="D303" s="1">
        <f t="shared" si="328"/>
        <v>8.67</v>
      </c>
      <c r="R303"/>
      <c r="AC303"/>
      <c r="AF303"/>
      <c r="AN303"/>
      <c r="AT303"/>
      <c r="BG303"/>
    </row>
    <row r="304" spans="2:59" x14ac:dyDescent="0.25">
      <c r="B304">
        <f t="shared" si="327"/>
        <v>20</v>
      </c>
      <c r="C304">
        <f t="shared" si="329"/>
        <v>10</v>
      </c>
      <c r="D304" s="1">
        <f t="shared" si="328"/>
        <v>12.09</v>
      </c>
      <c r="R304"/>
      <c r="AC304"/>
      <c r="AF304"/>
      <c r="AN304"/>
      <c r="AT304"/>
      <c r="BG304"/>
    </row>
    <row r="305" spans="2:59" x14ac:dyDescent="0.25">
      <c r="B305">
        <f t="shared" si="327"/>
        <v>30</v>
      </c>
      <c r="C305">
        <f t="shared" si="329"/>
        <v>12.299999999999999</v>
      </c>
      <c r="D305" s="1">
        <f t="shared" si="328"/>
        <v>14.799999999999999</v>
      </c>
      <c r="R305"/>
      <c r="AC305"/>
      <c r="AF305"/>
      <c r="AN305"/>
      <c r="AT305"/>
      <c r="BG305"/>
    </row>
    <row r="306" spans="2:59" x14ac:dyDescent="0.25">
      <c r="B306">
        <f t="shared" si="327"/>
        <v>50</v>
      </c>
      <c r="C306">
        <f t="shared" si="329"/>
        <v>15.9</v>
      </c>
      <c r="D306" s="1">
        <f t="shared" si="328"/>
        <v>19.03</v>
      </c>
      <c r="R306"/>
      <c r="AC306"/>
      <c r="AF306"/>
      <c r="AN306"/>
      <c r="AT306"/>
      <c r="BG306"/>
    </row>
    <row r="307" spans="2:59" x14ac:dyDescent="0.25">
      <c r="B307">
        <f t="shared" si="327"/>
        <v>75</v>
      </c>
      <c r="C307">
        <f>D287</f>
        <v>19.400000000000002</v>
      </c>
      <c r="D307" s="1">
        <f>E287+E270</f>
        <v>22.150000000000002</v>
      </c>
      <c r="R307"/>
      <c r="AC307"/>
      <c r="AF307"/>
      <c r="AN307"/>
      <c r="AT307"/>
      <c r="BG307"/>
    </row>
    <row r="308" spans="2:59" x14ac:dyDescent="0.25">
      <c r="B308">
        <f t="shared" si="327"/>
        <v>100</v>
      </c>
      <c r="C308">
        <f>D288</f>
        <v>22.400000000000002</v>
      </c>
      <c r="D308" s="1">
        <f>E288+E271</f>
        <v>25.53</v>
      </c>
      <c r="R308"/>
      <c r="AC308"/>
      <c r="AF308"/>
      <c r="AN308"/>
      <c r="AT308"/>
      <c r="BG308"/>
    </row>
    <row r="309" spans="2:59" x14ac:dyDescent="0.25">
      <c r="B309">
        <f t="shared" ref="B309:B315" si="330">B290</f>
        <v>200</v>
      </c>
      <c r="C309">
        <f>D290*2+0.5</f>
        <v>45.300000000000004</v>
      </c>
      <c r="D309" s="1">
        <f>E290+E272</f>
        <v>25.970000000000002</v>
      </c>
      <c r="R309"/>
      <c r="AC309"/>
      <c r="AF309"/>
      <c r="AN309"/>
      <c r="AT309"/>
      <c r="BG309"/>
    </row>
    <row r="310" spans="2:59" x14ac:dyDescent="0.25">
      <c r="B310">
        <f t="shared" si="330"/>
        <v>300</v>
      </c>
      <c r="C310">
        <f>D291*2+0.5</f>
        <v>45.300000000000004</v>
      </c>
      <c r="D310">
        <f>C310</f>
        <v>45.300000000000004</v>
      </c>
      <c r="R310"/>
      <c r="AC310"/>
      <c r="AF310"/>
      <c r="AN310"/>
      <c r="AT310"/>
      <c r="BG310"/>
    </row>
    <row r="311" spans="2:59" x14ac:dyDescent="0.25">
      <c r="B311">
        <f t="shared" si="330"/>
        <v>400</v>
      </c>
      <c r="C311">
        <f>25+E274*2+0.5</f>
        <v>32.64</v>
      </c>
      <c r="D311">
        <f>D312</f>
        <v>50.5</v>
      </c>
      <c r="R311"/>
      <c r="AC311"/>
      <c r="AF311"/>
      <c r="AN311"/>
      <c r="AT311"/>
      <c r="BG311"/>
    </row>
    <row r="312" spans="2:59" x14ac:dyDescent="0.25">
      <c r="B312">
        <f t="shared" si="330"/>
        <v>500</v>
      </c>
      <c r="C312">
        <f>D293*2+E275</f>
        <v>53.47</v>
      </c>
      <c r="D312">
        <f>E293*2+0.5</f>
        <v>50.5</v>
      </c>
      <c r="R312"/>
      <c r="AC312"/>
      <c r="AF312"/>
      <c r="AN312"/>
      <c r="AT312"/>
      <c r="BG312"/>
    </row>
    <row r="313" spans="2:59" x14ac:dyDescent="0.25">
      <c r="B313">
        <f t="shared" si="330"/>
        <v>600</v>
      </c>
      <c r="C313">
        <f>D294*3+1</f>
        <v>74.5</v>
      </c>
      <c r="D313">
        <f>E294*2+0.5</f>
        <v>49.5</v>
      </c>
      <c r="R313"/>
      <c r="AC313"/>
      <c r="AF313"/>
      <c r="AN313"/>
      <c r="AT313"/>
      <c r="BG313"/>
    </row>
    <row r="314" spans="2:59" x14ac:dyDescent="0.25">
      <c r="B314">
        <f t="shared" si="330"/>
        <v>800</v>
      </c>
      <c r="C314">
        <f>D295*4+0.5*3</f>
        <v>97.5</v>
      </c>
      <c r="D314">
        <f>E295*2+0.5</f>
        <v>48.5</v>
      </c>
      <c r="R314"/>
      <c r="AC314"/>
      <c r="AF314"/>
      <c r="AN314"/>
      <c r="AT314"/>
      <c r="BG314"/>
    </row>
    <row r="315" spans="2:59" x14ac:dyDescent="0.25">
      <c r="B315">
        <f t="shared" si="330"/>
        <v>1000</v>
      </c>
      <c r="C315">
        <f>D296*4+E278*3</f>
        <v>110.71</v>
      </c>
      <c r="D315">
        <f>25*2+0.5</f>
        <v>50.5</v>
      </c>
      <c r="R315"/>
      <c r="AC315"/>
      <c r="AF315"/>
      <c r="AN315"/>
      <c r="AT315"/>
      <c r="BG315"/>
    </row>
    <row r="316" spans="2:59" x14ac:dyDescent="0.25">
      <c r="R316"/>
      <c r="AC316"/>
      <c r="AF316"/>
      <c r="AN316"/>
      <c r="AT316"/>
      <c r="BG316"/>
    </row>
    <row r="317" spans="2:59" x14ac:dyDescent="0.25">
      <c r="R317"/>
      <c r="AC317"/>
      <c r="AF317"/>
      <c r="AN317"/>
      <c r="AT317"/>
      <c r="BG317"/>
    </row>
    <row r="318" spans="2:59" x14ac:dyDescent="0.25">
      <c r="R318"/>
      <c r="AC318"/>
      <c r="AF318"/>
      <c r="AN318"/>
      <c r="AT318"/>
      <c r="BG318"/>
    </row>
    <row r="319" spans="2:59" x14ac:dyDescent="0.25">
      <c r="B319" t="s">
        <v>128</v>
      </c>
      <c r="R319"/>
      <c r="AC319"/>
      <c r="AF319"/>
      <c r="AN319"/>
      <c r="AT319"/>
      <c r="BG319"/>
    </row>
    <row r="320" spans="2:59" x14ac:dyDescent="0.25">
      <c r="R320"/>
      <c r="AC320"/>
      <c r="AF320"/>
      <c r="AN320"/>
      <c r="AT320"/>
      <c r="BG320"/>
    </row>
    <row r="321" spans="2:59" x14ac:dyDescent="0.25">
      <c r="B321" t="str">
        <f t="shared" ref="B321:B327" si="331">B301</f>
        <v>PE</v>
      </c>
      <c r="C321" t="s">
        <v>150</v>
      </c>
      <c r="D321" t="s">
        <v>116</v>
      </c>
      <c r="R321"/>
      <c r="AC321"/>
      <c r="AF321"/>
      <c r="AN321"/>
      <c r="AT321"/>
      <c r="BG321"/>
    </row>
    <row r="322" spans="2:59" x14ac:dyDescent="0.25">
      <c r="B322">
        <f t="shared" si="331"/>
        <v>5</v>
      </c>
      <c r="C322">
        <f>F248+D282</f>
        <v>6.3</v>
      </c>
      <c r="D322">
        <f t="shared" ref="D322:D327" si="332">E282</f>
        <v>5</v>
      </c>
      <c r="R322"/>
      <c r="AC322"/>
      <c r="AF322"/>
      <c r="AN322"/>
      <c r="AT322"/>
      <c r="BG322"/>
    </row>
    <row r="323" spans="2:59" x14ac:dyDescent="0.25">
      <c r="B323">
        <f t="shared" si="331"/>
        <v>10</v>
      </c>
      <c r="C323">
        <f t="shared" ref="C323:C327" si="333">F249+D283</f>
        <v>8.7483997249264842</v>
      </c>
      <c r="D323">
        <f t="shared" si="332"/>
        <v>7.1</v>
      </c>
      <c r="R323"/>
      <c r="AC323"/>
      <c r="AF323"/>
      <c r="AN323"/>
      <c r="AT323"/>
      <c r="BG323"/>
    </row>
    <row r="324" spans="2:59" x14ac:dyDescent="0.25">
      <c r="B324">
        <f t="shared" si="331"/>
        <v>20</v>
      </c>
      <c r="C324">
        <f t="shared" si="333"/>
        <v>12.206925178491185</v>
      </c>
      <c r="D324">
        <f t="shared" si="332"/>
        <v>10</v>
      </c>
      <c r="R324"/>
      <c r="AC324"/>
      <c r="AF324"/>
      <c r="AN324"/>
      <c r="AT324"/>
      <c r="BG324"/>
    </row>
    <row r="325" spans="2:59" x14ac:dyDescent="0.25">
      <c r="B325">
        <f t="shared" si="331"/>
        <v>30</v>
      </c>
      <c r="C325">
        <f t="shared" si="333"/>
        <v>14.935496832484567</v>
      </c>
      <c r="D325">
        <f t="shared" si="332"/>
        <v>12.299999999999999</v>
      </c>
      <c r="R325"/>
      <c r="AC325"/>
      <c r="AF325"/>
      <c r="AN325"/>
      <c r="AT325"/>
      <c r="BG325"/>
    </row>
    <row r="326" spans="2:59" x14ac:dyDescent="0.25">
      <c r="B326">
        <f t="shared" si="331"/>
        <v>50</v>
      </c>
      <c r="C326">
        <f t="shared" si="333"/>
        <v>19.215113445777636</v>
      </c>
      <c r="D326">
        <f t="shared" si="332"/>
        <v>15.9</v>
      </c>
      <c r="R326"/>
      <c r="AC326"/>
      <c r="AF326"/>
      <c r="AN326"/>
      <c r="AT326"/>
      <c r="BG326"/>
    </row>
    <row r="327" spans="2:59" x14ac:dyDescent="0.25">
      <c r="B327">
        <f t="shared" si="331"/>
        <v>75</v>
      </c>
      <c r="C327">
        <f t="shared" si="333"/>
        <v>23.392744729379984</v>
      </c>
      <c r="D327">
        <f t="shared" si="332"/>
        <v>19.400000000000002</v>
      </c>
      <c r="R327"/>
      <c r="AC327"/>
      <c r="AF327"/>
      <c r="AN327"/>
      <c r="AT327"/>
      <c r="BG327"/>
    </row>
    <row r="328" spans="2:59" x14ac:dyDescent="0.25">
      <c r="B328">
        <v>100</v>
      </c>
      <c r="C328">
        <f>F254+D288</f>
        <v>26.96401432711221</v>
      </c>
      <c r="D328">
        <f>E288</f>
        <v>22.400000000000002</v>
      </c>
      <c r="R328"/>
      <c r="AC328"/>
      <c r="AF328"/>
      <c r="AN328"/>
      <c r="AT328"/>
      <c r="BG328"/>
    </row>
    <row r="329" spans="2:59" x14ac:dyDescent="0.25">
      <c r="B329">
        <f t="shared" ref="B329:B335" si="334">B309</f>
        <v>200</v>
      </c>
      <c r="C329">
        <f>F255+D290*2</f>
        <v>51.130226891555274</v>
      </c>
      <c r="D329">
        <f>E290</f>
        <v>22.400000000000002</v>
      </c>
      <c r="R329"/>
      <c r="AC329"/>
      <c r="AF329"/>
      <c r="AN329"/>
      <c r="AT329"/>
      <c r="BG329"/>
    </row>
    <row r="330" spans="2:59" x14ac:dyDescent="0.25">
      <c r="B330">
        <f t="shared" si="334"/>
        <v>300</v>
      </c>
      <c r="C330">
        <f>F256+D291*2</f>
        <v>52.485489458759972</v>
      </c>
      <c r="D330">
        <f t="shared" ref="D330:D335" si="335">E291*2+0.5</f>
        <v>45.300000000000004</v>
      </c>
      <c r="R330"/>
      <c r="AC330"/>
      <c r="AF330"/>
      <c r="AN330"/>
      <c r="AT330"/>
      <c r="BG330"/>
    </row>
    <row r="331" spans="2:59" x14ac:dyDescent="0.25">
      <c r="B331">
        <f t="shared" si="334"/>
        <v>400</v>
      </c>
      <c r="C331">
        <f>F257+D292*2</f>
        <v>53.628028654224423</v>
      </c>
      <c r="D331">
        <f t="shared" si="335"/>
        <v>45.300000000000004</v>
      </c>
      <c r="R331"/>
      <c r="AC331"/>
      <c r="AF331"/>
      <c r="AN331"/>
      <c r="AT331"/>
      <c r="BG331"/>
    </row>
    <row r="332" spans="2:59" x14ac:dyDescent="0.25">
      <c r="B332">
        <f t="shared" si="334"/>
        <v>500</v>
      </c>
      <c r="C332">
        <f>F258+D293*2</f>
        <v>59.834625892455925</v>
      </c>
      <c r="D332">
        <f t="shared" si="335"/>
        <v>50.5</v>
      </c>
      <c r="R332"/>
      <c r="AC332"/>
      <c r="AF332"/>
      <c r="AN332"/>
      <c r="AT332"/>
      <c r="BG332"/>
    </row>
    <row r="333" spans="2:59" x14ac:dyDescent="0.25">
      <c r="B333">
        <f t="shared" si="334"/>
        <v>600</v>
      </c>
      <c r="C333">
        <f>F259+D294*3</f>
        <v>84.244659357341874</v>
      </c>
      <c r="D333">
        <f t="shared" si="335"/>
        <v>49.5</v>
      </c>
      <c r="R333"/>
      <c r="AC333"/>
      <c r="AF333"/>
      <c r="AN333"/>
      <c r="AT333"/>
      <c r="BG333"/>
    </row>
    <row r="334" spans="2:59" x14ac:dyDescent="0.25">
      <c r="B334">
        <f t="shared" si="334"/>
        <v>800</v>
      </c>
      <c r="C334">
        <f>F260+D295*4</f>
        <v>108.36045378311054</v>
      </c>
      <c r="D334">
        <f t="shared" si="335"/>
        <v>48.5</v>
      </c>
      <c r="R334"/>
      <c r="AC334"/>
      <c r="AF334"/>
      <c r="AN334"/>
      <c r="AT334"/>
      <c r="BG334"/>
    </row>
    <row r="335" spans="2:59" x14ac:dyDescent="0.25">
      <c r="B335">
        <f t="shared" si="334"/>
        <v>1000</v>
      </c>
      <c r="C335">
        <f>F261+D296*4</f>
        <v>113.78399724926484</v>
      </c>
      <c r="D335">
        <f t="shared" si="335"/>
        <v>50.5</v>
      </c>
      <c r="R335"/>
      <c r="AC335"/>
      <c r="AF335"/>
      <c r="AN335"/>
      <c r="AT335"/>
      <c r="BG335"/>
    </row>
    <row r="336" spans="2:59" x14ac:dyDescent="0.25">
      <c r="R336"/>
      <c r="AC336"/>
      <c r="AF336"/>
      <c r="AN336"/>
      <c r="AT336"/>
      <c r="BG336"/>
    </row>
    <row r="337" spans="18:59" x14ac:dyDescent="0.25">
      <c r="R337"/>
      <c r="AC337"/>
      <c r="AF337"/>
      <c r="AN337"/>
      <c r="AT337"/>
      <c r="BG337"/>
    </row>
    <row r="338" spans="18:59" x14ac:dyDescent="0.25">
      <c r="R338"/>
      <c r="AC338"/>
      <c r="AF338"/>
      <c r="AN338"/>
      <c r="AT338"/>
      <c r="BG338"/>
    </row>
    <row r="339" spans="18:59" x14ac:dyDescent="0.25">
      <c r="R339"/>
      <c r="AC339"/>
      <c r="AF339"/>
      <c r="AN339"/>
      <c r="AT339"/>
      <c r="BG339"/>
    </row>
    <row r="340" spans="18:59" x14ac:dyDescent="0.25">
      <c r="R340"/>
      <c r="AC340"/>
      <c r="AF340"/>
      <c r="AN340"/>
      <c r="AT340"/>
      <c r="BG340"/>
    </row>
    <row r="341" spans="18:59" x14ac:dyDescent="0.25">
      <c r="R341"/>
      <c r="AC341"/>
      <c r="AF341"/>
      <c r="AN341"/>
      <c r="AT341"/>
      <c r="BG341"/>
    </row>
    <row r="342" spans="18:59" x14ac:dyDescent="0.25">
      <c r="R342"/>
      <c r="AC342"/>
      <c r="AF342"/>
      <c r="AN342"/>
      <c r="AT342"/>
      <c r="BG342"/>
    </row>
    <row r="343" spans="18:59" x14ac:dyDescent="0.25">
      <c r="R343"/>
      <c r="AC343"/>
      <c r="AF343"/>
      <c r="AN343"/>
      <c r="AT343"/>
      <c r="BG343"/>
    </row>
    <row r="344" spans="18:59" x14ac:dyDescent="0.25">
      <c r="R344"/>
      <c r="AC344"/>
      <c r="AF344"/>
      <c r="AN344"/>
      <c r="AT344"/>
      <c r="BG344"/>
    </row>
    <row r="345" spans="18:59" x14ac:dyDescent="0.25">
      <c r="R345"/>
      <c r="AC345"/>
      <c r="AF345"/>
      <c r="AN345"/>
      <c r="AT345"/>
      <c r="BG345"/>
    </row>
    <row r="346" spans="18:59" x14ac:dyDescent="0.25">
      <c r="R346"/>
      <c r="AC346"/>
      <c r="AF346"/>
      <c r="AN346"/>
      <c r="AT346"/>
      <c r="BG346"/>
    </row>
    <row r="347" spans="18:59" x14ac:dyDescent="0.25">
      <c r="R347"/>
      <c r="AC347"/>
      <c r="AF347"/>
      <c r="AN347"/>
      <c r="AT347"/>
      <c r="BG347"/>
    </row>
    <row r="348" spans="18:59" x14ac:dyDescent="0.25">
      <c r="R348"/>
      <c r="AC348"/>
      <c r="AF348"/>
      <c r="AN348"/>
      <c r="AT348"/>
      <c r="BG348"/>
    </row>
    <row r="349" spans="18:59" x14ac:dyDescent="0.25">
      <c r="R349"/>
      <c r="AC349"/>
      <c r="AF349"/>
      <c r="AN349"/>
      <c r="AT349"/>
      <c r="BG349"/>
    </row>
    <row r="350" spans="18:59" x14ac:dyDescent="0.25">
      <c r="R350"/>
      <c r="AC350"/>
      <c r="AF350"/>
      <c r="AN350"/>
      <c r="AT350"/>
      <c r="BG350"/>
    </row>
    <row r="351" spans="18:59" x14ac:dyDescent="0.25">
      <c r="R351"/>
      <c r="AC351"/>
      <c r="AF351"/>
      <c r="AN351"/>
      <c r="AT351"/>
      <c r="BG351"/>
    </row>
    <row r="352" spans="18:59" x14ac:dyDescent="0.25">
      <c r="R352"/>
      <c r="AC352"/>
      <c r="AF352"/>
      <c r="AN352"/>
      <c r="AT352"/>
      <c r="BG352"/>
    </row>
    <row r="353" spans="18:59" x14ac:dyDescent="0.25">
      <c r="R353"/>
      <c r="AC353"/>
      <c r="AF353"/>
      <c r="AN353"/>
      <c r="AT353"/>
      <c r="BG353"/>
    </row>
    <row r="354" spans="18:59" x14ac:dyDescent="0.25">
      <c r="R354"/>
      <c r="AC354"/>
      <c r="AF354"/>
      <c r="AN354"/>
      <c r="AT354"/>
      <c r="BG354"/>
    </row>
    <row r="355" spans="18:59" x14ac:dyDescent="0.25">
      <c r="R355"/>
      <c r="AC355"/>
      <c r="AF355"/>
      <c r="AN355"/>
      <c r="AT355"/>
      <c r="BG355"/>
    </row>
    <row r="356" spans="18:59" x14ac:dyDescent="0.25">
      <c r="R356"/>
      <c r="AC356"/>
      <c r="AF356"/>
      <c r="AN356"/>
      <c r="AT356"/>
      <c r="BG356"/>
    </row>
    <row r="357" spans="18:59" x14ac:dyDescent="0.25">
      <c r="R357"/>
      <c r="AC357"/>
      <c r="AF357"/>
      <c r="AN357"/>
      <c r="AT357"/>
      <c r="BG357"/>
    </row>
    <row r="358" spans="18:59" x14ac:dyDescent="0.25">
      <c r="R358"/>
      <c r="AC358"/>
      <c r="AF358"/>
      <c r="AN358"/>
      <c r="AT358"/>
      <c r="BG358"/>
    </row>
    <row r="359" spans="18:59" x14ac:dyDescent="0.25">
      <c r="R359"/>
      <c r="AC359"/>
      <c r="AF359"/>
      <c r="AN359"/>
      <c r="AT359"/>
      <c r="BG359"/>
    </row>
    <row r="360" spans="18:59" x14ac:dyDescent="0.25">
      <c r="R360"/>
      <c r="AC360"/>
      <c r="AF360"/>
      <c r="AN360"/>
      <c r="AT360"/>
      <c r="BG360"/>
    </row>
    <row r="361" spans="18:59" x14ac:dyDescent="0.25">
      <c r="R361"/>
      <c r="AC361"/>
      <c r="AF361"/>
      <c r="AN361"/>
      <c r="AT361"/>
      <c r="BG361"/>
    </row>
    <row r="362" spans="18:59" x14ac:dyDescent="0.25">
      <c r="R362"/>
      <c r="AC362"/>
      <c r="AF362"/>
      <c r="AN362"/>
      <c r="AT362"/>
      <c r="BG362"/>
    </row>
    <row r="363" spans="18:59" x14ac:dyDescent="0.25">
      <c r="R363"/>
      <c r="AC363"/>
      <c r="AF363"/>
      <c r="AN363"/>
      <c r="AT363"/>
      <c r="BG363"/>
    </row>
    <row r="364" spans="18:59" x14ac:dyDescent="0.25">
      <c r="R364"/>
      <c r="AC364"/>
      <c r="AF364"/>
      <c r="AN364"/>
      <c r="AT364"/>
      <c r="BG364"/>
    </row>
    <row r="365" spans="18:59" x14ac:dyDescent="0.25">
      <c r="R365"/>
      <c r="AC365"/>
      <c r="AF365"/>
      <c r="AN365"/>
      <c r="AT365"/>
      <c r="BG365"/>
    </row>
    <row r="366" spans="18:59" x14ac:dyDescent="0.25">
      <c r="R366"/>
      <c r="AC366"/>
      <c r="AF366"/>
      <c r="AN366"/>
      <c r="AT366"/>
      <c r="BG366"/>
    </row>
    <row r="367" spans="18:59" x14ac:dyDescent="0.25">
      <c r="R367"/>
      <c r="AC367"/>
      <c r="AF367"/>
      <c r="AN367"/>
      <c r="AT367"/>
      <c r="BG367"/>
    </row>
    <row r="368" spans="18:59" x14ac:dyDescent="0.25">
      <c r="R368"/>
      <c r="AC368"/>
      <c r="AF368"/>
      <c r="AN368"/>
      <c r="AT368"/>
      <c r="BG368"/>
    </row>
    <row r="369" spans="18:59" x14ac:dyDescent="0.25">
      <c r="R369"/>
      <c r="AC369"/>
      <c r="AF369"/>
      <c r="AN369"/>
      <c r="AT369"/>
      <c r="BG369"/>
    </row>
    <row r="370" spans="18:59" x14ac:dyDescent="0.25">
      <c r="R370"/>
      <c r="AC370"/>
      <c r="AF370"/>
      <c r="AN370"/>
      <c r="AT370"/>
      <c r="BG370"/>
    </row>
    <row r="371" spans="18:59" x14ac:dyDescent="0.25">
      <c r="R371"/>
      <c r="AC371"/>
      <c r="AF371"/>
      <c r="AN371"/>
      <c r="AT371"/>
      <c r="BG371"/>
    </row>
    <row r="372" spans="18:59" x14ac:dyDescent="0.25">
      <c r="R372"/>
      <c r="AC372"/>
      <c r="AF372"/>
      <c r="AN372"/>
      <c r="AT372"/>
      <c r="BG372"/>
    </row>
    <row r="373" spans="18:59" x14ac:dyDescent="0.25">
      <c r="R373"/>
      <c r="AC373"/>
      <c r="AF373"/>
      <c r="AN373"/>
      <c r="AT373"/>
      <c r="BG373"/>
    </row>
    <row r="374" spans="18:59" x14ac:dyDescent="0.25">
      <c r="R374"/>
      <c r="AC374"/>
      <c r="AF374"/>
      <c r="AN374"/>
      <c r="AT374"/>
      <c r="BG374"/>
    </row>
    <row r="375" spans="18:59" x14ac:dyDescent="0.25">
      <c r="R375"/>
      <c r="AC375"/>
      <c r="AF375"/>
      <c r="AN375"/>
      <c r="AT375"/>
      <c r="BG375"/>
    </row>
    <row r="376" spans="18:59" x14ac:dyDescent="0.25">
      <c r="R376"/>
      <c r="AC376"/>
      <c r="AF376"/>
      <c r="AN376"/>
      <c r="AT376"/>
      <c r="BG376"/>
    </row>
    <row r="377" spans="18:59" x14ac:dyDescent="0.25">
      <c r="R377"/>
      <c r="AC377"/>
      <c r="AF377"/>
      <c r="AN377"/>
      <c r="AT377"/>
      <c r="BG377"/>
    </row>
    <row r="378" spans="18:59" x14ac:dyDescent="0.25">
      <c r="R378"/>
      <c r="AC378"/>
      <c r="AF378"/>
      <c r="AN378"/>
      <c r="AT378"/>
      <c r="BG378"/>
    </row>
    <row r="379" spans="18:59" x14ac:dyDescent="0.25">
      <c r="R379"/>
      <c r="AC379"/>
      <c r="AF379"/>
      <c r="AN379"/>
      <c r="AT379"/>
      <c r="BG379"/>
    </row>
    <row r="380" spans="18:59" x14ac:dyDescent="0.25">
      <c r="R380"/>
      <c r="AC380"/>
      <c r="AF380"/>
      <c r="AN380"/>
      <c r="AT380"/>
      <c r="BG380"/>
    </row>
    <row r="381" spans="18:59" x14ac:dyDescent="0.25">
      <c r="R381"/>
      <c r="AC381"/>
      <c r="AF381"/>
      <c r="AN381"/>
      <c r="AT381"/>
      <c r="BG381"/>
    </row>
    <row r="382" spans="18:59" x14ac:dyDescent="0.25">
      <c r="R382"/>
      <c r="AC382"/>
      <c r="AF382"/>
      <c r="AN382"/>
      <c r="AT382"/>
      <c r="BG382"/>
    </row>
    <row r="383" spans="18:59" x14ac:dyDescent="0.25">
      <c r="R383"/>
      <c r="AC383"/>
      <c r="AF383"/>
      <c r="AN383"/>
      <c r="AT383"/>
      <c r="BG383"/>
    </row>
    <row r="384" spans="18:59" x14ac:dyDescent="0.25">
      <c r="R384"/>
      <c r="AC384"/>
      <c r="AF384"/>
      <c r="AN384"/>
      <c r="AT384"/>
      <c r="BG384"/>
    </row>
    <row r="385" spans="18:59" x14ac:dyDescent="0.25">
      <c r="R385"/>
      <c r="AC385"/>
      <c r="AF385"/>
      <c r="AN385"/>
      <c r="AT385"/>
      <c r="BG385"/>
    </row>
    <row r="386" spans="18:59" x14ac:dyDescent="0.25">
      <c r="R386"/>
      <c r="AC386"/>
      <c r="AF386"/>
      <c r="AN386"/>
      <c r="AT386"/>
      <c r="BG386"/>
    </row>
    <row r="387" spans="18:59" x14ac:dyDescent="0.25">
      <c r="R387"/>
      <c r="AC387"/>
      <c r="AF387"/>
      <c r="AN387"/>
      <c r="AT387"/>
      <c r="BG387"/>
    </row>
    <row r="388" spans="18:59" x14ac:dyDescent="0.25">
      <c r="R388"/>
      <c r="AC388"/>
      <c r="AF388"/>
      <c r="AN388"/>
      <c r="AT388"/>
      <c r="BG388"/>
    </row>
    <row r="389" spans="18:59" x14ac:dyDescent="0.25">
      <c r="R389"/>
      <c r="AC389"/>
      <c r="AF389"/>
      <c r="AN389"/>
      <c r="AT389"/>
      <c r="BG389"/>
    </row>
    <row r="390" spans="18:59" x14ac:dyDescent="0.25">
      <c r="R390"/>
      <c r="AC390"/>
      <c r="AF390"/>
      <c r="AN390"/>
      <c r="AT390"/>
      <c r="BG390"/>
    </row>
    <row r="391" spans="18:59" x14ac:dyDescent="0.25">
      <c r="R391"/>
      <c r="AC391"/>
      <c r="AF391"/>
      <c r="AN391"/>
      <c r="AT391"/>
      <c r="BG391"/>
    </row>
    <row r="392" spans="18:59" x14ac:dyDescent="0.25">
      <c r="R392"/>
      <c r="AC392"/>
      <c r="AF392"/>
      <c r="AN392"/>
      <c r="AT392"/>
      <c r="BG392"/>
    </row>
    <row r="393" spans="18:59" x14ac:dyDescent="0.25">
      <c r="R393"/>
      <c r="AC393"/>
      <c r="AF393"/>
      <c r="AN393"/>
      <c r="AT393"/>
      <c r="BG393"/>
    </row>
    <row r="394" spans="18:59" x14ac:dyDescent="0.25">
      <c r="R394"/>
      <c r="AC394"/>
      <c r="AF394"/>
      <c r="AN394"/>
      <c r="AT394"/>
      <c r="BG394"/>
    </row>
    <row r="395" spans="18:59" x14ac:dyDescent="0.25">
      <c r="R395"/>
      <c r="AC395"/>
      <c r="AF395"/>
      <c r="AN395"/>
      <c r="AT395"/>
      <c r="BG395"/>
    </row>
    <row r="396" spans="18:59" x14ac:dyDescent="0.25">
      <c r="R396"/>
      <c r="AC396"/>
      <c r="AF396"/>
      <c r="AN396"/>
      <c r="AT396"/>
      <c r="BG396"/>
    </row>
    <row r="397" spans="18:59" x14ac:dyDescent="0.25">
      <c r="R397"/>
      <c r="AC397"/>
      <c r="AF397"/>
      <c r="AN397"/>
      <c r="AT397"/>
      <c r="BG397"/>
    </row>
    <row r="398" spans="18:59" x14ac:dyDescent="0.25">
      <c r="R398"/>
      <c r="AC398"/>
      <c r="AF398"/>
      <c r="AN398"/>
      <c r="AT398"/>
      <c r="BG398"/>
    </row>
    <row r="399" spans="18:59" x14ac:dyDescent="0.25">
      <c r="R399"/>
      <c r="AC399"/>
      <c r="AF399"/>
      <c r="AN399"/>
      <c r="AT399"/>
      <c r="BG399"/>
    </row>
    <row r="400" spans="18:59" x14ac:dyDescent="0.25">
      <c r="R400"/>
      <c r="AC400"/>
      <c r="AF400"/>
      <c r="AN400"/>
      <c r="AT400"/>
      <c r="BG400"/>
    </row>
    <row r="401" spans="18:59" x14ac:dyDescent="0.25">
      <c r="R401"/>
      <c r="AC401"/>
      <c r="AF401"/>
      <c r="AN401"/>
      <c r="AT401"/>
      <c r="BG401"/>
    </row>
    <row r="402" spans="18:59" x14ac:dyDescent="0.25">
      <c r="R402"/>
      <c r="AC402"/>
      <c r="AF402"/>
      <c r="AN402"/>
      <c r="AT402"/>
      <c r="BG402"/>
    </row>
    <row r="403" spans="18:59" x14ac:dyDescent="0.25">
      <c r="R403"/>
      <c r="AC403"/>
      <c r="AF403"/>
      <c r="AN403"/>
      <c r="AT403"/>
      <c r="BG403"/>
    </row>
    <row r="404" spans="18:59" x14ac:dyDescent="0.25">
      <c r="R404"/>
      <c r="AC404"/>
      <c r="AF404"/>
      <c r="AN404"/>
      <c r="AT404"/>
      <c r="BG404"/>
    </row>
    <row r="405" spans="18:59" x14ac:dyDescent="0.25">
      <c r="R405"/>
      <c r="AC405"/>
      <c r="AF405"/>
      <c r="AN405"/>
      <c r="AT405"/>
      <c r="BG405"/>
    </row>
    <row r="406" spans="18:59" x14ac:dyDescent="0.25">
      <c r="R406"/>
      <c r="AC406"/>
      <c r="AF406"/>
      <c r="AN406"/>
      <c r="AT406"/>
      <c r="BG406"/>
    </row>
    <row r="407" spans="18:59" x14ac:dyDescent="0.25">
      <c r="R407"/>
      <c r="AC407"/>
      <c r="AF407"/>
      <c r="AN407"/>
      <c r="AT407"/>
      <c r="BG407"/>
    </row>
    <row r="408" spans="18:59" x14ac:dyDescent="0.25">
      <c r="R408"/>
      <c r="AC408"/>
      <c r="AF408"/>
      <c r="AN408"/>
      <c r="AT408"/>
      <c r="BG408"/>
    </row>
    <row r="409" spans="18:59" x14ac:dyDescent="0.25">
      <c r="R409"/>
      <c r="AC409"/>
      <c r="AF409"/>
      <c r="AN409"/>
      <c r="AT409"/>
      <c r="BG409"/>
    </row>
    <row r="410" spans="18:59" x14ac:dyDescent="0.25">
      <c r="R410"/>
      <c r="AC410"/>
      <c r="AF410"/>
      <c r="AN410"/>
      <c r="AT410"/>
      <c r="BG410"/>
    </row>
    <row r="411" spans="18:59" x14ac:dyDescent="0.25">
      <c r="R411"/>
      <c r="AC411"/>
      <c r="AF411"/>
      <c r="AN411"/>
      <c r="AT411"/>
      <c r="BG411"/>
    </row>
    <row r="412" spans="18:59" x14ac:dyDescent="0.25">
      <c r="R412"/>
      <c r="AC412"/>
      <c r="AF412"/>
      <c r="AN412"/>
      <c r="AT412"/>
      <c r="BG412"/>
    </row>
    <row r="413" spans="18:59" x14ac:dyDescent="0.25">
      <c r="R413"/>
      <c r="AC413"/>
      <c r="AF413"/>
      <c r="AN413"/>
      <c r="AT413"/>
      <c r="BG413"/>
    </row>
    <row r="414" spans="18:59" x14ac:dyDescent="0.25">
      <c r="R414"/>
      <c r="AC414"/>
      <c r="AF414"/>
      <c r="AN414"/>
      <c r="AT414"/>
      <c r="BG414"/>
    </row>
    <row r="415" spans="18:59" x14ac:dyDescent="0.25">
      <c r="R415"/>
      <c r="AC415"/>
      <c r="AF415"/>
      <c r="AN415"/>
      <c r="AT415"/>
      <c r="BG415"/>
    </row>
    <row r="416" spans="18:59" x14ac:dyDescent="0.25">
      <c r="R416"/>
      <c r="AC416"/>
      <c r="AF416"/>
      <c r="AN416"/>
      <c r="AT416"/>
      <c r="BG416"/>
    </row>
    <row r="417" spans="18:59" x14ac:dyDescent="0.25">
      <c r="R417"/>
      <c r="AC417"/>
      <c r="AF417"/>
      <c r="AN417"/>
      <c r="AT417"/>
      <c r="BG417"/>
    </row>
    <row r="418" spans="18:59" x14ac:dyDescent="0.25">
      <c r="R418"/>
      <c r="AC418"/>
      <c r="AF418"/>
      <c r="AN418"/>
      <c r="AT418"/>
      <c r="BG418"/>
    </row>
    <row r="419" spans="18:59" x14ac:dyDescent="0.25">
      <c r="R419"/>
      <c r="AC419"/>
      <c r="AF419"/>
      <c r="AN419"/>
      <c r="AT419"/>
      <c r="BG419"/>
    </row>
    <row r="420" spans="18:59" x14ac:dyDescent="0.25">
      <c r="R420"/>
      <c r="AC420"/>
      <c r="AF420"/>
      <c r="AN420"/>
      <c r="AT420"/>
      <c r="BG420"/>
    </row>
    <row r="421" spans="18:59" x14ac:dyDescent="0.25">
      <c r="R421"/>
      <c r="AC421"/>
      <c r="AF421"/>
      <c r="AN421"/>
      <c r="AT421"/>
      <c r="BG421"/>
    </row>
    <row r="422" spans="18:59" x14ac:dyDescent="0.25">
      <c r="R422"/>
      <c r="AC422"/>
      <c r="AF422"/>
      <c r="AN422"/>
      <c r="AT422"/>
      <c r="BG422"/>
    </row>
    <row r="423" spans="18:59" x14ac:dyDescent="0.25">
      <c r="R423"/>
      <c r="AC423"/>
      <c r="AF423"/>
      <c r="AN423"/>
      <c r="AT423"/>
      <c r="BG423"/>
    </row>
    <row r="424" spans="18:59" x14ac:dyDescent="0.25">
      <c r="R424"/>
      <c r="AC424"/>
      <c r="AF424"/>
      <c r="AN424"/>
      <c r="AT424"/>
      <c r="BG424"/>
    </row>
    <row r="425" spans="18:59" x14ac:dyDescent="0.25">
      <c r="R425"/>
      <c r="AC425"/>
      <c r="AF425"/>
      <c r="AN425"/>
      <c r="AT425"/>
      <c r="BG425"/>
    </row>
    <row r="426" spans="18:59" x14ac:dyDescent="0.25">
      <c r="R426"/>
      <c r="AC426"/>
      <c r="AF426"/>
      <c r="AN426"/>
      <c r="AT426"/>
      <c r="BG426"/>
    </row>
    <row r="427" spans="18:59" x14ac:dyDescent="0.25">
      <c r="R427"/>
      <c r="AC427"/>
      <c r="AF427"/>
      <c r="AN427"/>
      <c r="AT427"/>
      <c r="BG427"/>
    </row>
    <row r="428" spans="18:59" x14ac:dyDescent="0.25">
      <c r="AF428"/>
      <c r="AT428"/>
      <c r="BG428"/>
    </row>
    <row r="429" spans="18:59" x14ac:dyDescent="0.25">
      <c r="AF429"/>
      <c r="AT429"/>
      <c r="BG429"/>
    </row>
    <row r="430" spans="18:59" x14ac:dyDescent="0.25">
      <c r="AF430"/>
      <c r="AT430"/>
      <c r="BG430"/>
    </row>
    <row r="431" spans="18:59" x14ac:dyDescent="0.25">
      <c r="AF431"/>
      <c r="AT431"/>
      <c r="BG431"/>
    </row>
    <row r="432" spans="18:59" x14ac:dyDescent="0.25">
      <c r="AF432"/>
      <c r="AT432"/>
      <c r="BG432"/>
    </row>
    <row r="433" spans="32:59" x14ac:dyDescent="0.25">
      <c r="AF433"/>
      <c r="AT433"/>
      <c r="BG433"/>
    </row>
    <row r="434" spans="32:59" x14ac:dyDescent="0.25">
      <c r="AF434"/>
      <c r="AT434"/>
      <c r="BG434"/>
    </row>
    <row r="435" spans="32:59" x14ac:dyDescent="0.25">
      <c r="AF435"/>
      <c r="AT435"/>
      <c r="BG435"/>
    </row>
    <row r="436" spans="32:59" x14ac:dyDescent="0.25">
      <c r="AF436"/>
      <c r="AT436"/>
      <c r="BG436"/>
    </row>
    <row r="437" spans="32:59" x14ac:dyDescent="0.25">
      <c r="AF437"/>
      <c r="AT437"/>
      <c r="BG437"/>
    </row>
    <row r="438" spans="32:59" x14ac:dyDescent="0.25">
      <c r="AF438"/>
      <c r="AT438"/>
      <c r="BG438"/>
    </row>
    <row r="439" spans="32:59" x14ac:dyDescent="0.25">
      <c r="AF439"/>
      <c r="AT439"/>
      <c r="BG439"/>
    </row>
    <row r="440" spans="32:59" x14ac:dyDescent="0.25">
      <c r="AF440"/>
      <c r="AT440"/>
      <c r="BG440"/>
    </row>
    <row r="441" spans="32:59" x14ac:dyDescent="0.25">
      <c r="AF441"/>
      <c r="AT441"/>
      <c r="BG441"/>
    </row>
    <row r="442" spans="32:59" x14ac:dyDescent="0.25">
      <c r="AF442"/>
      <c r="AT442"/>
      <c r="BG442"/>
    </row>
    <row r="443" spans="32:59" x14ac:dyDescent="0.25">
      <c r="AF443"/>
      <c r="AT443"/>
      <c r="BG443"/>
    </row>
    <row r="444" spans="32:59" x14ac:dyDescent="0.25">
      <c r="AF444"/>
      <c r="AT444"/>
      <c r="BG444"/>
    </row>
    <row r="445" spans="32:59" x14ac:dyDescent="0.25">
      <c r="AF445"/>
      <c r="AT445"/>
      <c r="BG445"/>
    </row>
    <row r="446" spans="32:59" x14ac:dyDescent="0.25">
      <c r="AF446"/>
      <c r="AT446"/>
      <c r="BG446"/>
    </row>
    <row r="447" spans="32:59" x14ac:dyDescent="0.25">
      <c r="AF447"/>
      <c r="AT447"/>
      <c r="BG447"/>
    </row>
    <row r="448" spans="32:59" x14ac:dyDescent="0.25">
      <c r="AF448"/>
      <c r="AT448"/>
      <c r="BG448"/>
    </row>
    <row r="449" spans="32:59" x14ac:dyDescent="0.25">
      <c r="AF449"/>
      <c r="AT449"/>
      <c r="BG449"/>
    </row>
    <row r="450" spans="32:59" x14ac:dyDescent="0.25">
      <c r="AF450"/>
      <c r="AT450"/>
      <c r="BG450"/>
    </row>
    <row r="451" spans="32:59" x14ac:dyDescent="0.25">
      <c r="AF451"/>
      <c r="AT451"/>
      <c r="BG451"/>
    </row>
    <row r="452" spans="32:59" x14ac:dyDescent="0.25">
      <c r="AF452"/>
      <c r="AT452"/>
      <c r="BG452"/>
    </row>
    <row r="453" spans="32:59" x14ac:dyDescent="0.25">
      <c r="AF453"/>
      <c r="AT453"/>
      <c r="BG453"/>
    </row>
    <row r="454" spans="32:59" x14ac:dyDescent="0.25">
      <c r="AF454"/>
      <c r="AT454"/>
      <c r="BG454"/>
    </row>
    <row r="455" spans="32:59" x14ac:dyDescent="0.25">
      <c r="AF455"/>
      <c r="AT455"/>
      <c r="BG455"/>
    </row>
    <row r="456" spans="32:59" x14ac:dyDescent="0.25">
      <c r="AF456"/>
      <c r="AT456"/>
      <c r="BG456"/>
    </row>
    <row r="457" spans="32:59" x14ac:dyDescent="0.25">
      <c r="AF457"/>
      <c r="AT457"/>
      <c r="BG457"/>
    </row>
    <row r="458" spans="32:59" x14ac:dyDescent="0.25">
      <c r="AF458"/>
      <c r="AT458"/>
      <c r="BG458"/>
    </row>
    <row r="459" spans="32:59" x14ac:dyDescent="0.25">
      <c r="AF459"/>
      <c r="AT459"/>
      <c r="BG459"/>
    </row>
    <row r="460" spans="32:59" x14ac:dyDescent="0.25">
      <c r="AF460"/>
      <c r="AT460"/>
      <c r="BG460"/>
    </row>
    <row r="461" spans="32:59" x14ac:dyDescent="0.25">
      <c r="AF461"/>
      <c r="AT461"/>
      <c r="BG461"/>
    </row>
    <row r="462" spans="32:59" x14ac:dyDescent="0.25">
      <c r="AF462"/>
      <c r="AT462"/>
      <c r="BG462"/>
    </row>
    <row r="463" spans="32:59" x14ac:dyDescent="0.25">
      <c r="AF463"/>
      <c r="AT463"/>
      <c r="BG463"/>
    </row>
    <row r="464" spans="32:59" x14ac:dyDescent="0.25">
      <c r="AF464"/>
      <c r="AT464"/>
      <c r="BG464"/>
    </row>
    <row r="465" spans="32:59" x14ac:dyDescent="0.25">
      <c r="AF465"/>
      <c r="AT465"/>
      <c r="BG465"/>
    </row>
    <row r="466" spans="32:59" x14ac:dyDescent="0.25">
      <c r="AF466"/>
      <c r="AT466"/>
      <c r="BG466"/>
    </row>
    <row r="467" spans="32:59" x14ac:dyDescent="0.25">
      <c r="AF467"/>
      <c r="AT467"/>
      <c r="BG467"/>
    </row>
    <row r="468" spans="32:59" x14ac:dyDescent="0.25">
      <c r="AF468"/>
      <c r="AT468"/>
      <c r="BG468"/>
    </row>
    <row r="469" spans="32:59" x14ac:dyDescent="0.25">
      <c r="AF469"/>
      <c r="AT469"/>
      <c r="BG469"/>
    </row>
    <row r="470" spans="32:59" x14ac:dyDescent="0.25">
      <c r="AF470"/>
      <c r="AT470"/>
      <c r="BG470"/>
    </row>
    <row r="471" spans="32:59" x14ac:dyDescent="0.25">
      <c r="AF471"/>
      <c r="AT471"/>
      <c r="BG471"/>
    </row>
    <row r="472" spans="32:59" x14ac:dyDescent="0.25">
      <c r="AF472"/>
      <c r="AT472"/>
      <c r="BG472"/>
    </row>
    <row r="473" spans="32:59" x14ac:dyDescent="0.25">
      <c r="AF473"/>
      <c r="AT473"/>
      <c r="BG473"/>
    </row>
    <row r="474" spans="32:59" x14ac:dyDescent="0.25">
      <c r="AF474"/>
      <c r="AT474"/>
      <c r="BG474"/>
    </row>
    <row r="475" spans="32:59" x14ac:dyDescent="0.25">
      <c r="AF475"/>
      <c r="AT475"/>
      <c r="BG475"/>
    </row>
    <row r="476" spans="32:59" x14ac:dyDescent="0.25">
      <c r="AF476"/>
      <c r="AT476"/>
      <c r="BG476"/>
    </row>
    <row r="477" spans="32:59" x14ac:dyDescent="0.25">
      <c r="AF477"/>
      <c r="AT477"/>
      <c r="BG477"/>
    </row>
    <row r="478" spans="32:59" x14ac:dyDescent="0.25">
      <c r="AF478"/>
      <c r="AT478"/>
      <c r="BG478"/>
    </row>
    <row r="479" spans="32:59" x14ac:dyDescent="0.25">
      <c r="AF479"/>
      <c r="AT479"/>
      <c r="BG479"/>
    </row>
    <row r="480" spans="32:59" x14ac:dyDescent="0.25">
      <c r="AF480"/>
      <c r="AT480"/>
      <c r="BG480"/>
    </row>
    <row r="481" spans="32:59" x14ac:dyDescent="0.25">
      <c r="AF481"/>
      <c r="AT481"/>
      <c r="BG481"/>
    </row>
    <row r="482" spans="32:59" x14ac:dyDescent="0.25">
      <c r="AF482"/>
      <c r="AT482"/>
      <c r="BG482"/>
    </row>
    <row r="483" spans="32:59" x14ac:dyDescent="0.25">
      <c r="AF483"/>
      <c r="AT483"/>
      <c r="BG483"/>
    </row>
    <row r="484" spans="32:59" x14ac:dyDescent="0.25">
      <c r="AF484"/>
      <c r="AT484"/>
      <c r="BG484"/>
    </row>
    <row r="485" spans="32:59" x14ac:dyDescent="0.25">
      <c r="AF485"/>
      <c r="AT485"/>
      <c r="BG485"/>
    </row>
    <row r="486" spans="32:59" x14ac:dyDescent="0.25">
      <c r="AF486"/>
      <c r="AT486"/>
      <c r="BG486"/>
    </row>
    <row r="487" spans="32:59" x14ac:dyDescent="0.25">
      <c r="AF487"/>
      <c r="AT487"/>
      <c r="BG487"/>
    </row>
    <row r="488" spans="32:59" x14ac:dyDescent="0.25">
      <c r="AF488"/>
      <c r="AT488"/>
      <c r="BG488"/>
    </row>
    <row r="489" spans="32:59" x14ac:dyDescent="0.25">
      <c r="AF489"/>
      <c r="AT489"/>
      <c r="BG489"/>
    </row>
    <row r="490" spans="32:59" x14ac:dyDescent="0.25">
      <c r="AF490"/>
      <c r="AT490"/>
      <c r="BG490"/>
    </row>
    <row r="491" spans="32:59" x14ac:dyDescent="0.25">
      <c r="AF491"/>
      <c r="AT491"/>
      <c r="BG491"/>
    </row>
    <row r="492" spans="32:59" x14ac:dyDescent="0.25">
      <c r="AF492"/>
      <c r="AT492"/>
      <c r="BG492"/>
    </row>
    <row r="493" spans="32:59" x14ac:dyDescent="0.25">
      <c r="AF493"/>
      <c r="AT493"/>
      <c r="BG493"/>
    </row>
    <row r="494" spans="32:59" x14ac:dyDescent="0.25">
      <c r="AF494"/>
      <c r="AT494"/>
      <c r="BG494"/>
    </row>
    <row r="495" spans="32:59" x14ac:dyDescent="0.25">
      <c r="AF495"/>
      <c r="AT495"/>
      <c r="BG495"/>
    </row>
    <row r="496" spans="32:59" x14ac:dyDescent="0.25">
      <c r="AF496"/>
      <c r="AT496"/>
      <c r="BG496"/>
    </row>
    <row r="497" spans="32:59" x14ac:dyDescent="0.25">
      <c r="AF497"/>
      <c r="AT497"/>
      <c r="BG497"/>
    </row>
    <row r="498" spans="32:59" x14ac:dyDescent="0.25">
      <c r="AF498"/>
      <c r="AT498"/>
      <c r="BG498"/>
    </row>
    <row r="499" spans="32:59" x14ac:dyDescent="0.25">
      <c r="AF499"/>
      <c r="AT499"/>
      <c r="BG499"/>
    </row>
    <row r="500" spans="32:59" x14ac:dyDescent="0.25">
      <c r="AF500"/>
      <c r="AT500"/>
      <c r="BG500"/>
    </row>
    <row r="501" spans="32:59" x14ac:dyDescent="0.25">
      <c r="AF501"/>
      <c r="AT501"/>
      <c r="BG501"/>
    </row>
    <row r="502" spans="32:59" x14ac:dyDescent="0.25">
      <c r="AF502"/>
      <c r="AT502"/>
      <c r="BG502"/>
    </row>
    <row r="503" spans="32:59" x14ac:dyDescent="0.25">
      <c r="AF503"/>
      <c r="AT503"/>
      <c r="BG503"/>
    </row>
    <row r="504" spans="32:59" x14ac:dyDescent="0.25">
      <c r="AF504"/>
      <c r="AT504"/>
      <c r="BG504"/>
    </row>
    <row r="505" spans="32:59" x14ac:dyDescent="0.25">
      <c r="AF505"/>
      <c r="AT505"/>
      <c r="BG505"/>
    </row>
    <row r="506" spans="32:59" x14ac:dyDescent="0.25">
      <c r="AF506"/>
      <c r="AT506"/>
      <c r="BG506"/>
    </row>
    <row r="507" spans="32:59" x14ac:dyDescent="0.25">
      <c r="AF507"/>
      <c r="AT507"/>
      <c r="BG507"/>
    </row>
    <row r="508" spans="32:59" x14ac:dyDescent="0.25">
      <c r="AF508"/>
      <c r="AT508"/>
      <c r="BG508"/>
    </row>
    <row r="509" spans="32:59" x14ac:dyDescent="0.25">
      <c r="AF509"/>
      <c r="AT509"/>
      <c r="BG509"/>
    </row>
    <row r="510" spans="32:59" x14ac:dyDescent="0.25">
      <c r="AF510"/>
      <c r="AT510"/>
      <c r="BG510"/>
    </row>
    <row r="511" spans="32:59" x14ac:dyDescent="0.25">
      <c r="AF511"/>
      <c r="AT511"/>
      <c r="BG511"/>
    </row>
    <row r="512" spans="32:59" x14ac:dyDescent="0.25">
      <c r="AF512"/>
      <c r="AT512"/>
      <c r="BG512"/>
    </row>
    <row r="513" spans="32:59" x14ac:dyDescent="0.25">
      <c r="AF513"/>
      <c r="AT513"/>
      <c r="BG513"/>
    </row>
    <row r="514" spans="32:59" x14ac:dyDescent="0.25">
      <c r="AF514"/>
      <c r="AT514"/>
      <c r="BG514"/>
    </row>
    <row r="515" spans="32:59" x14ac:dyDescent="0.25">
      <c r="AF515"/>
      <c r="AT515"/>
      <c r="BG515"/>
    </row>
    <row r="516" spans="32:59" x14ac:dyDescent="0.25">
      <c r="AF516"/>
      <c r="AT516"/>
      <c r="BG516"/>
    </row>
    <row r="517" spans="32:59" x14ac:dyDescent="0.25">
      <c r="AF517"/>
      <c r="AT517"/>
      <c r="BG517"/>
    </row>
    <row r="518" spans="32:59" x14ac:dyDescent="0.25">
      <c r="AF518"/>
      <c r="AT518"/>
      <c r="BG518"/>
    </row>
    <row r="519" spans="32:59" x14ac:dyDescent="0.25">
      <c r="AF519"/>
      <c r="AT519"/>
      <c r="BG519"/>
    </row>
    <row r="520" spans="32:59" x14ac:dyDescent="0.25">
      <c r="AF520"/>
      <c r="AT520"/>
      <c r="BG520"/>
    </row>
    <row r="521" spans="32:59" x14ac:dyDescent="0.25">
      <c r="AF521"/>
      <c r="AT521"/>
      <c r="BG521"/>
    </row>
    <row r="522" spans="32:59" x14ac:dyDescent="0.25">
      <c r="AF522"/>
      <c r="AT522"/>
      <c r="BG522"/>
    </row>
    <row r="523" spans="32:59" x14ac:dyDescent="0.25">
      <c r="AF523"/>
      <c r="AT523"/>
      <c r="BG523"/>
    </row>
    <row r="524" spans="32:59" x14ac:dyDescent="0.25">
      <c r="AF524"/>
      <c r="AT524"/>
      <c r="BG524"/>
    </row>
    <row r="525" spans="32:59" x14ac:dyDescent="0.25">
      <c r="AF525"/>
      <c r="AT525"/>
      <c r="BG525"/>
    </row>
    <row r="526" spans="32:59" x14ac:dyDescent="0.25">
      <c r="AF526"/>
      <c r="AT526"/>
      <c r="BG526"/>
    </row>
    <row r="527" spans="32:59" x14ac:dyDescent="0.25">
      <c r="AF527"/>
      <c r="AT527"/>
      <c r="BG527"/>
    </row>
    <row r="528" spans="32:59" x14ac:dyDescent="0.25">
      <c r="AF528"/>
      <c r="AT528"/>
      <c r="BG528"/>
    </row>
    <row r="529" spans="32:59" x14ac:dyDescent="0.25">
      <c r="AF529"/>
      <c r="AT529"/>
      <c r="BG529"/>
    </row>
    <row r="530" spans="32:59" x14ac:dyDescent="0.25">
      <c r="AF530"/>
      <c r="AT530"/>
      <c r="BG530"/>
    </row>
    <row r="531" spans="32:59" x14ac:dyDescent="0.25">
      <c r="AF531"/>
      <c r="AT531"/>
      <c r="BG531"/>
    </row>
    <row r="532" spans="32:59" x14ac:dyDescent="0.25">
      <c r="AF532"/>
      <c r="AT532"/>
      <c r="BG532"/>
    </row>
    <row r="533" spans="32:59" x14ac:dyDescent="0.25">
      <c r="AF533"/>
      <c r="AT533"/>
      <c r="BG533"/>
    </row>
    <row r="534" spans="32:59" x14ac:dyDescent="0.25">
      <c r="AF534"/>
      <c r="AT534"/>
      <c r="BG534"/>
    </row>
    <row r="535" spans="32:59" x14ac:dyDescent="0.25">
      <c r="AF535"/>
      <c r="AT535"/>
      <c r="BG535"/>
    </row>
    <row r="536" spans="32:59" x14ac:dyDescent="0.25">
      <c r="AF536"/>
      <c r="AT536"/>
      <c r="BG536"/>
    </row>
    <row r="537" spans="32:59" x14ac:dyDescent="0.25">
      <c r="AF537"/>
      <c r="AT537"/>
      <c r="BG537"/>
    </row>
    <row r="538" spans="32:59" x14ac:dyDescent="0.25">
      <c r="AF538"/>
      <c r="AT538"/>
      <c r="BG538"/>
    </row>
    <row r="539" spans="32:59" x14ac:dyDescent="0.25">
      <c r="AF539"/>
      <c r="AT539"/>
      <c r="BG539"/>
    </row>
    <row r="540" spans="32:59" x14ac:dyDescent="0.25">
      <c r="AF540"/>
      <c r="AT540"/>
      <c r="BG540"/>
    </row>
    <row r="541" spans="32:59" x14ac:dyDescent="0.25">
      <c r="AF541"/>
      <c r="AT541"/>
      <c r="BG541"/>
    </row>
    <row r="542" spans="32:59" x14ac:dyDescent="0.25">
      <c r="AF542"/>
      <c r="AT542"/>
      <c r="BG542"/>
    </row>
    <row r="543" spans="32:59" x14ac:dyDescent="0.25">
      <c r="AF543"/>
      <c r="AT543"/>
      <c r="BG543"/>
    </row>
    <row r="544" spans="32:59" x14ac:dyDescent="0.25">
      <c r="AF544"/>
      <c r="AT544"/>
      <c r="BG544"/>
    </row>
    <row r="545" spans="32:59" x14ac:dyDescent="0.25">
      <c r="AF545"/>
      <c r="AT545"/>
      <c r="BG545"/>
    </row>
    <row r="546" spans="32:59" x14ac:dyDescent="0.25">
      <c r="AF546"/>
      <c r="AT546"/>
      <c r="BG546"/>
    </row>
    <row r="547" spans="32:59" x14ac:dyDescent="0.25">
      <c r="AF547"/>
      <c r="AT547"/>
      <c r="BG547"/>
    </row>
    <row r="548" spans="32:59" x14ac:dyDescent="0.25">
      <c r="AF548"/>
      <c r="AT548"/>
      <c r="BG548"/>
    </row>
    <row r="549" spans="32:59" x14ac:dyDescent="0.25">
      <c r="AF549"/>
      <c r="AT549"/>
      <c r="BG549"/>
    </row>
    <row r="550" spans="32:59" x14ac:dyDescent="0.25">
      <c r="AF550"/>
      <c r="AT550"/>
      <c r="BG550"/>
    </row>
    <row r="551" spans="32:59" x14ac:dyDescent="0.25">
      <c r="AF551"/>
      <c r="AT551"/>
      <c r="BG551"/>
    </row>
    <row r="552" spans="32:59" x14ac:dyDescent="0.25">
      <c r="AF552"/>
      <c r="AT552"/>
      <c r="BG552"/>
    </row>
    <row r="553" spans="32:59" x14ac:dyDescent="0.25">
      <c r="AF553"/>
      <c r="AT553"/>
      <c r="BG553"/>
    </row>
    <row r="554" spans="32:59" x14ac:dyDescent="0.25">
      <c r="AF554"/>
      <c r="AT554"/>
      <c r="BG554"/>
    </row>
    <row r="555" spans="32:59" x14ac:dyDescent="0.25">
      <c r="AF555"/>
      <c r="AT555"/>
      <c r="BG555"/>
    </row>
    <row r="556" spans="32:59" x14ac:dyDescent="0.25">
      <c r="AF556"/>
      <c r="AT556"/>
      <c r="BG556"/>
    </row>
    <row r="557" spans="32:59" x14ac:dyDescent="0.25">
      <c r="AF557"/>
      <c r="AT557"/>
      <c r="BG557"/>
    </row>
    <row r="558" spans="32:59" x14ac:dyDescent="0.25">
      <c r="AF558"/>
      <c r="AT558"/>
      <c r="BG558"/>
    </row>
    <row r="559" spans="32:59" x14ac:dyDescent="0.25">
      <c r="AF559"/>
      <c r="AT559"/>
      <c r="BG559"/>
    </row>
    <row r="560" spans="32:59" x14ac:dyDescent="0.25">
      <c r="AF560"/>
      <c r="AT560"/>
      <c r="BG560"/>
    </row>
    <row r="561" spans="32:59" x14ac:dyDescent="0.25">
      <c r="AF561"/>
      <c r="AT561"/>
      <c r="BG561"/>
    </row>
    <row r="562" spans="32:59" x14ac:dyDescent="0.25">
      <c r="AF562"/>
      <c r="AT562"/>
      <c r="BG562"/>
    </row>
    <row r="563" spans="32:59" x14ac:dyDescent="0.25">
      <c r="AF563"/>
      <c r="AT563"/>
      <c r="BG563"/>
    </row>
    <row r="564" spans="32:59" x14ac:dyDescent="0.25">
      <c r="AF564"/>
      <c r="AT564"/>
      <c r="BG564"/>
    </row>
    <row r="565" spans="32:59" x14ac:dyDescent="0.25">
      <c r="AF565"/>
      <c r="AT565"/>
      <c r="BG565"/>
    </row>
    <row r="566" spans="32:59" x14ac:dyDescent="0.25">
      <c r="AF566"/>
      <c r="AT566"/>
      <c r="BG566"/>
    </row>
    <row r="567" spans="32:59" x14ac:dyDescent="0.25">
      <c r="AF567"/>
      <c r="AT567"/>
      <c r="BG567"/>
    </row>
    <row r="568" spans="32:59" x14ac:dyDescent="0.25">
      <c r="AF568"/>
      <c r="AT568"/>
      <c r="BG568"/>
    </row>
    <row r="569" spans="32:59" x14ac:dyDescent="0.25">
      <c r="AF569"/>
      <c r="AT569"/>
      <c r="BG569"/>
    </row>
    <row r="570" spans="32:59" x14ac:dyDescent="0.25">
      <c r="AF570"/>
      <c r="AT570"/>
      <c r="BG570"/>
    </row>
    <row r="571" spans="32:59" x14ac:dyDescent="0.25">
      <c r="AF571"/>
      <c r="AT571"/>
      <c r="BG571"/>
    </row>
    <row r="572" spans="32:59" x14ac:dyDescent="0.25">
      <c r="AF572"/>
      <c r="AT572"/>
      <c r="BG572"/>
    </row>
    <row r="573" spans="32:59" x14ac:dyDescent="0.25">
      <c r="AF573"/>
      <c r="AT573"/>
      <c r="BG573"/>
    </row>
    <row r="574" spans="32:59" x14ac:dyDescent="0.25">
      <c r="AF574"/>
      <c r="AT574"/>
      <c r="BG574"/>
    </row>
    <row r="575" spans="32:59" x14ac:dyDescent="0.25">
      <c r="AF575"/>
      <c r="AT575"/>
      <c r="BG575"/>
    </row>
    <row r="576" spans="32:59" x14ac:dyDescent="0.25">
      <c r="AF576"/>
      <c r="AT576"/>
      <c r="BG576"/>
    </row>
    <row r="577" spans="32:59" x14ac:dyDescent="0.25">
      <c r="AF577"/>
      <c r="AT577"/>
      <c r="BG577"/>
    </row>
    <row r="578" spans="32:59" x14ac:dyDescent="0.25">
      <c r="AF578"/>
      <c r="AT578"/>
      <c r="BG578"/>
    </row>
    <row r="579" spans="32:59" x14ac:dyDescent="0.25">
      <c r="AF579"/>
      <c r="AT579"/>
      <c r="BG579"/>
    </row>
    <row r="580" spans="32:59" x14ac:dyDescent="0.25">
      <c r="AF580"/>
      <c r="AT580"/>
      <c r="BG580"/>
    </row>
    <row r="581" spans="32:59" x14ac:dyDescent="0.25">
      <c r="AF581"/>
      <c r="AT581"/>
      <c r="BG581"/>
    </row>
    <row r="582" spans="32:59" x14ac:dyDescent="0.25">
      <c r="AF582"/>
      <c r="AT582"/>
      <c r="BG582"/>
    </row>
    <row r="583" spans="32:59" x14ac:dyDescent="0.25">
      <c r="AF583"/>
      <c r="AT583"/>
      <c r="BG583"/>
    </row>
    <row r="584" spans="32:59" x14ac:dyDescent="0.25">
      <c r="AF584"/>
      <c r="AT584"/>
      <c r="BG584"/>
    </row>
    <row r="585" spans="32:59" x14ac:dyDescent="0.25">
      <c r="AF585"/>
      <c r="AT585"/>
      <c r="BG585"/>
    </row>
    <row r="586" spans="32:59" x14ac:dyDescent="0.25">
      <c r="AF586"/>
      <c r="AT586"/>
      <c r="BG586"/>
    </row>
    <row r="587" spans="32:59" x14ac:dyDescent="0.25">
      <c r="AF587"/>
      <c r="AT587"/>
      <c r="BG587"/>
    </row>
    <row r="588" spans="32:59" x14ac:dyDescent="0.25">
      <c r="AF588"/>
      <c r="AT588"/>
      <c r="BG588"/>
    </row>
    <row r="589" spans="32:59" x14ac:dyDescent="0.25">
      <c r="AF589"/>
      <c r="AT589"/>
      <c r="BG589"/>
    </row>
    <row r="590" spans="32:59" x14ac:dyDescent="0.25">
      <c r="AF590"/>
      <c r="AT590"/>
      <c r="BG590"/>
    </row>
    <row r="591" spans="32:59" x14ac:dyDescent="0.25">
      <c r="AF591"/>
      <c r="AT591"/>
      <c r="BG591"/>
    </row>
    <row r="592" spans="32:59" x14ac:dyDescent="0.25">
      <c r="AF592"/>
      <c r="AT592"/>
      <c r="BG592"/>
    </row>
    <row r="593" spans="32:59" x14ac:dyDescent="0.25">
      <c r="AF593"/>
      <c r="AT593"/>
      <c r="BG593"/>
    </row>
    <row r="594" spans="32:59" x14ac:dyDescent="0.25">
      <c r="AF594"/>
      <c r="AT594"/>
      <c r="BG594"/>
    </row>
    <row r="595" spans="32:59" x14ac:dyDescent="0.25">
      <c r="AF595"/>
      <c r="AT595"/>
      <c r="BG595"/>
    </row>
    <row r="596" spans="32:59" x14ac:dyDescent="0.25">
      <c r="AF596"/>
      <c r="AT596"/>
      <c r="BG596"/>
    </row>
    <row r="597" spans="32:59" x14ac:dyDescent="0.25">
      <c r="AF597"/>
      <c r="AT597"/>
      <c r="BG597"/>
    </row>
    <row r="598" spans="32:59" x14ac:dyDescent="0.25">
      <c r="AF598"/>
      <c r="AT598"/>
      <c r="BG598"/>
    </row>
    <row r="599" spans="32:59" x14ac:dyDescent="0.25">
      <c r="AF599"/>
      <c r="AT599"/>
      <c r="BG599"/>
    </row>
    <row r="600" spans="32:59" x14ac:dyDescent="0.25">
      <c r="AF600"/>
      <c r="AT600"/>
      <c r="BG600"/>
    </row>
    <row r="601" spans="32:59" x14ac:dyDescent="0.25">
      <c r="AF601"/>
      <c r="AT601"/>
      <c r="BG601"/>
    </row>
    <row r="602" spans="32:59" x14ac:dyDescent="0.25">
      <c r="AF602"/>
      <c r="AT602"/>
      <c r="BG602"/>
    </row>
    <row r="603" spans="32:59" x14ac:dyDescent="0.25">
      <c r="AF603"/>
      <c r="AT603"/>
      <c r="BG603"/>
    </row>
    <row r="604" spans="32:59" x14ac:dyDescent="0.25">
      <c r="AF604"/>
      <c r="AT604"/>
      <c r="BG604"/>
    </row>
    <row r="605" spans="32:59" x14ac:dyDescent="0.25">
      <c r="AF605"/>
      <c r="AT605"/>
      <c r="BG605"/>
    </row>
    <row r="606" spans="32:59" x14ac:dyDescent="0.25">
      <c r="AF606"/>
      <c r="AT606"/>
      <c r="BG606"/>
    </row>
    <row r="607" spans="32:59" x14ac:dyDescent="0.25">
      <c r="AF607"/>
      <c r="AT607"/>
      <c r="BG607"/>
    </row>
    <row r="608" spans="32:59" x14ac:dyDescent="0.25">
      <c r="AF608"/>
      <c r="AT608"/>
      <c r="BG608"/>
    </row>
    <row r="609" spans="32:59" x14ac:dyDescent="0.25">
      <c r="AF609"/>
      <c r="AT609"/>
      <c r="BG609"/>
    </row>
    <row r="610" spans="32:59" x14ac:dyDescent="0.25">
      <c r="AF610"/>
      <c r="AT610"/>
      <c r="BG610"/>
    </row>
    <row r="611" spans="32:59" x14ac:dyDescent="0.25">
      <c r="AF611"/>
      <c r="AT611"/>
      <c r="BG611"/>
    </row>
    <row r="612" spans="32:59" x14ac:dyDescent="0.25">
      <c r="AF612"/>
      <c r="AT612"/>
      <c r="BG612"/>
    </row>
    <row r="613" spans="32:59" x14ac:dyDescent="0.25">
      <c r="AF613"/>
      <c r="AT613"/>
      <c r="BG613"/>
    </row>
    <row r="614" spans="32:59" x14ac:dyDescent="0.25">
      <c r="AF614"/>
      <c r="AT614"/>
      <c r="BG614"/>
    </row>
    <row r="615" spans="32:59" x14ac:dyDescent="0.25">
      <c r="AF615"/>
      <c r="AT615"/>
      <c r="BG615"/>
    </row>
    <row r="616" spans="32:59" x14ac:dyDescent="0.25">
      <c r="AF616"/>
      <c r="AT616"/>
      <c r="BG616"/>
    </row>
    <row r="617" spans="32:59" x14ac:dyDescent="0.25">
      <c r="AF617"/>
      <c r="AT617"/>
      <c r="BG617"/>
    </row>
    <row r="618" spans="32:59" x14ac:dyDescent="0.25">
      <c r="AF618"/>
      <c r="AT618"/>
      <c r="BG618"/>
    </row>
    <row r="619" spans="32:59" x14ac:dyDescent="0.25">
      <c r="AF619"/>
      <c r="AT619"/>
      <c r="BG619"/>
    </row>
    <row r="620" spans="32:59" x14ac:dyDescent="0.25">
      <c r="AF620"/>
      <c r="AT620"/>
      <c r="BG620"/>
    </row>
    <row r="621" spans="32:59" x14ac:dyDescent="0.25">
      <c r="AF621"/>
      <c r="AT621"/>
      <c r="BG621"/>
    </row>
    <row r="622" spans="32:59" x14ac:dyDescent="0.25">
      <c r="AF622"/>
      <c r="AT622"/>
      <c r="BG622"/>
    </row>
    <row r="623" spans="32:59" x14ac:dyDescent="0.25">
      <c r="AF623"/>
      <c r="AT623"/>
      <c r="BG623"/>
    </row>
    <row r="624" spans="32:59" x14ac:dyDescent="0.25">
      <c r="AF624"/>
      <c r="AT624"/>
      <c r="BG624"/>
    </row>
    <row r="625" spans="32:59" x14ac:dyDescent="0.25">
      <c r="AF625"/>
      <c r="AT625"/>
      <c r="BG625"/>
    </row>
    <row r="626" spans="32:59" x14ac:dyDescent="0.25">
      <c r="AF626"/>
      <c r="AT626"/>
      <c r="BG626"/>
    </row>
    <row r="627" spans="32:59" x14ac:dyDescent="0.25">
      <c r="AF627"/>
      <c r="AT627"/>
      <c r="BG627"/>
    </row>
    <row r="628" spans="32:59" x14ac:dyDescent="0.25">
      <c r="AF628"/>
      <c r="AT628"/>
      <c r="BG628"/>
    </row>
    <row r="629" spans="32:59" x14ac:dyDescent="0.25">
      <c r="AF629"/>
      <c r="AT629"/>
      <c r="BG629"/>
    </row>
    <row r="630" spans="32:59" x14ac:dyDescent="0.25">
      <c r="AF630"/>
      <c r="AT630"/>
      <c r="BG630"/>
    </row>
    <row r="631" spans="32:59" x14ac:dyDescent="0.25">
      <c r="AF631"/>
      <c r="AT631"/>
      <c r="BG631"/>
    </row>
    <row r="632" spans="32:59" x14ac:dyDescent="0.25">
      <c r="AF632"/>
      <c r="AT632"/>
      <c r="BG632"/>
    </row>
    <row r="633" spans="32:59" x14ac:dyDescent="0.25">
      <c r="AF633"/>
      <c r="AT633"/>
      <c r="BG633"/>
    </row>
    <row r="634" spans="32:59" x14ac:dyDescent="0.25">
      <c r="AF634"/>
      <c r="AT634"/>
      <c r="BG634"/>
    </row>
    <row r="635" spans="32:59" x14ac:dyDescent="0.25">
      <c r="AF635"/>
      <c r="AT635"/>
      <c r="BG635"/>
    </row>
    <row r="636" spans="32:59" x14ac:dyDescent="0.25">
      <c r="AF636"/>
      <c r="AT636"/>
      <c r="BG636"/>
    </row>
    <row r="637" spans="32:59" x14ac:dyDescent="0.25">
      <c r="AF637"/>
      <c r="AT637"/>
      <c r="BG637"/>
    </row>
    <row r="638" spans="32:59" x14ac:dyDescent="0.25">
      <c r="AF638"/>
      <c r="AT638"/>
      <c r="BG638"/>
    </row>
    <row r="639" spans="32:59" x14ac:dyDescent="0.25">
      <c r="AF639"/>
      <c r="AT639"/>
      <c r="BG639"/>
    </row>
    <row r="640" spans="32:59" x14ac:dyDescent="0.25">
      <c r="AF640"/>
      <c r="AT640"/>
      <c r="BG640"/>
    </row>
    <row r="641" spans="32:59" x14ac:dyDescent="0.25">
      <c r="AF641"/>
      <c r="AT641"/>
      <c r="BG641"/>
    </row>
    <row r="642" spans="32:59" x14ac:dyDescent="0.25">
      <c r="AF642"/>
      <c r="AT642"/>
      <c r="BG642"/>
    </row>
    <row r="643" spans="32:59" x14ac:dyDescent="0.25">
      <c r="AF643"/>
      <c r="AT643"/>
      <c r="BG643"/>
    </row>
    <row r="644" spans="32:59" x14ac:dyDescent="0.25">
      <c r="AF644"/>
      <c r="AT644"/>
      <c r="BG644"/>
    </row>
    <row r="645" spans="32:59" x14ac:dyDescent="0.25">
      <c r="AF645"/>
      <c r="AT645"/>
      <c r="BG645"/>
    </row>
    <row r="646" spans="32:59" x14ac:dyDescent="0.25">
      <c r="AF646"/>
      <c r="AT646"/>
      <c r="BG646"/>
    </row>
    <row r="647" spans="32:59" x14ac:dyDescent="0.25">
      <c r="AF647"/>
      <c r="AT647"/>
      <c r="BG647"/>
    </row>
    <row r="648" spans="32:59" x14ac:dyDescent="0.25">
      <c r="AF648"/>
      <c r="AT648"/>
      <c r="BG648"/>
    </row>
    <row r="649" spans="32:59" x14ac:dyDescent="0.25">
      <c r="AF649"/>
      <c r="AT649"/>
      <c r="BG649"/>
    </row>
    <row r="650" spans="32:59" x14ac:dyDescent="0.25">
      <c r="AF650"/>
      <c r="AT650"/>
      <c r="BG650"/>
    </row>
    <row r="651" spans="32:59" x14ac:dyDescent="0.25">
      <c r="AF651"/>
      <c r="AT651"/>
      <c r="BG651"/>
    </row>
    <row r="652" spans="32:59" x14ac:dyDescent="0.25">
      <c r="AF652"/>
      <c r="AT652"/>
      <c r="BG652"/>
    </row>
    <row r="653" spans="32:59" x14ac:dyDescent="0.25">
      <c r="AF653"/>
      <c r="AT653"/>
      <c r="BG653"/>
    </row>
    <row r="654" spans="32:59" x14ac:dyDescent="0.25">
      <c r="AF654"/>
    </row>
    <row r="655" spans="32:59" x14ac:dyDescent="0.25">
      <c r="AF655"/>
    </row>
    <row r="656" spans="32:59" x14ac:dyDescent="0.25">
      <c r="AF656"/>
    </row>
    <row r="657" spans="32:32" x14ac:dyDescent="0.25">
      <c r="AF657"/>
    </row>
    <row r="658" spans="32:32" x14ac:dyDescent="0.25">
      <c r="AF658"/>
    </row>
    <row r="659" spans="32:32" x14ac:dyDescent="0.25">
      <c r="AF659"/>
    </row>
    <row r="660" spans="32:32" x14ac:dyDescent="0.25">
      <c r="AF660"/>
    </row>
  </sheetData>
  <mergeCells count="49">
    <mergeCell ref="CR154:DB154"/>
    <mergeCell ref="C246:D246"/>
    <mergeCell ref="Z246:AD246"/>
    <mergeCell ref="CG84:CQ84"/>
    <mergeCell ref="AZ154:BJ154"/>
    <mergeCell ref="BK154:BU154"/>
    <mergeCell ref="BV154:CF154"/>
    <mergeCell ref="CG154:CQ154"/>
    <mergeCell ref="A154:G154"/>
    <mergeCell ref="H154:R154"/>
    <mergeCell ref="S154:AC154"/>
    <mergeCell ref="AD154:AN154"/>
    <mergeCell ref="AO154:AY154"/>
    <mergeCell ref="BV84:CF84"/>
    <mergeCell ref="AO84:AY84"/>
    <mergeCell ref="AZ84:BJ84"/>
    <mergeCell ref="FF154:FP154"/>
    <mergeCell ref="DC154:DM154"/>
    <mergeCell ref="DN154:DX154"/>
    <mergeCell ref="DY154:EI154"/>
    <mergeCell ref="EJ154:ET154"/>
    <mergeCell ref="EU154:FE154"/>
    <mergeCell ref="AO1:AY1"/>
    <mergeCell ref="AZ1:BJ1"/>
    <mergeCell ref="BK1:BU1"/>
    <mergeCell ref="BK84:BU84"/>
    <mergeCell ref="A241:G241"/>
    <mergeCell ref="H1:R1"/>
    <mergeCell ref="S1:AC1"/>
    <mergeCell ref="AD1:AN1"/>
    <mergeCell ref="H84:R84"/>
    <mergeCell ref="S84:AC84"/>
    <mergeCell ref="AD84:AN84"/>
    <mergeCell ref="BV1:CF1"/>
    <mergeCell ref="FF84:FP84"/>
    <mergeCell ref="DC84:DM84"/>
    <mergeCell ref="DN84:DX84"/>
    <mergeCell ref="DY84:EI84"/>
    <mergeCell ref="EJ84:ET84"/>
    <mergeCell ref="EU84:FE84"/>
    <mergeCell ref="FF1:FP1"/>
    <mergeCell ref="DC1:DM1"/>
    <mergeCell ref="DN1:DX1"/>
    <mergeCell ref="DY1:EI1"/>
    <mergeCell ref="EJ1:ET1"/>
    <mergeCell ref="EU1:FE1"/>
    <mergeCell ref="CG1:CQ1"/>
    <mergeCell ref="CR1:DB1"/>
    <mergeCell ref="CR84:DB8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8869E-29AB-4878-A100-0E7133834694}">
  <sheetPr>
    <tabColor theme="7"/>
  </sheetPr>
  <dimension ref="A1:FR330"/>
  <sheetViews>
    <sheetView topLeftCell="EY1" zoomScale="70" zoomScaleNormal="70" workbookViewId="0">
      <pane ySplit="1" topLeftCell="A2" activePane="bottomLeft" state="frozen"/>
      <selection activeCell="R1" sqref="R1"/>
      <selection pane="bottomLeft" activeCell="FF42" sqref="FF42"/>
    </sheetView>
  </sheetViews>
  <sheetFormatPr defaultRowHeight="15" x14ac:dyDescent="0.25"/>
  <cols>
    <col min="2" max="2" width="14.7109375" customWidth="1"/>
    <col min="6" max="7" width="11.140625" customWidth="1"/>
    <col min="8" max="8" width="9.140625" style="18"/>
    <col min="20" max="20" width="9.140625" style="18"/>
    <col min="31" max="31" width="9.140625" style="18"/>
    <col min="42" max="42" width="9.140625" style="18"/>
    <col min="53" max="53" width="9.140625" style="18"/>
    <col min="64" max="64" width="9.140625" style="18"/>
    <col min="75" max="75" width="9.140625" style="18"/>
    <col min="86" max="86" width="9.140625" style="18"/>
    <col min="88" max="88" width="14.140625" customWidth="1"/>
    <col min="97" max="97" width="9.140625" style="18"/>
    <col min="108" max="108" width="9.140625" style="18"/>
    <col min="119" max="119" width="9.140625" style="18"/>
    <col min="130" max="130" width="9.140625" style="18"/>
    <col min="141" max="141" width="9.140625" style="18"/>
    <col min="144" max="144" width="12.140625" customWidth="1"/>
    <col min="152" max="152" width="9.140625" style="18"/>
    <col min="155" max="155" width="11.5703125" customWidth="1"/>
    <col min="163" max="163" width="9.140625" style="18"/>
    <col min="166" max="166" width="11.5703125" customWidth="1"/>
    <col min="169" max="169" width="12.5703125" customWidth="1"/>
    <col min="174" max="174" width="9.140625" style="18"/>
  </cols>
  <sheetData>
    <row r="1" spans="1:174" x14ac:dyDescent="0.25">
      <c r="A1" s="147" t="s">
        <v>739</v>
      </c>
      <c r="B1" s="147"/>
      <c r="C1" s="147"/>
      <c r="D1" s="147"/>
      <c r="E1" s="147"/>
      <c r="F1" s="147"/>
      <c r="G1" s="147"/>
      <c r="H1" s="148"/>
      <c r="I1" s="135" t="s">
        <v>55</v>
      </c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6"/>
      <c r="U1" s="134" t="s">
        <v>135</v>
      </c>
      <c r="V1" s="135"/>
      <c r="W1" s="135"/>
      <c r="X1" s="135"/>
      <c r="Y1" s="135"/>
      <c r="Z1" s="135"/>
      <c r="AA1" s="135"/>
      <c r="AB1" s="135"/>
      <c r="AC1" s="135"/>
      <c r="AD1" s="135"/>
      <c r="AE1" s="136"/>
      <c r="AF1" s="134" t="s">
        <v>165</v>
      </c>
      <c r="AG1" s="135"/>
      <c r="AH1" s="135"/>
      <c r="AI1" s="135"/>
      <c r="AJ1" s="135"/>
      <c r="AK1" s="135"/>
      <c r="AL1" s="135"/>
      <c r="AM1" s="135"/>
      <c r="AN1" s="135"/>
      <c r="AO1" s="135"/>
      <c r="AP1" s="136"/>
      <c r="AQ1" s="134" t="s">
        <v>275</v>
      </c>
      <c r="AR1" s="135"/>
      <c r="AS1" s="135"/>
      <c r="AT1" s="135"/>
      <c r="AU1" s="135"/>
      <c r="AV1" s="135"/>
      <c r="AW1" s="135"/>
      <c r="AX1" s="135"/>
      <c r="AY1" s="135"/>
      <c r="AZ1" s="135"/>
      <c r="BA1" s="136"/>
      <c r="BB1" s="134" t="s">
        <v>294</v>
      </c>
      <c r="BC1" s="135"/>
      <c r="BD1" s="135"/>
      <c r="BE1" s="135"/>
      <c r="BF1" s="135"/>
      <c r="BG1" s="135"/>
      <c r="BH1" s="135"/>
      <c r="BI1" s="135"/>
      <c r="BJ1" s="135"/>
      <c r="BK1" s="135"/>
      <c r="BL1" s="136"/>
      <c r="BM1" s="134" t="s">
        <v>303</v>
      </c>
      <c r="BN1" s="135"/>
      <c r="BO1" s="135"/>
      <c r="BP1" s="135"/>
      <c r="BQ1" s="135"/>
      <c r="BR1" s="135"/>
      <c r="BS1" s="135"/>
      <c r="BT1" s="135"/>
      <c r="BU1" s="135"/>
      <c r="BV1" s="135"/>
      <c r="BW1" s="136"/>
      <c r="BX1" s="134" t="s">
        <v>311</v>
      </c>
      <c r="BY1" s="135"/>
      <c r="BZ1" s="135"/>
      <c r="CA1" s="135"/>
      <c r="CB1" s="135"/>
      <c r="CC1" s="135"/>
      <c r="CD1" s="135"/>
      <c r="CE1" s="135"/>
      <c r="CF1" s="135"/>
      <c r="CG1" s="135"/>
      <c r="CH1" s="136"/>
      <c r="CI1" s="134" t="s">
        <v>740</v>
      </c>
      <c r="CJ1" s="135"/>
      <c r="CK1" s="135"/>
      <c r="CL1" s="135"/>
      <c r="CM1" s="135"/>
      <c r="CN1" s="135"/>
      <c r="CO1" s="135"/>
      <c r="CP1" s="135"/>
      <c r="CQ1" s="135"/>
      <c r="CR1" s="135"/>
      <c r="CS1" s="136"/>
      <c r="CT1" s="134" t="s">
        <v>741</v>
      </c>
      <c r="CU1" s="135"/>
      <c r="CV1" s="135"/>
      <c r="CW1" s="135"/>
      <c r="CX1" s="135"/>
      <c r="CY1" s="135"/>
      <c r="CZ1" s="135"/>
      <c r="DA1" s="135"/>
      <c r="DB1" s="135"/>
      <c r="DC1" s="135"/>
      <c r="DD1" s="136"/>
      <c r="DE1" s="134" t="s">
        <v>742</v>
      </c>
      <c r="DF1" s="135"/>
      <c r="DG1" s="135"/>
      <c r="DH1" s="135"/>
      <c r="DI1" s="135"/>
      <c r="DJ1" s="135"/>
      <c r="DK1" s="135"/>
      <c r="DL1" s="135"/>
      <c r="DM1" s="135"/>
      <c r="DN1" s="135"/>
      <c r="DO1" s="136"/>
      <c r="DP1" s="134" t="s">
        <v>743</v>
      </c>
      <c r="DQ1" s="135"/>
      <c r="DR1" s="135"/>
      <c r="DS1" s="135"/>
      <c r="DT1" s="135"/>
      <c r="DU1" s="135"/>
      <c r="DV1" s="135"/>
      <c r="DW1" s="135"/>
      <c r="DX1" s="135"/>
      <c r="DY1" s="135"/>
      <c r="DZ1" s="136"/>
      <c r="EA1" s="134" t="s">
        <v>744</v>
      </c>
      <c r="EB1" s="135"/>
      <c r="EC1" s="135"/>
      <c r="ED1" s="135"/>
      <c r="EE1" s="135"/>
      <c r="EF1" s="135"/>
      <c r="EG1" s="135"/>
      <c r="EH1" s="135"/>
      <c r="EI1" s="135"/>
      <c r="EJ1" s="135"/>
      <c r="EK1" s="136"/>
      <c r="EL1" s="134" t="s">
        <v>745</v>
      </c>
      <c r="EM1" s="135"/>
      <c r="EN1" s="135"/>
      <c r="EO1" s="135"/>
      <c r="EP1" s="135"/>
      <c r="EQ1" s="135"/>
      <c r="ER1" s="135"/>
      <c r="ES1" s="135"/>
      <c r="ET1" s="135"/>
      <c r="EU1" s="135"/>
      <c r="EV1" s="136"/>
      <c r="EW1" s="134" t="s">
        <v>746</v>
      </c>
      <c r="EX1" s="135"/>
      <c r="EY1" s="135"/>
      <c r="EZ1" s="135"/>
      <c r="FA1" s="135"/>
      <c r="FB1" s="135"/>
      <c r="FC1" s="135"/>
      <c r="FD1" s="135"/>
      <c r="FE1" s="135"/>
      <c r="FF1" s="135"/>
      <c r="FG1" s="136"/>
      <c r="FH1" s="134" t="s">
        <v>747</v>
      </c>
      <c r="FI1" s="135"/>
      <c r="FJ1" s="135"/>
      <c r="FK1" s="135"/>
      <c r="FL1" s="135"/>
      <c r="FM1" s="135"/>
      <c r="FN1" s="135"/>
      <c r="FO1" s="135"/>
      <c r="FP1" s="135"/>
      <c r="FQ1" s="135"/>
      <c r="FR1" s="136"/>
    </row>
    <row r="2" spans="1:174" x14ac:dyDescent="0.25">
      <c r="A2" t="str">
        <f>'Wetland Design'!AO45</f>
        <v>PE</v>
      </c>
      <c r="B2" t="str">
        <f>'Wetland Design'!AP45</f>
        <v>Cells</v>
      </c>
      <c r="C2" t="str">
        <f>'Wetland Design'!AQ45</f>
        <v>Length</v>
      </c>
      <c r="D2" t="str">
        <f>'Wetland Design'!AR45</f>
        <v>Width</v>
      </c>
      <c r="E2" t="s">
        <v>694</v>
      </c>
      <c r="F2" t="s">
        <v>695</v>
      </c>
    </row>
    <row r="3" spans="1:174" x14ac:dyDescent="0.25">
      <c r="A3">
        <f>'Wetland Design'!AO46</f>
        <v>5</v>
      </c>
      <c r="B3">
        <f>'Wetland Design'!AP46</f>
        <v>1</v>
      </c>
      <c r="C3">
        <f>'Wetland Design'!AQ46</f>
        <v>2.9000000000000004</v>
      </c>
      <c r="D3">
        <f>'Wetland Design'!AR46</f>
        <v>5.6</v>
      </c>
      <c r="E3">
        <f>D23</f>
        <v>6.3840000000000003</v>
      </c>
      <c r="F3">
        <f>D3*'Wetland Design'!$AP$25*2*('Wetland Design'!$W$48)</f>
        <v>3.36</v>
      </c>
      <c r="J3" t="s">
        <v>22</v>
      </c>
      <c r="V3" t="s">
        <v>22</v>
      </c>
      <c r="AG3" t="s">
        <v>22</v>
      </c>
      <c r="AR3" t="s">
        <v>22</v>
      </c>
      <c r="BC3" t="s">
        <v>22</v>
      </c>
      <c r="BN3" t="s">
        <v>22</v>
      </c>
      <c r="BY3" t="s">
        <v>22</v>
      </c>
      <c r="CJ3" t="s">
        <v>22</v>
      </c>
      <c r="CU3" t="s">
        <v>22</v>
      </c>
      <c r="DF3" t="s">
        <v>22</v>
      </c>
      <c r="DQ3" t="s">
        <v>22</v>
      </c>
      <c r="EB3" t="s">
        <v>22</v>
      </c>
      <c r="EM3" t="s">
        <v>22</v>
      </c>
      <c r="EX3" t="s">
        <v>22</v>
      </c>
      <c r="FI3" t="s">
        <v>22</v>
      </c>
    </row>
    <row r="4" spans="1:174" x14ac:dyDescent="0.25">
      <c r="A4">
        <f>'Wetland Design'!AO47</f>
        <v>10</v>
      </c>
      <c r="B4">
        <f>'Wetland Design'!AP47</f>
        <v>1</v>
      </c>
      <c r="C4">
        <f>'Wetland Design'!AQ47</f>
        <v>3.7</v>
      </c>
      <c r="D4">
        <f>'Wetland Design'!AR47</f>
        <v>7.8999999999999995</v>
      </c>
      <c r="E4">
        <f t="shared" ref="E4:E18" si="0">D24</f>
        <v>12.797999999999998</v>
      </c>
      <c r="F4">
        <f>D4*'Wetland Design'!$AP$25*2*('Wetland Design'!$W$48)</f>
        <v>4.7399999999999993</v>
      </c>
      <c r="J4" t="s">
        <v>80</v>
      </c>
      <c r="K4" t="s">
        <v>2</v>
      </c>
      <c r="L4" t="s">
        <v>81</v>
      </c>
      <c r="M4" t="s">
        <v>82</v>
      </c>
      <c r="N4" t="s">
        <v>59</v>
      </c>
      <c r="P4" t="s">
        <v>61</v>
      </c>
      <c r="V4" t="s">
        <v>80</v>
      </c>
      <c r="W4" t="s">
        <v>2</v>
      </c>
      <c r="X4" t="s">
        <v>81</v>
      </c>
      <c r="Y4" t="s">
        <v>82</v>
      </c>
      <c r="Z4" t="s">
        <v>59</v>
      </c>
      <c r="AB4" t="s">
        <v>61</v>
      </c>
      <c r="AG4" t="s">
        <v>80</v>
      </c>
      <c r="AH4" t="s">
        <v>2</v>
      </c>
      <c r="AI4" t="s">
        <v>81</v>
      </c>
      <c r="AJ4" t="s">
        <v>82</v>
      </c>
      <c r="AK4" t="s">
        <v>59</v>
      </c>
      <c r="AM4" t="s">
        <v>61</v>
      </c>
      <c r="AR4" t="s">
        <v>80</v>
      </c>
      <c r="AS4" t="s">
        <v>2</v>
      </c>
      <c r="AT4" t="s">
        <v>81</v>
      </c>
      <c r="AU4" t="s">
        <v>82</v>
      </c>
      <c r="AV4" t="s">
        <v>59</v>
      </c>
      <c r="AX4" t="s">
        <v>61</v>
      </c>
      <c r="BC4" t="s">
        <v>80</v>
      </c>
      <c r="BD4" t="s">
        <v>2</v>
      </c>
      <c r="BE4" t="s">
        <v>81</v>
      </c>
      <c r="BF4" t="s">
        <v>82</v>
      </c>
      <c r="BG4" t="s">
        <v>59</v>
      </c>
      <c r="BI4" t="s">
        <v>61</v>
      </c>
      <c r="BN4" t="s">
        <v>80</v>
      </c>
      <c r="BO4" t="s">
        <v>2</v>
      </c>
      <c r="BP4" t="s">
        <v>81</v>
      </c>
      <c r="BQ4" t="s">
        <v>82</v>
      </c>
      <c r="BR4" t="s">
        <v>59</v>
      </c>
      <c r="BT4" t="s">
        <v>61</v>
      </c>
      <c r="BY4" t="s">
        <v>80</v>
      </c>
      <c r="BZ4" t="s">
        <v>2</v>
      </c>
      <c r="CA4" t="s">
        <v>81</v>
      </c>
      <c r="CB4" t="s">
        <v>82</v>
      </c>
      <c r="CC4" t="s">
        <v>59</v>
      </c>
      <c r="CE4" t="s">
        <v>61</v>
      </c>
      <c r="CJ4" t="s">
        <v>80</v>
      </c>
      <c r="CK4" t="s">
        <v>2</v>
      </c>
      <c r="CL4" t="s">
        <v>81</v>
      </c>
      <c r="CM4" t="s">
        <v>82</v>
      </c>
      <c r="CN4" t="s">
        <v>59</v>
      </c>
      <c r="CP4" t="s">
        <v>61</v>
      </c>
      <c r="CU4" t="s">
        <v>80</v>
      </c>
      <c r="CV4" t="s">
        <v>2</v>
      </c>
      <c r="CW4" t="s">
        <v>81</v>
      </c>
      <c r="CX4" t="s">
        <v>82</v>
      </c>
      <c r="CY4" t="s">
        <v>59</v>
      </c>
      <c r="DA4" t="s">
        <v>61</v>
      </c>
      <c r="DF4" t="s">
        <v>80</v>
      </c>
      <c r="DG4" t="s">
        <v>2</v>
      </c>
      <c r="DH4" t="s">
        <v>81</v>
      </c>
      <c r="DI4" t="s">
        <v>82</v>
      </c>
      <c r="DJ4" t="s">
        <v>59</v>
      </c>
      <c r="DL4" t="s">
        <v>61</v>
      </c>
      <c r="DQ4" t="s">
        <v>80</v>
      </c>
      <c r="DR4" t="s">
        <v>2</v>
      </c>
      <c r="DS4" t="s">
        <v>81</v>
      </c>
      <c r="DT4" t="s">
        <v>82</v>
      </c>
      <c r="DU4" t="s">
        <v>59</v>
      </c>
      <c r="DW4" t="s">
        <v>61</v>
      </c>
      <c r="EB4" t="s">
        <v>80</v>
      </c>
      <c r="EC4" t="s">
        <v>2</v>
      </c>
      <c r="ED4" t="s">
        <v>81</v>
      </c>
      <c r="EE4" t="s">
        <v>82</v>
      </c>
      <c r="EF4" t="s">
        <v>59</v>
      </c>
      <c r="EH4" t="s">
        <v>61</v>
      </c>
      <c r="EM4" t="s">
        <v>80</v>
      </c>
      <c r="EN4" t="s">
        <v>2</v>
      </c>
      <c r="EO4" t="s">
        <v>81</v>
      </c>
      <c r="EP4" t="s">
        <v>82</v>
      </c>
      <c r="EQ4" t="s">
        <v>59</v>
      </c>
      <c r="ES4" t="s">
        <v>61</v>
      </c>
      <c r="EX4" t="s">
        <v>80</v>
      </c>
      <c r="EY4" t="s">
        <v>2</v>
      </c>
      <c r="EZ4" t="s">
        <v>81</v>
      </c>
      <c r="FA4" t="s">
        <v>82</v>
      </c>
      <c r="FB4" t="s">
        <v>59</v>
      </c>
      <c r="FD4" t="s">
        <v>61</v>
      </c>
      <c r="FI4" t="s">
        <v>80</v>
      </c>
      <c r="FJ4" t="s">
        <v>2</v>
      </c>
      <c r="FK4" t="s">
        <v>81</v>
      </c>
      <c r="FL4" t="s">
        <v>82</v>
      </c>
      <c r="FM4" t="s">
        <v>59</v>
      </c>
      <c r="FO4" t="s">
        <v>61</v>
      </c>
    </row>
    <row r="5" spans="1:174" x14ac:dyDescent="0.25">
      <c r="A5">
        <f>'Wetland Design'!AO48</f>
        <v>20</v>
      </c>
      <c r="B5">
        <f>'Wetland Design'!AP48</f>
        <v>1</v>
      </c>
      <c r="C5">
        <f>'Wetland Design'!AQ48</f>
        <v>4.7</v>
      </c>
      <c r="D5">
        <f>'Wetland Design'!AR48</f>
        <v>11.1</v>
      </c>
      <c r="E5">
        <f t="shared" si="0"/>
        <v>24.641999999999999</v>
      </c>
      <c r="F5">
        <f>D5*'Wetland Design'!$AP$25*2*('Wetland Design'!$W$48)</f>
        <v>6.6599999999999993</v>
      </c>
      <c r="J5" s="10" t="s">
        <v>732</v>
      </c>
      <c r="P5" t="s">
        <v>618</v>
      </c>
      <c r="Q5">
        <v>1</v>
      </c>
      <c r="V5" s="10" t="s">
        <v>732</v>
      </c>
      <c r="AB5" t="s">
        <v>618</v>
      </c>
      <c r="AC5">
        <f>B4</f>
        <v>1</v>
      </c>
      <c r="AG5" s="10" t="s">
        <v>732</v>
      </c>
      <c r="AM5" t="s">
        <v>618</v>
      </c>
      <c r="AN5">
        <f>$B5</f>
        <v>1</v>
      </c>
      <c r="AR5" s="10" t="s">
        <v>732</v>
      </c>
      <c r="AX5" t="s">
        <v>618</v>
      </c>
      <c r="AY5">
        <f>$B6</f>
        <v>1</v>
      </c>
      <c r="BC5" s="10" t="s">
        <v>732</v>
      </c>
      <c r="BI5" t="s">
        <v>618</v>
      </c>
      <c r="BJ5">
        <f>$B7</f>
        <v>1</v>
      </c>
      <c r="BN5" s="10" t="s">
        <v>732</v>
      </c>
      <c r="BT5" t="s">
        <v>618</v>
      </c>
      <c r="BU5">
        <f>$B8</f>
        <v>2</v>
      </c>
      <c r="BY5" s="10" t="s">
        <v>732</v>
      </c>
      <c r="CE5" t="s">
        <v>618</v>
      </c>
      <c r="CF5">
        <f>$B9</f>
        <v>2</v>
      </c>
      <c r="CJ5" s="10" t="s">
        <v>732</v>
      </c>
      <c r="CP5" t="s">
        <v>618</v>
      </c>
      <c r="CQ5">
        <f>$B10</f>
        <v>2</v>
      </c>
      <c r="CU5" s="10" t="s">
        <v>732</v>
      </c>
      <c r="DA5" t="s">
        <v>618</v>
      </c>
      <c r="DB5">
        <f>$B11</f>
        <v>3</v>
      </c>
      <c r="DF5" s="10" t="s">
        <v>732</v>
      </c>
      <c r="DL5" t="s">
        <v>618</v>
      </c>
      <c r="DM5">
        <f>$B12</f>
        <v>4</v>
      </c>
      <c r="DQ5" s="10" t="s">
        <v>732</v>
      </c>
      <c r="DW5" t="s">
        <v>618</v>
      </c>
      <c r="DX5">
        <f>$B13</f>
        <v>6</v>
      </c>
      <c r="EB5" s="10" t="s">
        <v>732</v>
      </c>
      <c r="EH5" t="s">
        <v>618</v>
      </c>
      <c r="EI5">
        <f>$B14</f>
        <v>7</v>
      </c>
      <c r="EM5" s="10" t="s">
        <v>732</v>
      </c>
      <c r="ES5" t="s">
        <v>618</v>
      </c>
      <c r="ET5">
        <f>$B15</f>
        <v>8</v>
      </c>
      <c r="EX5" s="10" t="s">
        <v>732</v>
      </c>
      <c r="FD5" t="s">
        <v>618</v>
      </c>
      <c r="FE5">
        <f>$B16</f>
        <v>10</v>
      </c>
      <c r="FI5" s="10" t="s">
        <v>732</v>
      </c>
      <c r="FO5" t="s">
        <v>618</v>
      </c>
      <c r="FP5">
        <f>$B17</f>
        <v>11</v>
      </c>
    </row>
    <row r="6" spans="1:174" ht="21" customHeight="1" x14ac:dyDescent="0.25">
      <c r="A6">
        <f>'Wetland Design'!AO49</f>
        <v>30</v>
      </c>
      <c r="B6">
        <f>'Wetland Design'!AP49</f>
        <v>1</v>
      </c>
      <c r="C6">
        <f>'Wetland Design'!AQ49</f>
        <v>5.6</v>
      </c>
      <c r="D6">
        <f>'Wetland Design'!AR49</f>
        <v>13.6</v>
      </c>
      <c r="E6">
        <f t="shared" si="0"/>
        <v>37.535999999999994</v>
      </c>
      <c r="F6">
        <f>D6*'Wetland Design'!$AP$25*2*('Wetland Design'!$W$48)</f>
        <v>8.16</v>
      </c>
      <c r="J6" t="s">
        <v>14</v>
      </c>
      <c r="K6">
        <f>Q15</f>
        <v>16.240000000000002</v>
      </c>
      <c r="L6">
        <f>Index!$C$69</f>
        <v>11.9580460758</v>
      </c>
      <c r="M6">
        <f>L6</f>
        <v>11.9580460758</v>
      </c>
      <c r="N6">
        <f t="shared" ref="N6:N11" si="1">M6*K6</f>
        <v>194.19866827099204</v>
      </c>
      <c r="V6" t="s">
        <v>14</v>
      </c>
      <c r="W6">
        <f>AC15</f>
        <v>29.23</v>
      </c>
      <c r="X6">
        <f>Index!$C$69</f>
        <v>11.9580460758</v>
      </c>
      <c r="Y6">
        <f>X6</f>
        <v>11.9580460758</v>
      </c>
      <c r="Z6">
        <f t="shared" ref="Z6:Z11" si="2">Y6*W6</f>
        <v>349.53368679563403</v>
      </c>
      <c r="AG6" t="s">
        <v>14</v>
      </c>
      <c r="AH6">
        <f>AN15</f>
        <v>52.17</v>
      </c>
      <c r="AI6">
        <f>Index!$C$69</f>
        <v>11.9580460758</v>
      </c>
      <c r="AJ6">
        <f>AI6</f>
        <v>11.9580460758</v>
      </c>
      <c r="AK6">
        <f t="shared" ref="AK6:AK11" si="3">AJ6*AH6</f>
        <v>623.85126377448603</v>
      </c>
      <c r="AR6" t="s">
        <v>14</v>
      </c>
      <c r="AS6">
        <f>AY15</f>
        <v>76.16</v>
      </c>
      <c r="AT6">
        <f>Index!$C$69</f>
        <v>11.9580460758</v>
      </c>
      <c r="AU6">
        <f>AT6</f>
        <v>11.9580460758</v>
      </c>
      <c r="AV6">
        <f t="shared" ref="AV6:AV11" si="4">AU6*AS6</f>
        <v>910.72478913292798</v>
      </c>
      <c r="BC6" t="s">
        <v>14</v>
      </c>
      <c r="BD6">
        <f>BJ15</f>
        <v>120.74999999999999</v>
      </c>
      <c r="BE6">
        <f>Index!$C$69</f>
        <v>11.9580460758</v>
      </c>
      <c r="BF6">
        <f>BE6</f>
        <v>11.9580460758</v>
      </c>
      <c r="BG6">
        <f t="shared" ref="BG6:BG11" si="5">BF6*BD6</f>
        <v>1443.9340636528498</v>
      </c>
      <c r="BN6" t="s">
        <v>14</v>
      </c>
      <c r="BO6">
        <f>BU15</f>
        <v>197.79999999999998</v>
      </c>
      <c r="BP6">
        <f>Index!$C$69</f>
        <v>11.9580460758</v>
      </c>
      <c r="BQ6">
        <f>BP6</f>
        <v>11.9580460758</v>
      </c>
      <c r="BR6">
        <f t="shared" ref="BR6:BR11" si="6">BQ6*BO6</f>
        <v>2365.3015137932398</v>
      </c>
      <c r="BY6" t="s">
        <v>14</v>
      </c>
      <c r="BZ6">
        <f>CF15</f>
        <v>257.91999999999996</v>
      </c>
      <c r="CA6">
        <f>Index!$C$69</f>
        <v>11.9580460758</v>
      </c>
      <c r="CB6">
        <f>CA6</f>
        <v>11.9580460758</v>
      </c>
      <c r="CC6">
        <f t="shared" ref="CC6:CC11" si="7">CB6*BZ6</f>
        <v>3084.2192438703355</v>
      </c>
      <c r="CJ6" t="s">
        <v>14</v>
      </c>
      <c r="CK6">
        <f>CQ15</f>
        <v>359.99999999999994</v>
      </c>
      <c r="CL6">
        <f>Index!$C$69</f>
        <v>11.9580460758</v>
      </c>
      <c r="CM6">
        <f>CL6</f>
        <v>11.9580460758</v>
      </c>
      <c r="CN6">
        <f t="shared" ref="CN6:CN11" si="8">CM6*CK6</f>
        <v>4304.8965872879999</v>
      </c>
      <c r="CU6" t="s">
        <v>14</v>
      </c>
      <c r="CV6">
        <f>DB15</f>
        <v>487.5</v>
      </c>
      <c r="CW6">
        <f>Index!$C$69</f>
        <v>11.9580460758</v>
      </c>
      <c r="CX6">
        <f>CW6</f>
        <v>11.9580460758</v>
      </c>
      <c r="CY6">
        <f t="shared" ref="CY6:CY11" si="9">CX6*CV6</f>
        <v>5829.5474619525003</v>
      </c>
      <c r="DF6" t="s">
        <v>14</v>
      </c>
      <c r="DG6">
        <f>DM15</f>
        <v>719.99999999999989</v>
      </c>
      <c r="DH6">
        <f>Index!$C$69</f>
        <v>11.9580460758</v>
      </c>
      <c r="DI6">
        <f>DH6</f>
        <v>11.9580460758</v>
      </c>
      <c r="DJ6">
        <f t="shared" ref="DJ6:DJ11" si="10">DI6*DG6</f>
        <v>8609.7931745759997</v>
      </c>
      <c r="DQ6" t="s">
        <v>14</v>
      </c>
      <c r="DR6">
        <f>DX15</f>
        <v>975</v>
      </c>
      <c r="DS6">
        <f>Index!$C$69</f>
        <v>11.9580460758</v>
      </c>
      <c r="DT6">
        <f>DS6</f>
        <v>11.9580460758</v>
      </c>
      <c r="DU6">
        <f t="shared" ref="DU6:DU11" si="11">DT6*DR6</f>
        <v>11659.094923905001</v>
      </c>
      <c r="EB6" t="s">
        <v>14</v>
      </c>
      <c r="EC6">
        <f>EI15</f>
        <v>1207.5</v>
      </c>
      <c r="ED6">
        <f>Index!$C$69</f>
        <v>11.9580460758</v>
      </c>
      <c r="EE6">
        <f>ED6</f>
        <v>11.9580460758</v>
      </c>
      <c r="EF6">
        <f t="shared" ref="EF6:EF11" si="12">EE6*EC6</f>
        <v>14439.340636528501</v>
      </c>
      <c r="EM6" t="s">
        <v>14</v>
      </c>
      <c r="EN6">
        <f>ET15</f>
        <v>1439.9999999999998</v>
      </c>
      <c r="EO6">
        <f>Index!$C$69</f>
        <v>11.9580460758</v>
      </c>
      <c r="EP6">
        <f>EO6</f>
        <v>11.9580460758</v>
      </c>
      <c r="EQ6">
        <f t="shared" ref="EQ6:EQ11" si="13">EP6*EN6</f>
        <v>17219.586349151999</v>
      </c>
      <c r="EX6" t="s">
        <v>14</v>
      </c>
      <c r="EY6">
        <f>FE15</f>
        <v>1700</v>
      </c>
      <c r="EZ6">
        <f>Index!$C$69</f>
        <v>11.9580460758</v>
      </c>
      <c r="FA6">
        <f>EZ6</f>
        <v>11.9580460758</v>
      </c>
      <c r="FB6">
        <f t="shared" ref="FB6:FB11" si="14">FA6*EY6</f>
        <v>20328.678328860002</v>
      </c>
      <c r="FI6" t="s">
        <v>14</v>
      </c>
      <c r="FJ6">
        <f>FP15</f>
        <v>1925</v>
      </c>
      <c r="FK6">
        <f>Index!$C$69</f>
        <v>11.9580460758</v>
      </c>
      <c r="FL6">
        <f>FK6</f>
        <v>11.9580460758</v>
      </c>
      <c r="FM6">
        <f t="shared" ref="FM6:FM11" si="15">FL6*FJ6</f>
        <v>23019.238695915003</v>
      </c>
    </row>
    <row r="7" spans="1:174" x14ac:dyDescent="0.25">
      <c r="A7">
        <f>'Wetland Design'!AO50</f>
        <v>50</v>
      </c>
      <c r="B7">
        <f>'Wetland Design'!AP50</f>
        <v>1</v>
      </c>
      <c r="C7">
        <f>'Wetland Design'!AQ50</f>
        <v>6.8999999999999995</v>
      </c>
      <c r="D7">
        <f>'Wetland Design'!AR50</f>
        <v>17.5</v>
      </c>
      <c r="E7">
        <f t="shared" si="0"/>
        <v>61.949999999999989</v>
      </c>
      <c r="F7">
        <f>D7*'Wetland Design'!$AP$25*2*('Wetland Design'!$W$48)</f>
        <v>10.5</v>
      </c>
      <c r="J7" t="s">
        <v>112</v>
      </c>
      <c r="K7">
        <f>$B$63</f>
        <v>36.599036004625439</v>
      </c>
      <c r="L7">
        <f>Index!$C$57</f>
        <v>2.0490500744999993</v>
      </c>
      <c r="M7">
        <f t="shared" ref="M7:M11" si="16">L7</f>
        <v>2.0490500744999993</v>
      </c>
      <c r="N7">
        <f t="shared" si="1"/>
        <v>74.993257451905919</v>
      </c>
      <c r="P7" t="s">
        <v>678</v>
      </c>
      <c r="Q7" t="s">
        <v>191</v>
      </c>
      <c r="V7" t="s">
        <v>112</v>
      </c>
      <c r="W7">
        <f>$B$64</f>
        <v>45.433737235978171</v>
      </c>
      <c r="X7">
        <f>Index!$C$57</f>
        <v>2.0490500744999993</v>
      </c>
      <c r="Y7">
        <f t="shared" ref="Y7:Y11" si="17">X7</f>
        <v>2.0490500744999993</v>
      </c>
      <c r="Z7">
        <f t="shared" si="2"/>
        <v>93.096002668194458</v>
      </c>
      <c r="AB7" t="s">
        <v>678</v>
      </c>
      <c r="AC7" t="s">
        <v>191</v>
      </c>
      <c r="AG7" t="s">
        <v>112</v>
      </c>
      <c r="AH7">
        <f>$B$65</f>
        <v>76.203050716004697</v>
      </c>
      <c r="AI7">
        <f>Index!$C$57</f>
        <v>2.0490500744999993</v>
      </c>
      <c r="AJ7">
        <f t="shared" ref="AJ7:AJ11" si="18">AI7</f>
        <v>2.0490500744999993</v>
      </c>
      <c r="AK7">
        <f t="shared" si="3"/>
        <v>156.14386674675666</v>
      </c>
      <c r="AM7" t="s">
        <v>678</v>
      </c>
      <c r="AN7" t="s">
        <v>191</v>
      </c>
      <c r="AR7" t="s">
        <v>112</v>
      </c>
      <c r="AS7">
        <f>$B$66</f>
        <v>104.55970479604305</v>
      </c>
      <c r="AT7">
        <f>Index!$C$57</f>
        <v>2.0490500744999993</v>
      </c>
      <c r="AU7">
        <f t="shared" ref="AU7:AU11" si="19">AT7</f>
        <v>2.0490500744999993</v>
      </c>
      <c r="AV7">
        <f t="shared" si="4"/>
        <v>214.24807090202995</v>
      </c>
      <c r="AX7" t="s">
        <v>678</v>
      </c>
      <c r="AY7" t="s">
        <v>191</v>
      </c>
      <c r="BC7" t="s">
        <v>112</v>
      </c>
      <c r="BD7">
        <f>$B$67</f>
        <v>157.97713819051489</v>
      </c>
      <c r="BE7">
        <f>Index!$C$57</f>
        <v>2.0490500744999993</v>
      </c>
      <c r="BF7">
        <f t="shared" ref="BF7:BF11" si="20">BE7</f>
        <v>2.0490500744999993</v>
      </c>
      <c r="BG7">
        <f t="shared" si="5"/>
        <v>323.70306677857121</v>
      </c>
      <c r="BI7" t="s">
        <v>678</v>
      </c>
      <c r="BJ7" t="s">
        <v>191</v>
      </c>
      <c r="BN7" t="s">
        <v>112</v>
      </c>
      <c r="BO7">
        <f>$B$68</f>
        <v>272.97599759951987</v>
      </c>
      <c r="BP7">
        <f>Index!$C$57</f>
        <v>2.0490500744999993</v>
      </c>
      <c r="BQ7">
        <f t="shared" ref="BQ7:BQ11" si="21">BP7</f>
        <v>2.0490500744999993</v>
      </c>
      <c r="BR7">
        <f t="shared" si="6"/>
        <v>559.34148821800784</v>
      </c>
      <c r="BT7" t="s">
        <v>678</v>
      </c>
      <c r="BU7" t="s">
        <v>191</v>
      </c>
      <c r="BY7" t="s">
        <v>112</v>
      </c>
      <c r="BZ7">
        <f>$B$69</f>
        <v>342.53634902075339</v>
      </c>
      <c r="CA7">
        <f>Index!$C$57</f>
        <v>2.0490500744999993</v>
      </c>
      <c r="CB7">
        <f t="shared" ref="CB7:CB11" si="22">CA7</f>
        <v>2.0490500744999993</v>
      </c>
      <c r="CC7">
        <f t="shared" si="7"/>
        <v>701.87413147993254</v>
      </c>
      <c r="CE7" t="s">
        <v>678</v>
      </c>
      <c r="CF7" t="s">
        <v>191</v>
      </c>
      <c r="CJ7" t="s">
        <v>112</v>
      </c>
      <c r="CK7">
        <f>$B$70</f>
        <v>455.37599999999998</v>
      </c>
      <c r="CL7">
        <f>Index!$C$57</f>
        <v>2.0490500744999993</v>
      </c>
      <c r="CM7">
        <f t="shared" ref="CM7:CM11" si="23">CL7</f>
        <v>2.0490500744999993</v>
      </c>
      <c r="CN7">
        <f t="shared" si="8"/>
        <v>933.08822672551162</v>
      </c>
      <c r="CP7" t="s">
        <v>678</v>
      </c>
      <c r="CQ7" t="s">
        <v>191</v>
      </c>
      <c r="CU7" t="s">
        <v>112</v>
      </c>
      <c r="CV7">
        <f>$B$71</f>
        <v>627.16800000000001</v>
      </c>
      <c r="CW7">
        <f>Index!$C$57</f>
        <v>2.0490500744999993</v>
      </c>
      <c r="CX7">
        <f t="shared" ref="CX7:CX11" si="24">CW7</f>
        <v>2.0490500744999993</v>
      </c>
      <c r="CY7">
        <f t="shared" si="9"/>
        <v>1285.0986371240156</v>
      </c>
      <c r="DA7" t="s">
        <v>678</v>
      </c>
      <c r="DB7" t="s">
        <v>191</v>
      </c>
      <c r="DF7" t="s">
        <v>112</v>
      </c>
      <c r="DG7">
        <f>$B$72</f>
        <v>910.75199999999995</v>
      </c>
      <c r="DH7">
        <f>Index!$C$57</f>
        <v>2.0490500744999993</v>
      </c>
      <c r="DI7">
        <f t="shared" ref="DI7:DI11" si="25">DH7</f>
        <v>2.0490500744999993</v>
      </c>
      <c r="DJ7">
        <f t="shared" si="10"/>
        <v>1866.1764534510232</v>
      </c>
      <c r="DL7" t="s">
        <v>678</v>
      </c>
      <c r="DM7" t="s">
        <v>191</v>
      </c>
      <c r="DQ7" t="s">
        <v>112</v>
      </c>
      <c r="DR7">
        <f>$B$73</f>
        <v>1254.336</v>
      </c>
      <c r="DS7">
        <f>Index!$C$57</f>
        <v>2.0490500744999993</v>
      </c>
      <c r="DT7">
        <f t="shared" ref="DT7:DT11" si="26">DS7</f>
        <v>2.0490500744999993</v>
      </c>
      <c r="DU7">
        <f t="shared" si="11"/>
        <v>2570.1972742480311</v>
      </c>
      <c r="DW7" t="s">
        <v>678</v>
      </c>
      <c r="DX7" t="s">
        <v>191</v>
      </c>
      <c r="EB7" t="s">
        <v>112</v>
      </c>
      <c r="EC7">
        <f>$B$74</f>
        <v>1537.9199999999998</v>
      </c>
      <c r="ED7">
        <f>Index!$C$57</f>
        <v>2.0490500744999993</v>
      </c>
      <c r="EE7">
        <f t="shared" ref="EE7:EE11" si="27">ED7</f>
        <v>2.0490500744999993</v>
      </c>
      <c r="EF7">
        <f t="shared" si="12"/>
        <v>3151.2750905750386</v>
      </c>
      <c r="EH7" t="s">
        <v>678</v>
      </c>
      <c r="EI7" t="s">
        <v>191</v>
      </c>
      <c r="EM7" t="s">
        <v>112</v>
      </c>
      <c r="EN7">
        <f>$B$75</f>
        <v>1821.5039999999999</v>
      </c>
      <c r="EO7">
        <f>Index!$C$57</f>
        <v>2.0490500744999993</v>
      </c>
      <c r="EP7">
        <f t="shared" ref="EP7:EP11" si="28">EO7</f>
        <v>2.0490500744999993</v>
      </c>
      <c r="EQ7">
        <f t="shared" si="13"/>
        <v>3732.3529069020465</v>
      </c>
      <c r="ES7" t="s">
        <v>678</v>
      </c>
      <c r="ET7" t="s">
        <v>191</v>
      </c>
      <c r="EX7" t="s">
        <v>112</v>
      </c>
      <c r="EY7">
        <f>$B$76</f>
        <v>2165.0879999999997</v>
      </c>
      <c r="EZ7">
        <f>Index!$C$57</f>
        <v>2.0490500744999993</v>
      </c>
      <c r="FA7">
        <f t="shared" ref="FA7:FA11" si="29">EZ7</f>
        <v>2.0490500744999993</v>
      </c>
      <c r="FB7">
        <f t="shared" si="14"/>
        <v>4436.3737276990541</v>
      </c>
      <c r="FD7" t="s">
        <v>678</v>
      </c>
      <c r="FE7" t="s">
        <v>191</v>
      </c>
      <c r="FI7" t="s">
        <v>112</v>
      </c>
      <c r="FJ7">
        <f>$B$77</f>
        <v>2448.672</v>
      </c>
      <c r="FK7">
        <f>Index!$C$57</f>
        <v>2.0490500744999993</v>
      </c>
      <c r="FL7">
        <f t="shared" ref="FL7:FL11" si="30">FK7</f>
        <v>2.0490500744999993</v>
      </c>
      <c r="FM7">
        <f t="shared" si="15"/>
        <v>5017.451544026062</v>
      </c>
      <c r="FO7" t="s">
        <v>678</v>
      </c>
      <c r="FP7" t="s">
        <v>191</v>
      </c>
    </row>
    <row r="8" spans="1:174" x14ac:dyDescent="0.25">
      <c r="A8">
        <f>'Wetland Design'!AO51</f>
        <v>75</v>
      </c>
      <c r="B8">
        <f>'Wetland Design'!AP51</f>
        <v>2</v>
      </c>
      <c r="C8">
        <f>'Wetland Design'!AQ51</f>
        <v>4.5999999999999996</v>
      </c>
      <c r="D8">
        <f>'Wetland Design'!AR51</f>
        <v>21.5</v>
      </c>
      <c r="E8">
        <f t="shared" si="0"/>
        <v>46.440000000000005</v>
      </c>
      <c r="F8">
        <f>D8*'Wetland Design'!$AP$25*2*('Wetland Design'!$W$48)</f>
        <v>12.9</v>
      </c>
      <c r="J8" t="s">
        <v>775</v>
      </c>
      <c r="K8">
        <f>K7</f>
        <v>36.599036004625439</v>
      </c>
      <c r="L8">
        <f>Index!$C$59</f>
        <v>5.201434804499999</v>
      </c>
      <c r="M8">
        <f t="shared" si="16"/>
        <v>5.201434804499999</v>
      </c>
      <c r="N8">
        <f t="shared" si="1"/>
        <v>190.36749968560736</v>
      </c>
      <c r="V8" t="s">
        <v>775</v>
      </c>
      <c r="W8">
        <f>W7</f>
        <v>45.433737235978171</v>
      </c>
      <c r="X8">
        <f>Index!$C$59</f>
        <v>5.201434804499999</v>
      </c>
      <c r="Y8">
        <f t="shared" si="17"/>
        <v>5.201434804499999</v>
      </c>
      <c r="Z8">
        <f t="shared" si="2"/>
        <v>236.32062215772444</v>
      </c>
      <c r="AG8" t="s">
        <v>775</v>
      </c>
      <c r="AH8">
        <f>AH7</f>
        <v>76.203050716004697</v>
      </c>
      <c r="AI8">
        <f>Index!$C$59</f>
        <v>5.201434804499999</v>
      </c>
      <c r="AJ8">
        <f t="shared" si="18"/>
        <v>5.201434804499999</v>
      </c>
      <c r="AK8">
        <f t="shared" si="3"/>
        <v>396.36520020330539</v>
      </c>
      <c r="AR8" t="s">
        <v>775</v>
      </c>
      <c r="AS8">
        <f>AS7</f>
        <v>104.55970479604305</v>
      </c>
      <c r="AT8">
        <f>Index!$C$59</f>
        <v>5.201434804499999</v>
      </c>
      <c r="AU8">
        <f t="shared" si="19"/>
        <v>5.201434804499999</v>
      </c>
      <c r="AV8">
        <f t="shared" si="4"/>
        <v>543.86048767438376</v>
      </c>
      <c r="BC8" t="s">
        <v>775</v>
      </c>
      <c r="BD8">
        <f>BD7</f>
        <v>157.97713819051489</v>
      </c>
      <c r="BE8">
        <f>Index!$C$59</f>
        <v>5.201434804499999</v>
      </c>
      <c r="BF8">
        <f t="shared" si="20"/>
        <v>5.201434804499999</v>
      </c>
      <c r="BG8">
        <f t="shared" si="5"/>
        <v>821.70778489945019</v>
      </c>
      <c r="BN8" t="s">
        <v>775</v>
      </c>
      <c r="BO8">
        <f>BO7</f>
        <v>272.97599759951987</v>
      </c>
      <c r="BP8">
        <f>Index!$C$59</f>
        <v>5.201434804499999</v>
      </c>
      <c r="BQ8">
        <f t="shared" si="21"/>
        <v>5.201434804499999</v>
      </c>
      <c r="BR8">
        <f t="shared" si="6"/>
        <v>1419.8668547072509</v>
      </c>
      <c r="BY8" t="s">
        <v>775</v>
      </c>
      <c r="BZ8">
        <f>BZ7</f>
        <v>342.53634902075339</v>
      </c>
      <c r="CA8">
        <f>Index!$C$59</f>
        <v>5.201434804499999</v>
      </c>
      <c r="CB8">
        <f t="shared" si="22"/>
        <v>5.201434804499999</v>
      </c>
      <c r="CC8">
        <f t="shared" si="7"/>
        <v>1781.6804876029057</v>
      </c>
      <c r="CJ8" t="s">
        <v>775</v>
      </c>
      <c r="CK8">
        <f>CK7</f>
        <v>455.37599999999998</v>
      </c>
      <c r="CL8">
        <f>Index!$C$59</f>
        <v>5.201434804499999</v>
      </c>
      <c r="CM8">
        <f t="shared" si="23"/>
        <v>5.201434804499999</v>
      </c>
      <c r="CN8">
        <f t="shared" si="8"/>
        <v>2368.6085755339914</v>
      </c>
      <c r="CU8" t="s">
        <v>775</v>
      </c>
      <c r="CV8">
        <f>CV7</f>
        <v>627.16800000000001</v>
      </c>
      <c r="CW8">
        <f>Index!$C$59</f>
        <v>5.201434804499999</v>
      </c>
      <c r="CX8">
        <f t="shared" si="24"/>
        <v>5.201434804499999</v>
      </c>
      <c r="CY8">
        <f t="shared" si="9"/>
        <v>3262.1734634686554</v>
      </c>
      <c r="DF8" t="s">
        <v>775</v>
      </c>
      <c r="DG8">
        <f>DG7</f>
        <v>910.75199999999995</v>
      </c>
      <c r="DH8">
        <f>Index!$C$59</f>
        <v>5.201434804499999</v>
      </c>
      <c r="DI8">
        <f t="shared" si="25"/>
        <v>5.201434804499999</v>
      </c>
      <c r="DJ8">
        <f t="shared" si="10"/>
        <v>4737.2171510679827</v>
      </c>
      <c r="DQ8" t="s">
        <v>775</v>
      </c>
      <c r="DR8">
        <f>DR7</f>
        <v>1254.336</v>
      </c>
      <c r="DS8">
        <f>Index!$C$59</f>
        <v>5.201434804499999</v>
      </c>
      <c r="DT8">
        <f t="shared" si="26"/>
        <v>5.201434804499999</v>
      </c>
      <c r="DU8">
        <f t="shared" si="11"/>
        <v>6524.3469269373109</v>
      </c>
      <c r="EB8" t="s">
        <v>775</v>
      </c>
      <c r="EC8">
        <f>EC7</f>
        <v>1537.9199999999998</v>
      </c>
      <c r="ED8">
        <f>Index!$C$59</f>
        <v>5.201434804499999</v>
      </c>
      <c r="EE8">
        <f t="shared" si="27"/>
        <v>5.201434804499999</v>
      </c>
      <c r="EF8">
        <f t="shared" si="12"/>
        <v>7999.3906145366373</v>
      </c>
      <c r="EM8" t="s">
        <v>775</v>
      </c>
      <c r="EN8">
        <f>EN7</f>
        <v>1821.5039999999999</v>
      </c>
      <c r="EO8">
        <f>Index!$C$59</f>
        <v>5.201434804499999</v>
      </c>
      <c r="EP8">
        <f t="shared" si="28"/>
        <v>5.201434804499999</v>
      </c>
      <c r="EQ8">
        <f t="shared" si="13"/>
        <v>9474.4343021359655</v>
      </c>
      <c r="EX8" t="s">
        <v>775</v>
      </c>
      <c r="EY8">
        <f>EY7</f>
        <v>2165.0879999999997</v>
      </c>
      <c r="EZ8">
        <f>Index!$C$59</f>
        <v>5.201434804499999</v>
      </c>
      <c r="FA8">
        <f t="shared" si="29"/>
        <v>5.201434804499999</v>
      </c>
      <c r="FB8">
        <f t="shared" si="14"/>
        <v>11261.564078005293</v>
      </c>
      <c r="FI8" t="s">
        <v>775</v>
      </c>
      <c r="FJ8">
        <f>FJ7</f>
        <v>2448.672</v>
      </c>
      <c r="FK8">
        <f>Index!$C$59</f>
        <v>5.201434804499999</v>
      </c>
      <c r="FL8">
        <f t="shared" si="30"/>
        <v>5.201434804499999</v>
      </c>
      <c r="FM8">
        <f t="shared" si="15"/>
        <v>12736.607765604622</v>
      </c>
    </row>
    <row r="9" spans="1:174" x14ac:dyDescent="0.25">
      <c r="A9">
        <f>'Wetland Design'!AO52</f>
        <v>100</v>
      </c>
      <c r="B9">
        <f>'Wetland Design'!AP52</f>
        <v>2</v>
      </c>
      <c r="C9">
        <f>'Wetland Design'!AQ52</f>
        <v>5.1999999999999993</v>
      </c>
      <c r="D9">
        <f>'Wetland Design'!AR52</f>
        <v>24.8</v>
      </c>
      <c r="E9">
        <f t="shared" si="0"/>
        <v>62.495999999999988</v>
      </c>
      <c r="F9">
        <f>D9*'Wetland Design'!$AP$25*2*('Wetland Design'!$W$48)</f>
        <v>14.879999999999999</v>
      </c>
      <c r="J9" t="s">
        <v>733</v>
      </c>
      <c r="K9">
        <f>F3</f>
        <v>3.36</v>
      </c>
      <c r="L9">
        <f>Index!$C$39</f>
        <v>25.966849309192035</v>
      </c>
      <c r="M9">
        <f t="shared" si="16"/>
        <v>25.966849309192035</v>
      </c>
      <c r="N9">
        <f t="shared" si="1"/>
        <v>87.248613678885235</v>
      </c>
      <c r="P9" t="s">
        <v>150</v>
      </c>
      <c r="Q9" s="7">
        <f>C3</f>
        <v>2.9000000000000004</v>
      </c>
      <c r="R9" t="s">
        <v>191</v>
      </c>
      <c r="V9" t="s">
        <v>733</v>
      </c>
      <c r="W9">
        <f>AC20</f>
        <v>4.7399999999999993</v>
      </c>
      <c r="X9">
        <f>Index!$C$39</f>
        <v>25.966849309192035</v>
      </c>
      <c r="Y9">
        <f t="shared" si="17"/>
        <v>25.966849309192035</v>
      </c>
      <c r="Z9">
        <f t="shared" si="2"/>
        <v>123.08286572557023</v>
      </c>
      <c r="AB9" t="s">
        <v>150</v>
      </c>
      <c r="AC9" s="7">
        <f>$C4</f>
        <v>3.7</v>
      </c>
      <c r="AD9" t="s">
        <v>191</v>
      </c>
      <c r="AG9" t="s">
        <v>733</v>
      </c>
      <c r="AH9">
        <f>AN20</f>
        <v>6.6599999999999993</v>
      </c>
      <c r="AI9">
        <f>Index!$C$39</f>
        <v>25.966849309192035</v>
      </c>
      <c r="AJ9">
        <f t="shared" si="18"/>
        <v>25.966849309192035</v>
      </c>
      <c r="AK9">
        <f t="shared" si="3"/>
        <v>172.93921639921894</v>
      </c>
      <c r="AM9" t="s">
        <v>150</v>
      </c>
      <c r="AN9" s="7">
        <f>$C5</f>
        <v>4.7</v>
      </c>
      <c r="AO9" t="s">
        <v>191</v>
      </c>
      <c r="AR9" t="s">
        <v>733</v>
      </c>
      <c r="AS9">
        <f>AY20</f>
        <v>8.16</v>
      </c>
      <c r="AT9">
        <f>Index!$C$39</f>
        <v>25.966849309192035</v>
      </c>
      <c r="AU9">
        <f t="shared" si="19"/>
        <v>25.966849309192035</v>
      </c>
      <c r="AV9">
        <f t="shared" si="4"/>
        <v>211.88949036300701</v>
      </c>
      <c r="AX9" t="s">
        <v>150</v>
      </c>
      <c r="AY9" s="7">
        <f>$C6</f>
        <v>5.6</v>
      </c>
      <c r="AZ9" t="s">
        <v>191</v>
      </c>
      <c r="BC9" t="s">
        <v>733</v>
      </c>
      <c r="BD9">
        <f>BJ20</f>
        <v>10.5</v>
      </c>
      <c r="BE9">
        <f>Index!$C$39</f>
        <v>25.966849309192035</v>
      </c>
      <c r="BF9">
        <f t="shared" si="20"/>
        <v>25.966849309192035</v>
      </c>
      <c r="BG9">
        <f t="shared" si="5"/>
        <v>272.65191774651635</v>
      </c>
      <c r="BI9" t="s">
        <v>150</v>
      </c>
      <c r="BJ9" s="7">
        <f>$C7</f>
        <v>6.8999999999999995</v>
      </c>
      <c r="BK9" t="s">
        <v>191</v>
      </c>
      <c r="BN9" t="s">
        <v>733</v>
      </c>
      <c r="BO9">
        <f>BU20</f>
        <v>25.8</v>
      </c>
      <c r="BP9">
        <f>Index!$C$39</f>
        <v>25.966849309192035</v>
      </c>
      <c r="BQ9">
        <f t="shared" si="21"/>
        <v>25.966849309192035</v>
      </c>
      <c r="BR9">
        <f t="shared" si="6"/>
        <v>669.94471217715454</v>
      </c>
      <c r="BT9" t="s">
        <v>150</v>
      </c>
      <c r="BU9" s="7">
        <f>$C8</f>
        <v>4.5999999999999996</v>
      </c>
      <c r="BV9" t="s">
        <v>191</v>
      </c>
      <c r="BY9" t="s">
        <v>733</v>
      </c>
      <c r="BZ9">
        <f>CF20</f>
        <v>29.759999999999998</v>
      </c>
      <c r="CA9">
        <f>Index!$C$39</f>
        <v>25.966849309192035</v>
      </c>
      <c r="CB9">
        <f t="shared" si="22"/>
        <v>25.966849309192035</v>
      </c>
      <c r="CC9">
        <f t="shared" si="7"/>
        <v>772.77343544155497</v>
      </c>
      <c r="CE9" t="s">
        <v>150</v>
      </c>
      <c r="CF9" s="7">
        <f>$C9</f>
        <v>5.1999999999999993</v>
      </c>
      <c r="CG9" t="s">
        <v>191</v>
      </c>
      <c r="CJ9" t="s">
        <v>733</v>
      </c>
      <c r="CK9">
        <f>CQ20</f>
        <v>30</v>
      </c>
      <c r="CL9">
        <f>Index!$C$39</f>
        <v>25.966849309192035</v>
      </c>
      <c r="CM9">
        <f t="shared" si="23"/>
        <v>25.966849309192035</v>
      </c>
      <c r="CN9">
        <f t="shared" si="8"/>
        <v>779.0054792757611</v>
      </c>
      <c r="CP9" t="s">
        <v>150</v>
      </c>
      <c r="CQ9" s="7">
        <f>$C10</f>
        <v>7.1999999999999993</v>
      </c>
      <c r="CR9" t="s">
        <v>191</v>
      </c>
      <c r="CU9" t="s">
        <v>733</v>
      </c>
      <c r="CV9">
        <f>DB20</f>
        <v>45</v>
      </c>
      <c r="CW9">
        <f>Index!$C$39</f>
        <v>25.966849309192035</v>
      </c>
      <c r="CX9">
        <f t="shared" si="24"/>
        <v>25.966849309192035</v>
      </c>
      <c r="CY9">
        <f t="shared" si="9"/>
        <v>1168.5082189136415</v>
      </c>
      <c r="DA9" t="s">
        <v>150</v>
      </c>
      <c r="DB9" s="7">
        <f>$C11</f>
        <v>6.5</v>
      </c>
      <c r="DC9" t="s">
        <v>191</v>
      </c>
      <c r="DF9" t="s">
        <v>733</v>
      </c>
      <c r="DG9">
        <f>DM20</f>
        <v>60</v>
      </c>
      <c r="DH9">
        <f>Index!$C$39</f>
        <v>25.966849309192035</v>
      </c>
      <c r="DI9">
        <f t="shared" si="25"/>
        <v>25.966849309192035</v>
      </c>
      <c r="DJ9">
        <f t="shared" si="10"/>
        <v>1558.0109585515222</v>
      </c>
      <c r="DL9" t="s">
        <v>150</v>
      </c>
      <c r="DM9" s="7">
        <f>$C12</f>
        <v>7.1999999999999993</v>
      </c>
      <c r="DN9" t="s">
        <v>191</v>
      </c>
      <c r="DQ9" t="s">
        <v>733</v>
      </c>
      <c r="DR9">
        <f>DX20</f>
        <v>90</v>
      </c>
      <c r="DS9">
        <f>Index!$C$39</f>
        <v>25.966849309192035</v>
      </c>
      <c r="DT9">
        <f t="shared" si="26"/>
        <v>25.966849309192035</v>
      </c>
      <c r="DU9">
        <f t="shared" si="11"/>
        <v>2337.016437827283</v>
      </c>
      <c r="DW9" t="s">
        <v>150</v>
      </c>
      <c r="DX9" s="7">
        <f>$C13</f>
        <v>6.5</v>
      </c>
      <c r="DY9" t="s">
        <v>191</v>
      </c>
      <c r="EB9" t="s">
        <v>733</v>
      </c>
      <c r="EC9">
        <f>EI20</f>
        <v>105</v>
      </c>
      <c r="ED9">
        <f>Index!$C$39</f>
        <v>25.966849309192035</v>
      </c>
      <c r="EE9">
        <f t="shared" si="27"/>
        <v>25.966849309192035</v>
      </c>
      <c r="EF9">
        <f t="shared" si="12"/>
        <v>2726.5191774651639</v>
      </c>
      <c r="EH9" t="s">
        <v>150</v>
      </c>
      <c r="EI9" s="7">
        <f>$C14</f>
        <v>6.8999999999999995</v>
      </c>
      <c r="EJ9" t="s">
        <v>191</v>
      </c>
      <c r="EM9" t="s">
        <v>733</v>
      </c>
      <c r="EN9">
        <f>ET20</f>
        <v>120</v>
      </c>
      <c r="EO9">
        <f>Index!$C$39</f>
        <v>25.966849309192035</v>
      </c>
      <c r="EP9">
        <f t="shared" si="28"/>
        <v>25.966849309192035</v>
      </c>
      <c r="EQ9">
        <f t="shared" si="13"/>
        <v>3116.0219171030444</v>
      </c>
      <c r="ES9" t="s">
        <v>150</v>
      </c>
      <c r="ET9" s="7">
        <f>$C15</f>
        <v>7.1999999999999993</v>
      </c>
      <c r="EU9" t="s">
        <v>191</v>
      </c>
      <c r="EX9" t="s">
        <v>733</v>
      </c>
      <c r="EY9">
        <f>FE20</f>
        <v>150</v>
      </c>
      <c r="EZ9">
        <f>Index!$C$39</f>
        <v>25.966849309192035</v>
      </c>
      <c r="FA9">
        <f t="shared" si="29"/>
        <v>25.966849309192035</v>
      </c>
      <c r="FB9">
        <f t="shared" si="14"/>
        <v>3895.0273963788054</v>
      </c>
      <c r="FD9" t="s">
        <v>150</v>
      </c>
      <c r="FE9" s="7">
        <f>$C16</f>
        <v>6.8</v>
      </c>
      <c r="FF9" t="s">
        <v>191</v>
      </c>
      <c r="FI9" t="s">
        <v>733</v>
      </c>
      <c r="FJ9">
        <f>FP20</f>
        <v>165</v>
      </c>
      <c r="FK9">
        <f>Index!$C$39</f>
        <v>25.966849309192035</v>
      </c>
      <c r="FL9">
        <f t="shared" si="30"/>
        <v>25.966849309192035</v>
      </c>
      <c r="FM9">
        <f t="shared" si="15"/>
        <v>4284.5301360166859</v>
      </c>
      <c r="FO9" t="s">
        <v>150</v>
      </c>
      <c r="FP9" s="85">
        <f>$C17</f>
        <v>7</v>
      </c>
      <c r="FQ9" t="s">
        <v>191</v>
      </c>
    </row>
    <row r="10" spans="1:174" ht="15.75" x14ac:dyDescent="0.25">
      <c r="A10">
        <f>'Wetland Design'!AO53</f>
        <v>150</v>
      </c>
      <c r="B10">
        <f>'Wetland Design'!AP53</f>
        <v>2</v>
      </c>
      <c r="C10">
        <f>'Wetland Design'!AQ53</f>
        <v>7.1999999999999993</v>
      </c>
      <c r="D10">
        <f>'Wetland Design'!AR53</f>
        <v>25</v>
      </c>
      <c r="E10">
        <f t="shared" si="0"/>
        <v>92.999999999999986</v>
      </c>
      <c r="F10">
        <f>D10*'Wetland Design'!$AP$25*2*('Wetland Design'!$W$48)</f>
        <v>15</v>
      </c>
      <c r="J10" s="84" t="s">
        <v>102</v>
      </c>
      <c r="K10">
        <f>E3</f>
        <v>6.3840000000000003</v>
      </c>
      <c r="L10">
        <f>Index!$C$37</f>
        <v>38.583746796374072</v>
      </c>
      <c r="M10">
        <f t="shared" si="16"/>
        <v>38.583746796374072</v>
      </c>
      <c r="N10">
        <f t="shared" si="1"/>
        <v>246.31863954805209</v>
      </c>
      <c r="P10" t="s">
        <v>116</v>
      </c>
      <c r="Q10" s="7">
        <f>D3</f>
        <v>5.6</v>
      </c>
      <c r="R10" t="s">
        <v>191</v>
      </c>
      <c r="V10" s="84" t="s">
        <v>102</v>
      </c>
      <c r="W10">
        <f>AC18</f>
        <v>12.797999999999998</v>
      </c>
      <c r="X10">
        <f>Index!$C$37</f>
        <v>38.583746796374072</v>
      </c>
      <c r="Y10">
        <f t="shared" si="17"/>
        <v>38.583746796374072</v>
      </c>
      <c r="Z10">
        <f t="shared" si="2"/>
        <v>493.79479149999531</v>
      </c>
      <c r="AB10" t="s">
        <v>116</v>
      </c>
      <c r="AC10" s="7">
        <f>$D4</f>
        <v>7.8999999999999995</v>
      </c>
      <c r="AD10" t="s">
        <v>191</v>
      </c>
      <c r="AG10" s="84" t="s">
        <v>102</v>
      </c>
      <c r="AH10">
        <f>AN18</f>
        <v>24.641999999999999</v>
      </c>
      <c r="AI10">
        <f>Index!$C$37</f>
        <v>38.583746796374072</v>
      </c>
      <c r="AJ10">
        <f t="shared" si="18"/>
        <v>38.583746796374072</v>
      </c>
      <c r="AK10">
        <f t="shared" si="3"/>
        <v>950.78068855624986</v>
      </c>
      <c r="AM10" t="s">
        <v>116</v>
      </c>
      <c r="AN10" s="7">
        <f>$D5</f>
        <v>11.1</v>
      </c>
      <c r="AO10" t="s">
        <v>191</v>
      </c>
      <c r="AR10" s="84" t="s">
        <v>102</v>
      </c>
      <c r="AS10">
        <f>AY18</f>
        <v>37.535999999999994</v>
      </c>
      <c r="AT10">
        <f>Index!$C$37</f>
        <v>38.583746796374072</v>
      </c>
      <c r="AU10">
        <f t="shared" si="19"/>
        <v>38.583746796374072</v>
      </c>
      <c r="AV10">
        <f t="shared" si="4"/>
        <v>1448.2795197486969</v>
      </c>
      <c r="AX10" t="s">
        <v>116</v>
      </c>
      <c r="AY10" s="7">
        <f>$D6</f>
        <v>13.6</v>
      </c>
      <c r="AZ10" t="s">
        <v>191</v>
      </c>
      <c r="BC10" s="84" t="s">
        <v>102</v>
      </c>
      <c r="BD10">
        <f>BJ18</f>
        <v>61.949999999999989</v>
      </c>
      <c r="BE10">
        <f>Index!$C$37</f>
        <v>38.583746796374072</v>
      </c>
      <c r="BF10">
        <f t="shared" si="20"/>
        <v>38.583746796374072</v>
      </c>
      <c r="BG10">
        <f t="shared" si="5"/>
        <v>2390.2631140353733</v>
      </c>
      <c r="BI10" t="s">
        <v>116</v>
      </c>
      <c r="BJ10" s="7">
        <f>$D7</f>
        <v>17.5</v>
      </c>
      <c r="BK10" t="s">
        <v>191</v>
      </c>
      <c r="BN10" s="84" t="s">
        <v>102</v>
      </c>
      <c r="BO10">
        <f>BU18</f>
        <v>92.88000000000001</v>
      </c>
      <c r="BP10">
        <f>Index!$C$37</f>
        <v>38.583746796374072</v>
      </c>
      <c r="BQ10">
        <f t="shared" si="21"/>
        <v>38.583746796374072</v>
      </c>
      <c r="BR10">
        <f t="shared" si="6"/>
        <v>3583.658402447224</v>
      </c>
      <c r="BT10" t="s">
        <v>116</v>
      </c>
      <c r="BU10" s="7">
        <f>$D8</f>
        <v>21.5</v>
      </c>
      <c r="BV10" t="s">
        <v>191</v>
      </c>
      <c r="BY10" s="84" t="s">
        <v>102</v>
      </c>
      <c r="BZ10">
        <f>CF18</f>
        <v>124.99199999999998</v>
      </c>
      <c r="CA10">
        <f>Index!$C$37</f>
        <v>38.583746796374072</v>
      </c>
      <c r="CB10">
        <f t="shared" si="22"/>
        <v>38.583746796374072</v>
      </c>
      <c r="CC10">
        <f t="shared" si="7"/>
        <v>4822.6596795723872</v>
      </c>
      <c r="CE10" t="s">
        <v>116</v>
      </c>
      <c r="CF10" s="7">
        <f>$D9</f>
        <v>24.8</v>
      </c>
      <c r="CG10" t="s">
        <v>191</v>
      </c>
      <c r="CJ10" s="84" t="s">
        <v>102</v>
      </c>
      <c r="CK10">
        <f>CQ18</f>
        <v>185.99999999999997</v>
      </c>
      <c r="CL10">
        <f>Index!$C$37</f>
        <v>38.583746796374072</v>
      </c>
      <c r="CM10">
        <f t="shared" si="23"/>
        <v>38.583746796374072</v>
      </c>
      <c r="CN10">
        <f t="shared" si="8"/>
        <v>7176.5769041255762</v>
      </c>
      <c r="CP10" t="s">
        <v>116</v>
      </c>
      <c r="CQ10" s="7">
        <f>$D10</f>
        <v>25</v>
      </c>
      <c r="CR10" t="s">
        <v>191</v>
      </c>
      <c r="CU10" s="84" t="s">
        <v>102</v>
      </c>
      <c r="CV10">
        <f>DB18</f>
        <v>247.5</v>
      </c>
      <c r="CW10">
        <f>Index!$C$37</f>
        <v>38.583746796374072</v>
      </c>
      <c r="CX10">
        <f t="shared" si="24"/>
        <v>38.583746796374072</v>
      </c>
      <c r="CY10">
        <f t="shared" si="9"/>
        <v>9549.4773321025823</v>
      </c>
      <c r="DA10" t="s">
        <v>116</v>
      </c>
      <c r="DB10" s="7">
        <f>$D11</f>
        <v>25</v>
      </c>
      <c r="DC10" t="s">
        <v>191</v>
      </c>
      <c r="DF10" s="84" t="s">
        <v>102</v>
      </c>
      <c r="DG10">
        <f>DM18</f>
        <v>371.99999999999994</v>
      </c>
      <c r="DH10">
        <f>Index!$C$37</f>
        <v>38.583746796374072</v>
      </c>
      <c r="DI10">
        <f t="shared" si="25"/>
        <v>38.583746796374072</v>
      </c>
      <c r="DJ10">
        <f t="shared" si="10"/>
        <v>14353.153808251152</v>
      </c>
      <c r="DL10" t="s">
        <v>116</v>
      </c>
      <c r="DM10" s="7">
        <f>$D12</f>
        <v>25</v>
      </c>
      <c r="DN10" t="s">
        <v>191</v>
      </c>
      <c r="DQ10" s="84" t="s">
        <v>102</v>
      </c>
      <c r="DR10">
        <f>DX18</f>
        <v>495</v>
      </c>
      <c r="DS10">
        <f>Index!$C$37</f>
        <v>38.583746796374072</v>
      </c>
      <c r="DT10">
        <f t="shared" si="26"/>
        <v>38.583746796374072</v>
      </c>
      <c r="DU10">
        <f t="shared" si="11"/>
        <v>19098.954664205165</v>
      </c>
      <c r="DW10" t="s">
        <v>116</v>
      </c>
      <c r="DX10" s="7">
        <f>$D13</f>
        <v>25</v>
      </c>
      <c r="DY10" t="s">
        <v>191</v>
      </c>
      <c r="EB10" s="84" t="s">
        <v>102</v>
      </c>
      <c r="EC10">
        <f>EI18</f>
        <v>619.5</v>
      </c>
      <c r="ED10">
        <f>Index!$C$37</f>
        <v>38.583746796374072</v>
      </c>
      <c r="EE10">
        <f t="shared" si="27"/>
        <v>38.583746796374072</v>
      </c>
      <c r="EF10">
        <f t="shared" si="12"/>
        <v>23902.631140353737</v>
      </c>
      <c r="EH10" t="s">
        <v>116</v>
      </c>
      <c r="EI10" s="7">
        <f>$D14</f>
        <v>25</v>
      </c>
      <c r="EJ10" t="s">
        <v>191</v>
      </c>
      <c r="EM10" s="84" t="s">
        <v>102</v>
      </c>
      <c r="EN10">
        <f>ET18</f>
        <v>743.99999999999989</v>
      </c>
      <c r="EO10">
        <f>Index!$C$37</f>
        <v>38.583746796374072</v>
      </c>
      <c r="EP10">
        <f t="shared" si="28"/>
        <v>38.583746796374072</v>
      </c>
      <c r="EQ10">
        <f t="shared" si="13"/>
        <v>28706.307616502305</v>
      </c>
      <c r="ES10" t="s">
        <v>116</v>
      </c>
      <c r="ET10" s="7">
        <f>$D15</f>
        <v>25</v>
      </c>
      <c r="EU10" t="s">
        <v>191</v>
      </c>
      <c r="EX10" s="84" t="s">
        <v>102</v>
      </c>
      <c r="EY10">
        <f>FE18</f>
        <v>870</v>
      </c>
      <c r="EZ10">
        <f>Index!$C$37</f>
        <v>38.583746796374072</v>
      </c>
      <c r="FA10">
        <f t="shared" si="29"/>
        <v>38.583746796374072</v>
      </c>
      <c r="FB10">
        <f t="shared" si="14"/>
        <v>33567.859712845442</v>
      </c>
      <c r="FD10" t="s">
        <v>116</v>
      </c>
      <c r="FE10" s="7">
        <f>$D16</f>
        <v>25</v>
      </c>
      <c r="FF10" t="s">
        <v>191</v>
      </c>
      <c r="FI10" s="84" t="s">
        <v>102</v>
      </c>
      <c r="FJ10">
        <f>FP18</f>
        <v>990</v>
      </c>
      <c r="FK10">
        <f>Index!$C$37</f>
        <v>38.583746796374072</v>
      </c>
      <c r="FL10">
        <f t="shared" si="30"/>
        <v>38.583746796374072</v>
      </c>
      <c r="FM10">
        <f t="shared" si="15"/>
        <v>38197.909328410329</v>
      </c>
      <c r="FO10" t="s">
        <v>116</v>
      </c>
      <c r="FP10" s="7">
        <f>$D17</f>
        <v>25</v>
      </c>
      <c r="FQ10" t="s">
        <v>191</v>
      </c>
    </row>
    <row r="11" spans="1:174" x14ac:dyDescent="0.25">
      <c r="A11">
        <f>'Wetland Design'!AO54</f>
        <v>200</v>
      </c>
      <c r="B11">
        <f>'Wetland Design'!AP54</f>
        <v>3</v>
      </c>
      <c r="C11">
        <f>'Wetland Design'!AQ54</f>
        <v>6.5</v>
      </c>
      <c r="D11">
        <f>'Wetland Design'!AR54</f>
        <v>25</v>
      </c>
      <c r="E11">
        <f t="shared" si="0"/>
        <v>82.5</v>
      </c>
      <c r="F11">
        <f>D11*'Wetland Design'!$AP$25*2*('Wetland Design'!$W$48)</f>
        <v>15</v>
      </c>
      <c r="J11" t="s">
        <v>847</v>
      </c>
      <c r="K11">
        <f>$G$23</f>
        <v>43</v>
      </c>
      <c r="L11">
        <f>Index!$C$132</f>
        <v>1.3476444720749998</v>
      </c>
      <c r="M11">
        <f t="shared" si="16"/>
        <v>1.3476444720749998</v>
      </c>
      <c r="N11">
        <f t="shared" si="1"/>
        <v>57.948712299224994</v>
      </c>
      <c r="V11" t="s">
        <v>847</v>
      </c>
      <c r="W11">
        <f>$G$24</f>
        <v>86</v>
      </c>
      <c r="X11">
        <f>Index!$C$132</f>
        <v>1.3476444720749998</v>
      </c>
      <c r="Y11">
        <f t="shared" si="17"/>
        <v>1.3476444720749998</v>
      </c>
      <c r="Z11">
        <f t="shared" si="2"/>
        <v>115.89742459844999</v>
      </c>
      <c r="AG11" t="s">
        <v>847</v>
      </c>
      <c r="AH11">
        <f>$G$25</f>
        <v>165</v>
      </c>
      <c r="AI11">
        <f>Index!$C$132</f>
        <v>1.3476444720749998</v>
      </c>
      <c r="AJ11">
        <f t="shared" si="18"/>
        <v>1.3476444720749998</v>
      </c>
      <c r="AK11">
        <f t="shared" si="3"/>
        <v>222.36133789237496</v>
      </c>
      <c r="AR11" t="s">
        <v>847</v>
      </c>
      <c r="AS11">
        <f>$G$26</f>
        <v>251</v>
      </c>
      <c r="AT11">
        <f>Index!$C$132</f>
        <v>1.3476444720749998</v>
      </c>
      <c r="AU11">
        <f t="shared" si="19"/>
        <v>1.3476444720749998</v>
      </c>
      <c r="AV11">
        <f t="shared" si="4"/>
        <v>338.25876249082495</v>
      </c>
      <c r="BC11" t="s">
        <v>847</v>
      </c>
      <c r="BD11">
        <f>$G$27</f>
        <v>413</v>
      </c>
      <c r="BE11">
        <f>Index!$C$132</f>
        <v>1.3476444720749998</v>
      </c>
      <c r="BF11">
        <f t="shared" si="20"/>
        <v>1.3476444720749998</v>
      </c>
      <c r="BG11">
        <f t="shared" si="5"/>
        <v>556.57716696697491</v>
      </c>
      <c r="BN11" t="s">
        <v>847</v>
      </c>
      <c r="BO11">
        <f>$G$28</f>
        <v>620</v>
      </c>
      <c r="BP11">
        <f>Index!$C$132</f>
        <v>1.3476444720749998</v>
      </c>
      <c r="BQ11">
        <f t="shared" si="21"/>
        <v>1.3476444720749998</v>
      </c>
      <c r="BR11">
        <f t="shared" si="6"/>
        <v>835.53957268649992</v>
      </c>
      <c r="BY11" t="s">
        <v>847</v>
      </c>
      <c r="BZ11">
        <f>$G$29</f>
        <v>834</v>
      </c>
      <c r="CA11">
        <f>Index!$C$132</f>
        <v>1.3476444720749998</v>
      </c>
      <c r="CB11">
        <f t="shared" si="22"/>
        <v>1.3476444720749998</v>
      </c>
      <c r="CC11">
        <f t="shared" si="7"/>
        <v>1123.9354897105497</v>
      </c>
      <c r="CJ11" t="s">
        <v>847</v>
      </c>
      <c r="CK11">
        <f>$G$30</f>
        <v>1240</v>
      </c>
      <c r="CL11">
        <f>Index!$C$132</f>
        <v>1.3476444720749998</v>
      </c>
      <c r="CM11">
        <f t="shared" si="23"/>
        <v>1.3476444720749998</v>
      </c>
      <c r="CN11">
        <f t="shared" si="8"/>
        <v>1671.0791453729998</v>
      </c>
      <c r="CU11" t="s">
        <v>847</v>
      </c>
      <c r="CV11">
        <f>$G$31</f>
        <v>1650</v>
      </c>
      <c r="CW11">
        <f>Index!$C$132</f>
        <v>1.3476444720749998</v>
      </c>
      <c r="CX11">
        <f t="shared" si="24"/>
        <v>1.3476444720749998</v>
      </c>
      <c r="CY11">
        <f t="shared" si="9"/>
        <v>2223.6133789237497</v>
      </c>
      <c r="DF11" t="s">
        <v>847</v>
      </c>
      <c r="DG11">
        <f>$G$32</f>
        <v>2480</v>
      </c>
      <c r="DH11">
        <f>Index!$C$132</f>
        <v>1.3476444720749998</v>
      </c>
      <c r="DI11">
        <f t="shared" si="25"/>
        <v>1.3476444720749998</v>
      </c>
      <c r="DJ11">
        <f t="shared" si="10"/>
        <v>3342.1582907459997</v>
      </c>
      <c r="DQ11" t="s">
        <v>847</v>
      </c>
      <c r="DR11">
        <f>$G$33</f>
        <v>3300</v>
      </c>
      <c r="DS11">
        <f>Index!$C$132</f>
        <v>1.3476444720749998</v>
      </c>
      <c r="DT11">
        <f t="shared" si="26"/>
        <v>1.3476444720749998</v>
      </c>
      <c r="DU11">
        <f t="shared" si="11"/>
        <v>4447.2267578474994</v>
      </c>
      <c r="EB11" t="s">
        <v>847</v>
      </c>
      <c r="EC11">
        <f>$G$34</f>
        <v>4130</v>
      </c>
      <c r="ED11">
        <f>Index!$C$132</f>
        <v>1.3476444720749998</v>
      </c>
      <c r="EE11">
        <f t="shared" si="27"/>
        <v>1.3476444720749998</v>
      </c>
      <c r="EF11">
        <f t="shared" si="12"/>
        <v>5565.7716696697489</v>
      </c>
      <c r="EM11" t="s">
        <v>847</v>
      </c>
      <c r="EN11">
        <f>$G$35</f>
        <v>4960</v>
      </c>
      <c r="EO11">
        <f>Index!$C$132</f>
        <v>1.3476444720749998</v>
      </c>
      <c r="EP11">
        <f t="shared" si="28"/>
        <v>1.3476444720749998</v>
      </c>
      <c r="EQ11">
        <f t="shared" si="13"/>
        <v>6684.3165814919994</v>
      </c>
      <c r="EX11" t="s">
        <v>847</v>
      </c>
      <c r="EY11">
        <f>$G$36</f>
        <v>5800</v>
      </c>
      <c r="EZ11">
        <f>Index!$C$132</f>
        <v>1.3476444720749998</v>
      </c>
      <c r="FA11">
        <f t="shared" si="29"/>
        <v>1.3476444720749998</v>
      </c>
      <c r="FB11">
        <f t="shared" si="14"/>
        <v>7816.3379380349988</v>
      </c>
      <c r="FI11" t="s">
        <v>847</v>
      </c>
      <c r="FJ11">
        <f>$G$37</f>
        <v>6600</v>
      </c>
      <c r="FK11">
        <f>Index!$C$132</f>
        <v>1.3476444720749998</v>
      </c>
      <c r="FL11">
        <f t="shared" si="30"/>
        <v>1.3476444720749998</v>
      </c>
      <c r="FM11">
        <f t="shared" si="15"/>
        <v>8894.4535156949987</v>
      </c>
    </row>
    <row r="12" spans="1:174" x14ac:dyDescent="0.25">
      <c r="A12">
        <f>'Wetland Design'!AO55</f>
        <v>300</v>
      </c>
      <c r="B12">
        <f>'Wetland Design'!AP55</f>
        <v>4</v>
      </c>
      <c r="C12">
        <f>'Wetland Design'!AQ55</f>
        <v>7.1999999999999993</v>
      </c>
      <c r="D12">
        <f>'Wetland Design'!AR55</f>
        <v>25</v>
      </c>
      <c r="E12">
        <f t="shared" si="0"/>
        <v>92.999999999999986</v>
      </c>
      <c r="F12">
        <f>D12*'Wetland Design'!$AP$25*2*('Wetland Design'!$W$48)</f>
        <v>15</v>
      </c>
      <c r="J12" s="10" t="s">
        <v>736</v>
      </c>
      <c r="K12" s="10"/>
      <c r="L12" s="10"/>
      <c r="M12" s="10"/>
      <c r="N12" s="10">
        <f>SUM(N6:N11)</f>
        <v>851.07539093466767</v>
      </c>
      <c r="P12" t="s">
        <v>63</v>
      </c>
      <c r="Q12">
        <v>1</v>
      </c>
      <c r="R12" t="s">
        <v>191</v>
      </c>
      <c r="V12" s="10" t="s">
        <v>736</v>
      </c>
      <c r="W12" s="10"/>
      <c r="X12" s="10"/>
      <c r="Y12" s="10"/>
      <c r="Z12" s="10">
        <f>SUM(Z6:Z11)</f>
        <v>1411.7253934455684</v>
      </c>
      <c r="AB12" t="s">
        <v>63</v>
      </c>
      <c r="AC12">
        <v>1</v>
      </c>
      <c r="AD12" t="s">
        <v>191</v>
      </c>
      <c r="AG12" s="10" t="s">
        <v>736</v>
      </c>
      <c r="AH12" s="10"/>
      <c r="AI12" s="10"/>
      <c r="AJ12" s="10"/>
      <c r="AK12" s="10">
        <f>SUM(AK6:AK11)</f>
        <v>2522.4415735723919</v>
      </c>
      <c r="AM12" t="s">
        <v>63</v>
      </c>
      <c r="AN12">
        <v>1</v>
      </c>
      <c r="AO12" t="s">
        <v>191</v>
      </c>
      <c r="AR12" s="10" t="s">
        <v>736</v>
      </c>
      <c r="AS12" s="10"/>
      <c r="AT12" s="10"/>
      <c r="AU12" s="10"/>
      <c r="AV12" s="10">
        <f>SUM(AV6:AV11)</f>
        <v>3667.2611203118709</v>
      </c>
      <c r="AX12" t="s">
        <v>63</v>
      </c>
      <c r="AY12">
        <v>1</v>
      </c>
      <c r="AZ12" t="s">
        <v>191</v>
      </c>
      <c r="BC12" s="10" t="s">
        <v>736</v>
      </c>
      <c r="BD12" s="10"/>
      <c r="BE12" s="10"/>
      <c r="BF12" s="10"/>
      <c r="BG12" s="10">
        <f>SUM(BG6:BG11)</f>
        <v>5808.8371140797353</v>
      </c>
      <c r="BI12" t="s">
        <v>63</v>
      </c>
      <c r="BJ12">
        <v>1</v>
      </c>
      <c r="BK12" t="s">
        <v>191</v>
      </c>
      <c r="BN12" s="10" t="s">
        <v>736</v>
      </c>
      <c r="BO12" s="10"/>
      <c r="BP12" s="10"/>
      <c r="BQ12" s="10"/>
      <c r="BR12" s="10">
        <f>SUM(BR6:BR11)</f>
        <v>9433.6525440293772</v>
      </c>
      <c r="BT12" t="s">
        <v>63</v>
      </c>
      <c r="BU12">
        <v>1</v>
      </c>
      <c r="BV12" t="s">
        <v>191</v>
      </c>
      <c r="BY12" s="10" t="s">
        <v>736</v>
      </c>
      <c r="BZ12" s="10"/>
      <c r="CA12" s="10"/>
      <c r="CB12" s="10"/>
      <c r="CC12" s="10">
        <f>SUM(CC6:CC11)</f>
        <v>12287.142467677666</v>
      </c>
      <c r="CE12" t="s">
        <v>63</v>
      </c>
      <c r="CF12">
        <v>1</v>
      </c>
      <c r="CG12" t="s">
        <v>191</v>
      </c>
      <c r="CJ12" s="10" t="s">
        <v>736</v>
      </c>
      <c r="CK12" s="10"/>
      <c r="CL12" s="10"/>
      <c r="CM12" s="10"/>
      <c r="CN12" s="10">
        <f>SUM(CN6:CN11)</f>
        <v>17233.254918321843</v>
      </c>
      <c r="CP12" t="s">
        <v>63</v>
      </c>
      <c r="CQ12">
        <v>1</v>
      </c>
      <c r="CR12" t="s">
        <v>191</v>
      </c>
      <c r="CU12" s="10" t="s">
        <v>736</v>
      </c>
      <c r="CV12" s="10"/>
      <c r="CW12" s="10"/>
      <c r="CX12" s="10"/>
      <c r="CY12" s="10">
        <f>SUM(CY6:CY11)</f>
        <v>23318.418492485143</v>
      </c>
      <c r="DA12" t="s">
        <v>63</v>
      </c>
      <c r="DB12">
        <v>1</v>
      </c>
      <c r="DC12" t="s">
        <v>191</v>
      </c>
      <c r="DF12" s="10" t="s">
        <v>736</v>
      </c>
      <c r="DG12" s="10"/>
      <c r="DH12" s="10"/>
      <c r="DI12" s="10"/>
      <c r="DJ12" s="10">
        <f>SUM(DJ6:DJ11)</f>
        <v>34466.509836643687</v>
      </c>
      <c r="DL12" t="s">
        <v>63</v>
      </c>
      <c r="DM12">
        <v>1</v>
      </c>
      <c r="DN12" t="s">
        <v>191</v>
      </c>
      <c r="DQ12" s="10" t="s">
        <v>736</v>
      </c>
      <c r="DR12" s="10"/>
      <c r="DS12" s="10"/>
      <c r="DT12" s="10"/>
      <c r="DU12" s="10">
        <f>SUM(DU6:DU11)</f>
        <v>46636.836984970287</v>
      </c>
      <c r="DW12" t="s">
        <v>63</v>
      </c>
      <c r="DX12">
        <v>1</v>
      </c>
      <c r="DY12" t="s">
        <v>191</v>
      </c>
      <c r="EB12" s="10" t="s">
        <v>736</v>
      </c>
      <c r="EC12" s="10"/>
      <c r="ED12" s="10"/>
      <c r="EE12" s="10"/>
      <c r="EF12" s="10">
        <f>SUM(EF6:EF11)</f>
        <v>57784.92832912883</v>
      </c>
      <c r="EH12" t="s">
        <v>63</v>
      </c>
      <c r="EI12">
        <v>1</v>
      </c>
      <c r="EJ12" t="s">
        <v>191</v>
      </c>
      <c r="EM12" s="10" t="s">
        <v>736</v>
      </c>
      <c r="EN12" s="10"/>
      <c r="EO12" s="10"/>
      <c r="EP12" s="10"/>
      <c r="EQ12" s="10">
        <f>SUM(EQ6:EQ11)</f>
        <v>68933.019673287374</v>
      </c>
      <c r="ES12" t="s">
        <v>63</v>
      </c>
      <c r="ET12">
        <v>1</v>
      </c>
      <c r="EU12" t="s">
        <v>191</v>
      </c>
      <c r="EX12" s="10" t="s">
        <v>736</v>
      </c>
      <c r="EY12" s="10"/>
      <c r="EZ12" s="10"/>
      <c r="FA12" s="10"/>
      <c r="FB12" s="10">
        <f>SUM(FB6:FB11)</f>
        <v>81305.841181823591</v>
      </c>
      <c r="FD12" t="s">
        <v>63</v>
      </c>
      <c r="FE12">
        <v>1</v>
      </c>
      <c r="FF12" t="s">
        <v>191</v>
      </c>
      <c r="FI12" s="10" t="s">
        <v>736</v>
      </c>
      <c r="FJ12" s="10"/>
      <c r="FK12" s="10"/>
      <c r="FL12" s="10"/>
      <c r="FM12" s="10">
        <f>SUM(FM6:FM11)</f>
        <v>92150.190985667694</v>
      </c>
      <c r="FO12" t="s">
        <v>63</v>
      </c>
      <c r="FP12">
        <v>1</v>
      </c>
      <c r="FQ12" t="s">
        <v>191</v>
      </c>
    </row>
    <row r="13" spans="1:174" x14ac:dyDescent="0.25">
      <c r="A13">
        <f>'Wetland Design'!AO56</f>
        <v>400</v>
      </c>
      <c r="B13">
        <f>'Wetland Design'!AP56</f>
        <v>6</v>
      </c>
      <c r="C13">
        <f>'Wetland Design'!AQ56</f>
        <v>6.5</v>
      </c>
      <c r="D13">
        <f>'Wetland Design'!AR56</f>
        <v>25</v>
      </c>
      <c r="E13">
        <f t="shared" si="0"/>
        <v>82.5</v>
      </c>
      <c r="F13">
        <f>D13*'Wetland Design'!$AP$25*2*('Wetland Design'!$W$48)</f>
        <v>15</v>
      </c>
    </row>
    <row r="14" spans="1:174" x14ac:dyDescent="0.25">
      <c r="A14">
        <f>'Wetland Design'!AO57</f>
        <v>500</v>
      </c>
      <c r="B14">
        <f>'Wetland Design'!AP57</f>
        <v>7</v>
      </c>
      <c r="C14">
        <f>'Wetland Design'!AQ57</f>
        <v>6.8999999999999995</v>
      </c>
      <c r="D14">
        <f>'Wetland Design'!AR57</f>
        <v>25</v>
      </c>
      <c r="E14">
        <f t="shared" si="0"/>
        <v>88.5</v>
      </c>
      <c r="F14">
        <f>D14*'Wetland Design'!$AP$25*2*('Wetland Design'!$W$48)</f>
        <v>15</v>
      </c>
      <c r="P14" t="s">
        <v>679</v>
      </c>
      <c r="Q14">
        <f>Q10*Q9*Q12</f>
        <v>16.240000000000002</v>
      </c>
      <c r="R14" t="s">
        <v>71</v>
      </c>
      <c r="AB14" t="s">
        <v>679</v>
      </c>
      <c r="AC14">
        <f>AC10*AC9*AC12</f>
        <v>29.23</v>
      </c>
      <c r="AD14" t="s">
        <v>71</v>
      </c>
      <c r="AM14" t="s">
        <v>679</v>
      </c>
      <c r="AN14">
        <f>AN10*AN9*AN12</f>
        <v>52.17</v>
      </c>
      <c r="AO14" t="s">
        <v>71</v>
      </c>
      <c r="AX14" t="s">
        <v>679</v>
      </c>
      <c r="AY14">
        <f>AY10*AY9*AY12</f>
        <v>76.16</v>
      </c>
      <c r="AZ14" t="s">
        <v>71</v>
      </c>
      <c r="BI14" t="s">
        <v>679</v>
      </c>
      <c r="BJ14">
        <f>BJ10*BJ9*BJ12</f>
        <v>120.74999999999999</v>
      </c>
      <c r="BK14" t="s">
        <v>71</v>
      </c>
      <c r="BT14" t="s">
        <v>679</v>
      </c>
      <c r="BU14">
        <f>BU10*BU9*BU12</f>
        <v>98.899999999999991</v>
      </c>
      <c r="BV14" t="s">
        <v>71</v>
      </c>
      <c r="CE14" t="s">
        <v>679</v>
      </c>
      <c r="CF14">
        <f>CF10*CF9*CF12</f>
        <v>128.95999999999998</v>
      </c>
      <c r="CG14" t="s">
        <v>71</v>
      </c>
      <c r="CP14" t="s">
        <v>679</v>
      </c>
      <c r="CQ14">
        <f>CQ10*CQ9*CQ12</f>
        <v>179.99999999999997</v>
      </c>
      <c r="CR14" t="s">
        <v>71</v>
      </c>
      <c r="DA14" t="s">
        <v>679</v>
      </c>
      <c r="DB14">
        <f>DB10*DB9*DB12</f>
        <v>162.5</v>
      </c>
      <c r="DC14" t="s">
        <v>71</v>
      </c>
      <c r="DL14" t="s">
        <v>679</v>
      </c>
      <c r="DM14">
        <f>DM10*DM9*DM12</f>
        <v>179.99999999999997</v>
      </c>
      <c r="DN14" t="s">
        <v>71</v>
      </c>
      <c r="DW14" t="s">
        <v>679</v>
      </c>
      <c r="DX14">
        <f>DX10*DX9*DX12</f>
        <v>162.5</v>
      </c>
      <c r="DY14" t="s">
        <v>71</v>
      </c>
      <c r="EH14" t="s">
        <v>679</v>
      </c>
      <c r="EI14">
        <f>EI10*EI9*EI12</f>
        <v>172.5</v>
      </c>
      <c r="EJ14" t="s">
        <v>71</v>
      </c>
      <c r="ES14" t="s">
        <v>679</v>
      </c>
      <c r="ET14">
        <f>ET10*ET9*ET12</f>
        <v>179.99999999999997</v>
      </c>
      <c r="EU14" t="s">
        <v>71</v>
      </c>
      <c r="FD14" t="s">
        <v>679</v>
      </c>
      <c r="FE14">
        <f>FE10*FE9*FE12</f>
        <v>170</v>
      </c>
      <c r="FF14" t="s">
        <v>71</v>
      </c>
      <c r="FO14" t="s">
        <v>679</v>
      </c>
      <c r="FP14">
        <f>FP10*FP9*FP12</f>
        <v>175</v>
      </c>
      <c r="FQ14" t="s">
        <v>71</v>
      </c>
    </row>
    <row r="15" spans="1:174" x14ac:dyDescent="0.25">
      <c r="A15">
        <f>'Wetland Design'!AO58</f>
        <v>600</v>
      </c>
      <c r="B15">
        <f>'Wetland Design'!AP58</f>
        <v>8</v>
      </c>
      <c r="C15">
        <f>'Wetland Design'!AQ58</f>
        <v>7.1999999999999993</v>
      </c>
      <c r="D15">
        <f>'Wetland Design'!AR58</f>
        <v>25</v>
      </c>
      <c r="E15">
        <f t="shared" si="0"/>
        <v>92.999999999999986</v>
      </c>
      <c r="F15">
        <f>D15*'Wetland Design'!$AP$25*2*('Wetland Design'!$W$48)</f>
        <v>15</v>
      </c>
      <c r="J15" s="10" t="s">
        <v>729</v>
      </c>
      <c r="P15" t="s">
        <v>680</v>
      </c>
      <c r="Q15">
        <f>Q14*Q5</f>
        <v>16.240000000000002</v>
      </c>
      <c r="R15" t="s">
        <v>71</v>
      </c>
      <c r="V15" s="10" t="s">
        <v>729</v>
      </c>
      <c r="AB15" t="s">
        <v>680</v>
      </c>
      <c r="AC15">
        <f>AC14*AC5</f>
        <v>29.23</v>
      </c>
      <c r="AD15" t="s">
        <v>71</v>
      </c>
      <c r="AG15" s="10" t="s">
        <v>729</v>
      </c>
      <c r="AM15" t="s">
        <v>680</v>
      </c>
      <c r="AN15">
        <f>AN14*AN5</f>
        <v>52.17</v>
      </c>
      <c r="AO15" t="s">
        <v>71</v>
      </c>
      <c r="AR15" s="10" t="s">
        <v>729</v>
      </c>
      <c r="AX15" t="s">
        <v>680</v>
      </c>
      <c r="AY15">
        <f>AY14*AY5</f>
        <v>76.16</v>
      </c>
      <c r="AZ15" t="s">
        <v>71</v>
      </c>
      <c r="BC15" s="10" t="s">
        <v>729</v>
      </c>
      <c r="BI15" t="s">
        <v>680</v>
      </c>
      <c r="BJ15">
        <f>BJ14*BJ5</f>
        <v>120.74999999999999</v>
      </c>
      <c r="BK15" t="s">
        <v>71</v>
      </c>
      <c r="BN15" s="10" t="s">
        <v>729</v>
      </c>
      <c r="BT15" t="s">
        <v>680</v>
      </c>
      <c r="BU15">
        <f>BU14*BU5</f>
        <v>197.79999999999998</v>
      </c>
      <c r="BV15" t="s">
        <v>71</v>
      </c>
      <c r="BY15" s="10" t="s">
        <v>729</v>
      </c>
      <c r="CE15" t="s">
        <v>680</v>
      </c>
      <c r="CF15">
        <f>CF14*CF5</f>
        <v>257.91999999999996</v>
      </c>
      <c r="CG15" t="s">
        <v>71</v>
      </c>
      <c r="CJ15" s="10" t="s">
        <v>729</v>
      </c>
      <c r="CP15" t="s">
        <v>680</v>
      </c>
      <c r="CQ15">
        <f>CQ14*CQ5</f>
        <v>359.99999999999994</v>
      </c>
      <c r="CR15" t="s">
        <v>71</v>
      </c>
      <c r="CU15" s="10" t="s">
        <v>729</v>
      </c>
      <c r="DA15" t="s">
        <v>680</v>
      </c>
      <c r="DB15">
        <f>DB14*DB5</f>
        <v>487.5</v>
      </c>
      <c r="DC15" t="s">
        <v>71</v>
      </c>
      <c r="DF15" s="10" t="s">
        <v>729</v>
      </c>
      <c r="DL15" t="s">
        <v>680</v>
      </c>
      <c r="DM15">
        <f>DM14*DM5</f>
        <v>719.99999999999989</v>
      </c>
      <c r="DN15" t="s">
        <v>71</v>
      </c>
      <c r="DQ15" s="10" t="s">
        <v>729</v>
      </c>
      <c r="DW15" t="s">
        <v>680</v>
      </c>
      <c r="DX15">
        <f>DX14*DX5</f>
        <v>975</v>
      </c>
      <c r="DY15" t="s">
        <v>71</v>
      </c>
      <c r="EB15" s="10" t="s">
        <v>729</v>
      </c>
      <c r="EH15" t="s">
        <v>680</v>
      </c>
      <c r="EI15">
        <f>EI14*EI5</f>
        <v>1207.5</v>
      </c>
      <c r="EJ15" t="s">
        <v>71</v>
      </c>
      <c r="EM15" s="10" t="s">
        <v>729</v>
      </c>
      <c r="ES15" t="s">
        <v>680</v>
      </c>
      <c r="ET15">
        <f>ET14*ET5</f>
        <v>1439.9999999999998</v>
      </c>
      <c r="EU15" t="s">
        <v>71</v>
      </c>
      <c r="EX15" s="10" t="s">
        <v>729</v>
      </c>
      <c r="FD15" t="s">
        <v>680</v>
      </c>
      <c r="FE15">
        <f>FE14*FE5</f>
        <v>1700</v>
      </c>
      <c r="FF15" t="s">
        <v>71</v>
      </c>
      <c r="FI15" s="10" t="s">
        <v>729</v>
      </c>
      <c r="FO15" t="s">
        <v>680</v>
      </c>
      <c r="FP15">
        <f>FP14*FP5</f>
        <v>1925</v>
      </c>
      <c r="FQ15" t="s">
        <v>71</v>
      </c>
    </row>
    <row r="16" spans="1:174" x14ac:dyDescent="0.25">
      <c r="A16">
        <f>'Wetland Design'!AO59</f>
        <v>700</v>
      </c>
      <c r="B16">
        <f>'Wetland Design'!AP59</f>
        <v>10</v>
      </c>
      <c r="C16">
        <f>'Wetland Design'!AQ59</f>
        <v>6.8</v>
      </c>
      <c r="D16">
        <f>'Wetland Design'!AR59</f>
        <v>25</v>
      </c>
      <c r="E16">
        <f t="shared" si="0"/>
        <v>87</v>
      </c>
      <c r="F16">
        <f>D16*'Wetland Design'!$AP$25*2*('Wetland Design'!$W$48)</f>
        <v>15</v>
      </c>
      <c r="J16" t="s">
        <v>719</v>
      </c>
      <c r="K16">
        <v>20</v>
      </c>
      <c r="M16">
        <f>Index!$C$97</f>
        <v>6.29</v>
      </c>
      <c r="N16">
        <f>K16*M16</f>
        <v>125.8</v>
      </c>
      <c r="V16" t="s">
        <v>719</v>
      </c>
      <c r="W16">
        <f>$B43*AC5</f>
        <v>29</v>
      </c>
      <c r="Y16">
        <f>Index!$C$97</f>
        <v>6.29</v>
      </c>
      <c r="Z16">
        <f>W16*Y16</f>
        <v>182.41</v>
      </c>
      <c r="AG16" t="s">
        <v>719</v>
      </c>
      <c r="AH16">
        <f>$B44*AN5</f>
        <v>44</v>
      </c>
      <c r="AJ16">
        <f>Index!$C$97</f>
        <v>6.29</v>
      </c>
      <c r="AK16">
        <f>AH16*AJ16</f>
        <v>276.76</v>
      </c>
      <c r="AR16" t="s">
        <v>719</v>
      </c>
      <c r="AS16">
        <f>$B45*AY5</f>
        <v>52</v>
      </c>
      <c r="AU16">
        <f>Index!$C$97</f>
        <v>6.29</v>
      </c>
      <c r="AV16">
        <f>AS16*AU16</f>
        <v>327.08</v>
      </c>
      <c r="BC16" t="s">
        <v>719</v>
      </c>
      <c r="BD16">
        <f>$B46*BJ5</f>
        <v>68</v>
      </c>
      <c r="BF16">
        <f>Index!$C$97</f>
        <v>6.29</v>
      </c>
      <c r="BG16">
        <f>BD16*BF16</f>
        <v>427.72</v>
      </c>
      <c r="BN16" t="s">
        <v>719</v>
      </c>
      <c r="BO16">
        <f>$B47*BU5</f>
        <v>168</v>
      </c>
      <c r="BQ16">
        <f>Index!$C$97</f>
        <v>6.29</v>
      </c>
      <c r="BR16">
        <f>BO16*BQ16</f>
        <v>1056.72</v>
      </c>
      <c r="BY16" t="s">
        <v>719</v>
      </c>
      <c r="BZ16">
        <f>$B48*CF5</f>
        <v>194</v>
      </c>
      <c r="CB16">
        <f>Index!$C$97</f>
        <v>6.29</v>
      </c>
      <c r="CC16">
        <f>BZ16*CB16</f>
        <v>1220.26</v>
      </c>
      <c r="CJ16" t="s">
        <v>719</v>
      </c>
      <c r="CK16">
        <f>$B49*CQ5</f>
        <v>200</v>
      </c>
      <c r="CM16">
        <f>Index!$C$97</f>
        <v>6.29</v>
      </c>
      <c r="CN16">
        <f>CK16*CM16</f>
        <v>1258</v>
      </c>
      <c r="CU16" t="s">
        <v>719</v>
      </c>
      <c r="CV16">
        <f>$B50*DB5</f>
        <v>300</v>
      </c>
      <c r="CX16">
        <f>Index!$C$97</f>
        <v>6.29</v>
      </c>
      <c r="CY16">
        <f>CV16*CX16</f>
        <v>1887</v>
      </c>
      <c r="DF16" t="s">
        <v>719</v>
      </c>
      <c r="DG16">
        <f>$B51*DM5</f>
        <v>400</v>
      </c>
      <c r="DI16">
        <f>Index!$C$97</f>
        <v>6.29</v>
      </c>
      <c r="DJ16">
        <f>DG16*DI16</f>
        <v>2516</v>
      </c>
      <c r="DQ16" t="s">
        <v>719</v>
      </c>
      <c r="DR16">
        <f>$B52*DX5</f>
        <v>600</v>
      </c>
      <c r="DT16">
        <f>Index!$C$97</f>
        <v>6.29</v>
      </c>
      <c r="DU16">
        <f>DR16*DT16</f>
        <v>3774</v>
      </c>
      <c r="EB16" t="s">
        <v>719</v>
      </c>
      <c r="EC16">
        <f>$B53*EI5</f>
        <v>700</v>
      </c>
      <c r="EE16">
        <f>Index!$C$97</f>
        <v>6.29</v>
      </c>
      <c r="EF16">
        <f>EC16*EE16</f>
        <v>4403</v>
      </c>
      <c r="EM16" t="s">
        <v>719</v>
      </c>
      <c r="EN16">
        <f>$B54*ET5</f>
        <v>800</v>
      </c>
      <c r="EP16">
        <f>Index!$C$97</f>
        <v>6.29</v>
      </c>
      <c r="EQ16">
        <f>EN16*EP16</f>
        <v>5032</v>
      </c>
      <c r="EX16" t="s">
        <v>719</v>
      </c>
      <c r="EY16">
        <f>$B55*FE5</f>
        <v>1000</v>
      </c>
      <c r="FA16">
        <f>Index!$C$97</f>
        <v>6.29</v>
      </c>
      <c r="FB16">
        <f>EY16*FA16</f>
        <v>6290</v>
      </c>
      <c r="FI16" t="s">
        <v>719</v>
      </c>
      <c r="FJ16">
        <f>$B56*FP5</f>
        <v>1100</v>
      </c>
      <c r="FL16">
        <f>Index!$C$97</f>
        <v>6.29</v>
      </c>
      <c r="FM16">
        <f>FJ16*FL16</f>
        <v>6919</v>
      </c>
    </row>
    <row r="17" spans="1:173" x14ac:dyDescent="0.25">
      <c r="A17">
        <f>'Wetland Design'!AO60</f>
        <v>800</v>
      </c>
      <c r="B17">
        <f>'Wetland Design'!AP60</f>
        <v>11</v>
      </c>
      <c r="C17">
        <f>'Wetland Design'!AQ60</f>
        <v>7</v>
      </c>
      <c r="D17">
        <f>'Wetland Design'!AR60</f>
        <v>25</v>
      </c>
      <c r="E17">
        <f t="shared" si="0"/>
        <v>90</v>
      </c>
      <c r="F17">
        <f>D17*'Wetland Design'!$AP$25*2*('Wetland Design'!$W$48)</f>
        <v>15</v>
      </c>
      <c r="J17" t="s">
        <v>720</v>
      </c>
      <c r="K17">
        <v>8</v>
      </c>
      <c r="M17">
        <f>Index!$C$96</f>
        <v>5.93</v>
      </c>
      <c r="N17">
        <f t="shared" ref="N17:N19" si="31">K17*M17</f>
        <v>47.44</v>
      </c>
      <c r="V17" t="s">
        <v>720</v>
      </c>
      <c r="W17">
        <f>$C43*AC5</f>
        <v>9</v>
      </c>
      <c r="Y17">
        <f>Index!$C$96</f>
        <v>5.93</v>
      </c>
      <c r="Z17">
        <f t="shared" ref="Z17:Z19" si="32">W17*Y17</f>
        <v>53.37</v>
      </c>
      <c r="AG17" t="s">
        <v>720</v>
      </c>
      <c r="AH17">
        <f>$C44*AN5</f>
        <v>14</v>
      </c>
      <c r="AJ17">
        <f>Index!$C$96</f>
        <v>5.93</v>
      </c>
      <c r="AK17">
        <f t="shared" ref="AK17:AK19" si="33">AH17*AJ17</f>
        <v>83.02</v>
      </c>
      <c r="AR17" t="s">
        <v>720</v>
      </c>
      <c r="AS17">
        <f>$C45*AY5</f>
        <v>16</v>
      </c>
      <c r="AU17">
        <f>Index!$C$96</f>
        <v>5.93</v>
      </c>
      <c r="AV17">
        <f t="shared" ref="AV17:AV19" si="34">AS17*AU17</f>
        <v>94.88</v>
      </c>
      <c r="BC17" t="s">
        <v>720</v>
      </c>
      <c r="BD17">
        <f>$C46*BJ5</f>
        <v>20</v>
      </c>
      <c r="BF17">
        <f>Index!$C$96</f>
        <v>5.93</v>
      </c>
      <c r="BG17">
        <f t="shared" ref="BG17:BG19" si="35">BD17*BF17</f>
        <v>118.6</v>
      </c>
      <c r="BN17" t="s">
        <v>720</v>
      </c>
      <c r="BO17">
        <f>$C47*BU5</f>
        <v>48</v>
      </c>
      <c r="BQ17">
        <f>Index!$C$96</f>
        <v>5.93</v>
      </c>
      <c r="BR17">
        <f t="shared" ref="BR17:BR19" si="36">BO17*BQ17</f>
        <v>284.64</v>
      </c>
      <c r="BY17" t="s">
        <v>720</v>
      </c>
      <c r="BZ17">
        <f>$C48*CF5</f>
        <v>52</v>
      </c>
      <c r="CB17">
        <f>Index!$C$96</f>
        <v>5.93</v>
      </c>
      <c r="CC17">
        <f t="shared" ref="CC17:CC19" si="37">BZ17*CB17</f>
        <v>308.36</v>
      </c>
      <c r="CJ17" t="s">
        <v>720</v>
      </c>
      <c r="CK17">
        <f>$C49*CQ5</f>
        <v>54</v>
      </c>
      <c r="CM17">
        <f>Index!$C$96</f>
        <v>5.93</v>
      </c>
      <c r="CN17">
        <f t="shared" ref="CN17:CN19" si="38">CK17*CM17</f>
        <v>320.21999999999997</v>
      </c>
      <c r="CU17" t="s">
        <v>720</v>
      </c>
      <c r="CV17">
        <f>$C50*DB5</f>
        <v>81</v>
      </c>
      <c r="CX17">
        <f>Index!$C$96</f>
        <v>5.93</v>
      </c>
      <c r="CY17">
        <f t="shared" ref="CY17:CY19" si="39">CV17*CX17</f>
        <v>480.33</v>
      </c>
      <c r="DF17" t="s">
        <v>720</v>
      </c>
      <c r="DG17">
        <f>$C51*DM5</f>
        <v>108</v>
      </c>
      <c r="DI17">
        <f>Index!$C$96</f>
        <v>5.93</v>
      </c>
      <c r="DJ17">
        <f t="shared" ref="DJ17:DJ19" si="40">DG17*DI17</f>
        <v>640.43999999999994</v>
      </c>
      <c r="DQ17" t="s">
        <v>720</v>
      </c>
      <c r="DR17">
        <f>$C52*DX5</f>
        <v>162</v>
      </c>
      <c r="DT17">
        <f>Index!$C$96</f>
        <v>5.93</v>
      </c>
      <c r="DU17">
        <f t="shared" ref="DU17:DU19" si="41">DR17*DT17</f>
        <v>960.66</v>
      </c>
      <c r="EB17" t="s">
        <v>720</v>
      </c>
      <c r="EC17">
        <f>$C53*EI5</f>
        <v>189</v>
      </c>
      <c r="EE17">
        <f>Index!$C$96</f>
        <v>5.93</v>
      </c>
      <c r="EF17">
        <f t="shared" ref="EF17:EF19" si="42">EC17*EE17</f>
        <v>1120.77</v>
      </c>
      <c r="EM17" t="s">
        <v>720</v>
      </c>
      <c r="EN17">
        <f>$C54*ET5</f>
        <v>216</v>
      </c>
      <c r="EP17">
        <f>Index!$C$96</f>
        <v>5.93</v>
      </c>
      <c r="EQ17">
        <f t="shared" ref="EQ17:EQ19" si="43">EN17*EP17</f>
        <v>1280.8799999999999</v>
      </c>
      <c r="EX17" t="s">
        <v>720</v>
      </c>
      <c r="EY17">
        <f>$C55*FE5</f>
        <v>270</v>
      </c>
      <c r="FA17">
        <f>Index!$C$96</f>
        <v>5.93</v>
      </c>
      <c r="FB17">
        <f t="shared" ref="FB17:FB19" si="44">EY17*FA17</f>
        <v>1601.1</v>
      </c>
      <c r="FI17" t="s">
        <v>720</v>
      </c>
      <c r="FJ17">
        <f>$C56*FP5</f>
        <v>297</v>
      </c>
      <c r="FL17">
        <f>Index!$C$96</f>
        <v>5.93</v>
      </c>
      <c r="FM17">
        <f t="shared" ref="FM17:FM19" si="45">FJ17*FL17</f>
        <v>1761.2099999999998</v>
      </c>
    </row>
    <row r="18" spans="1:173" x14ac:dyDescent="0.25">
      <c r="A18">
        <f>'Wetland Design'!AO61</f>
        <v>1000</v>
      </c>
      <c r="B18">
        <f>'Wetland Design'!AP61</f>
        <v>14</v>
      </c>
      <c r="C18">
        <f>'Wetland Design'!AQ61</f>
        <v>6.8999999999999995</v>
      </c>
      <c r="D18">
        <f>'Wetland Design'!AR61</f>
        <v>25</v>
      </c>
      <c r="E18">
        <f t="shared" si="0"/>
        <v>88.5</v>
      </c>
      <c r="F18">
        <f>D18*'Wetland Design'!$AP$25*2*('Wetland Design'!$W$48)</f>
        <v>15</v>
      </c>
      <c r="J18" t="s">
        <v>726</v>
      </c>
      <c r="K18">
        <v>16</v>
      </c>
      <c r="M18">
        <f>Index!$C$95</f>
        <v>1.73</v>
      </c>
      <c r="N18">
        <f t="shared" si="31"/>
        <v>27.68</v>
      </c>
      <c r="P18" t="s">
        <v>693</v>
      </c>
      <c r="Q18">
        <f>E3</f>
        <v>6.3840000000000003</v>
      </c>
      <c r="R18" t="s">
        <v>71</v>
      </c>
      <c r="V18" t="s">
        <v>726</v>
      </c>
      <c r="W18">
        <f>$D43*AC5</f>
        <v>18</v>
      </c>
      <c r="Y18">
        <f>Index!$C$95</f>
        <v>1.73</v>
      </c>
      <c r="Z18">
        <f t="shared" si="32"/>
        <v>31.14</v>
      </c>
      <c r="AB18" t="s">
        <v>693</v>
      </c>
      <c r="AC18">
        <f>$E4</f>
        <v>12.797999999999998</v>
      </c>
      <c r="AD18" t="s">
        <v>71</v>
      </c>
      <c r="AG18" t="s">
        <v>726</v>
      </c>
      <c r="AH18">
        <f>$D44*AN5</f>
        <v>28</v>
      </c>
      <c r="AJ18">
        <f>Index!$C$95</f>
        <v>1.73</v>
      </c>
      <c r="AK18">
        <f t="shared" si="33"/>
        <v>48.44</v>
      </c>
      <c r="AM18" t="s">
        <v>693</v>
      </c>
      <c r="AN18">
        <f>$E5</f>
        <v>24.641999999999999</v>
      </c>
      <c r="AO18" t="s">
        <v>71</v>
      </c>
      <c r="AR18" t="s">
        <v>726</v>
      </c>
      <c r="AS18">
        <f>$D45*AY5</f>
        <v>32</v>
      </c>
      <c r="AU18">
        <f>Index!$C$95</f>
        <v>1.73</v>
      </c>
      <c r="AV18">
        <f t="shared" si="34"/>
        <v>55.36</v>
      </c>
      <c r="AX18" t="s">
        <v>693</v>
      </c>
      <c r="AY18">
        <f>$E6</f>
        <v>37.535999999999994</v>
      </c>
      <c r="AZ18" t="s">
        <v>71</v>
      </c>
      <c r="BC18" t="s">
        <v>726</v>
      </c>
      <c r="BD18">
        <f>$D46*BJ5</f>
        <v>40</v>
      </c>
      <c r="BF18">
        <f>Index!$C$95</f>
        <v>1.73</v>
      </c>
      <c r="BG18">
        <f t="shared" si="35"/>
        <v>69.2</v>
      </c>
      <c r="BI18" t="s">
        <v>693</v>
      </c>
      <c r="BJ18">
        <f>$E7</f>
        <v>61.949999999999989</v>
      </c>
      <c r="BK18" t="s">
        <v>71</v>
      </c>
      <c r="BN18" t="s">
        <v>726</v>
      </c>
      <c r="BO18">
        <f>$D47*BU5</f>
        <v>96</v>
      </c>
      <c r="BQ18">
        <f>Index!$C$95</f>
        <v>1.73</v>
      </c>
      <c r="BR18">
        <f t="shared" si="36"/>
        <v>166.07999999999998</v>
      </c>
      <c r="BT18" t="s">
        <v>693</v>
      </c>
      <c r="BU18">
        <f>$E8*BU5</f>
        <v>92.88000000000001</v>
      </c>
      <c r="BV18" t="s">
        <v>71</v>
      </c>
      <c r="BY18" t="s">
        <v>726</v>
      </c>
      <c r="BZ18">
        <f>$D48*CF5</f>
        <v>104</v>
      </c>
      <c r="CB18">
        <f>Index!$C$95</f>
        <v>1.73</v>
      </c>
      <c r="CC18">
        <f t="shared" si="37"/>
        <v>179.92</v>
      </c>
      <c r="CE18" t="s">
        <v>693</v>
      </c>
      <c r="CF18">
        <f>$E9*CF5</f>
        <v>124.99199999999998</v>
      </c>
      <c r="CG18" t="s">
        <v>71</v>
      </c>
      <c r="CJ18" t="s">
        <v>726</v>
      </c>
      <c r="CK18">
        <f>$D49*CQ5</f>
        <v>108</v>
      </c>
      <c r="CM18">
        <f>Index!$C$95</f>
        <v>1.73</v>
      </c>
      <c r="CN18">
        <f t="shared" si="38"/>
        <v>186.84</v>
      </c>
      <c r="CP18" t="s">
        <v>693</v>
      </c>
      <c r="CQ18">
        <f>$E10*CQ5</f>
        <v>185.99999999999997</v>
      </c>
      <c r="CR18" t="s">
        <v>71</v>
      </c>
      <c r="CU18" t="s">
        <v>726</v>
      </c>
      <c r="CV18">
        <f>$D50*DB5</f>
        <v>162</v>
      </c>
      <c r="CX18">
        <f>Index!$C$95</f>
        <v>1.73</v>
      </c>
      <c r="CY18">
        <f t="shared" si="39"/>
        <v>280.26</v>
      </c>
      <c r="DA18" t="s">
        <v>693</v>
      </c>
      <c r="DB18">
        <f>$E11*DB5</f>
        <v>247.5</v>
      </c>
      <c r="DC18" t="s">
        <v>71</v>
      </c>
      <c r="DF18" t="s">
        <v>726</v>
      </c>
      <c r="DG18">
        <f>$D51*DM5</f>
        <v>216</v>
      </c>
      <c r="DI18">
        <f>Index!$C$95</f>
        <v>1.73</v>
      </c>
      <c r="DJ18">
        <f t="shared" si="40"/>
        <v>373.68</v>
      </c>
      <c r="DL18" t="s">
        <v>693</v>
      </c>
      <c r="DM18">
        <f>$E12*DM5</f>
        <v>371.99999999999994</v>
      </c>
      <c r="DN18" t="s">
        <v>71</v>
      </c>
      <c r="DQ18" t="s">
        <v>726</v>
      </c>
      <c r="DR18">
        <f>$D52*DX5</f>
        <v>324</v>
      </c>
      <c r="DT18">
        <f>Index!$C$95</f>
        <v>1.73</v>
      </c>
      <c r="DU18">
        <f t="shared" si="41"/>
        <v>560.52</v>
      </c>
      <c r="DW18" t="s">
        <v>693</v>
      </c>
      <c r="DX18">
        <f>$E13*DX5</f>
        <v>495</v>
      </c>
      <c r="DY18" t="s">
        <v>71</v>
      </c>
      <c r="EB18" t="s">
        <v>726</v>
      </c>
      <c r="EC18">
        <f>$D53*EI5</f>
        <v>378</v>
      </c>
      <c r="EE18">
        <f>Index!$C$95</f>
        <v>1.73</v>
      </c>
      <c r="EF18">
        <f t="shared" si="42"/>
        <v>653.93999999999994</v>
      </c>
      <c r="EH18" t="s">
        <v>693</v>
      </c>
      <c r="EI18">
        <f>$E14*EI5</f>
        <v>619.5</v>
      </c>
      <c r="EJ18" t="s">
        <v>71</v>
      </c>
      <c r="EM18" t="s">
        <v>726</v>
      </c>
      <c r="EN18">
        <f>$D54*ET5</f>
        <v>432</v>
      </c>
      <c r="EP18">
        <f>Index!$C$95</f>
        <v>1.73</v>
      </c>
      <c r="EQ18">
        <f t="shared" si="43"/>
        <v>747.36</v>
      </c>
      <c r="ES18" t="s">
        <v>693</v>
      </c>
      <c r="ET18">
        <f>$E15*ET5</f>
        <v>743.99999999999989</v>
      </c>
      <c r="EU18" t="s">
        <v>71</v>
      </c>
      <c r="EX18" t="s">
        <v>726</v>
      </c>
      <c r="EY18">
        <f>$D55*FE5</f>
        <v>540</v>
      </c>
      <c r="FA18">
        <f>Index!$C$95</f>
        <v>1.73</v>
      </c>
      <c r="FB18">
        <f t="shared" si="44"/>
        <v>934.2</v>
      </c>
      <c r="FD18" t="s">
        <v>693</v>
      </c>
      <c r="FE18">
        <f>$E16*FE5</f>
        <v>870</v>
      </c>
      <c r="FF18" t="s">
        <v>71</v>
      </c>
      <c r="FI18" t="s">
        <v>726</v>
      </c>
      <c r="FJ18">
        <f>$D56*FP5</f>
        <v>594</v>
      </c>
      <c r="FL18">
        <f>Index!$C$95</f>
        <v>1.73</v>
      </c>
      <c r="FM18">
        <f t="shared" si="45"/>
        <v>1027.6199999999999</v>
      </c>
      <c r="FO18" t="s">
        <v>693</v>
      </c>
      <c r="FP18">
        <f>$E17*FP5</f>
        <v>990</v>
      </c>
      <c r="FQ18" t="s">
        <v>71</v>
      </c>
    </row>
    <row r="19" spans="1:173" x14ac:dyDescent="0.25">
      <c r="J19" t="s">
        <v>727</v>
      </c>
      <c r="K19">
        <v>20</v>
      </c>
      <c r="M19">
        <f>Index!$C$94</f>
        <v>1.56</v>
      </c>
      <c r="N19">
        <f t="shared" si="31"/>
        <v>31.200000000000003</v>
      </c>
      <c r="V19" t="s">
        <v>727</v>
      </c>
      <c r="W19">
        <f>$E43*AC5</f>
        <v>29</v>
      </c>
      <c r="Y19">
        <f>Index!$C$94</f>
        <v>1.56</v>
      </c>
      <c r="Z19">
        <f t="shared" si="32"/>
        <v>45.24</v>
      </c>
      <c r="AG19" t="s">
        <v>727</v>
      </c>
      <c r="AH19">
        <f>$E44*AN5</f>
        <v>44</v>
      </c>
      <c r="AJ19">
        <f>Index!$C$94</f>
        <v>1.56</v>
      </c>
      <c r="AK19">
        <f t="shared" si="33"/>
        <v>68.64</v>
      </c>
      <c r="AR19" t="s">
        <v>727</v>
      </c>
      <c r="AS19">
        <f>$E45*AY5</f>
        <v>52</v>
      </c>
      <c r="AU19">
        <f>Index!$C$94</f>
        <v>1.56</v>
      </c>
      <c r="AV19">
        <f t="shared" si="34"/>
        <v>81.12</v>
      </c>
      <c r="BC19" t="s">
        <v>727</v>
      </c>
      <c r="BD19">
        <f>$E46*BJ5</f>
        <v>68</v>
      </c>
      <c r="BF19">
        <f>Index!$C$94</f>
        <v>1.56</v>
      </c>
      <c r="BG19">
        <f t="shared" si="35"/>
        <v>106.08</v>
      </c>
      <c r="BN19" t="s">
        <v>727</v>
      </c>
      <c r="BO19">
        <f>$E47*BU5</f>
        <v>168</v>
      </c>
      <c r="BQ19">
        <f>Index!$C$94</f>
        <v>1.56</v>
      </c>
      <c r="BR19">
        <f t="shared" si="36"/>
        <v>262.08</v>
      </c>
      <c r="BY19" t="s">
        <v>727</v>
      </c>
      <c r="BZ19">
        <f>$E48*CF5</f>
        <v>194</v>
      </c>
      <c r="CB19">
        <f>Index!$C$94</f>
        <v>1.56</v>
      </c>
      <c r="CC19">
        <f t="shared" si="37"/>
        <v>302.64</v>
      </c>
      <c r="CJ19" t="s">
        <v>727</v>
      </c>
      <c r="CK19">
        <f>$E49*CQ5</f>
        <v>200</v>
      </c>
      <c r="CM19">
        <f>Index!$C$94</f>
        <v>1.56</v>
      </c>
      <c r="CN19">
        <f t="shared" si="38"/>
        <v>312</v>
      </c>
      <c r="CU19" t="s">
        <v>727</v>
      </c>
      <c r="CV19">
        <f>$E50*DB5</f>
        <v>300</v>
      </c>
      <c r="CX19">
        <f>Index!$C$94</f>
        <v>1.56</v>
      </c>
      <c r="CY19">
        <f t="shared" si="39"/>
        <v>468</v>
      </c>
      <c r="DF19" t="s">
        <v>727</v>
      </c>
      <c r="DG19">
        <f>$E51*DM5</f>
        <v>400</v>
      </c>
      <c r="DI19">
        <f>Index!$C$94</f>
        <v>1.56</v>
      </c>
      <c r="DJ19">
        <f t="shared" si="40"/>
        <v>624</v>
      </c>
      <c r="DQ19" t="s">
        <v>727</v>
      </c>
      <c r="DR19">
        <f>$E52*DX5</f>
        <v>600</v>
      </c>
      <c r="DT19">
        <f>Index!$C$94</f>
        <v>1.56</v>
      </c>
      <c r="DU19">
        <f t="shared" si="41"/>
        <v>936</v>
      </c>
      <c r="EB19" t="s">
        <v>727</v>
      </c>
      <c r="EC19">
        <f>$E53*EI5</f>
        <v>700</v>
      </c>
      <c r="EE19">
        <f>Index!$C$94</f>
        <v>1.56</v>
      </c>
      <c r="EF19">
        <f t="shared" si="42"/>
        <v>1092</v>
      </c>
      <c r="EM19" t="s">
        <v>727</v>
      </c>
      <c r="EN19">
        <f>$E54*ET5</f>
        <v>800</v>
      </c>
      <c r="EP19">
        <f>Index!$C$94</f>
        <v>1.56</v>
      </c>
      <c r="EQ19">
        <f t="shared" si="43"/>
        <v>1248</v>
      </c>
      <c r="EX19" t="s">
        <v>727</v>
      </c>
      <c r="EY19">
        <f>$E55*FE5</f>
        <v>1000</v>
      </c>
      <c r="FA19">
        <f>Index!$C$94</f>
        <v>1.56</v>
      </c>
      <c r="FB19">
        <f t="shared" si="44"/>
        <v>1560</v>
      </c>
      <c r="FI19" t="s">
        <v>727</v>
      </c>
      <c r="FJ19">
        <f>$E56*FP5</f>
        <v>1100</v>
      </c>
      <c r="FL19">
        <f>Index!$C$94</f>
        <v>1.56</v>
      </c>
      <c r="FM19">
        <f t="shared" si="45"/>
        <v>1716</v>
      </c>
    </row>
    <row r="20" spans="1:173" x14ac:dyDescent="0.25">
      <c r="J20" s="10" t="s">
        <v>736</v>
      </c>
      <c r="N20" s="10">
        <f>SUM(N16:N19)</f>
        <v>232.12</v>
      </c>
      <c r="V20" s="10" t="s">
        <v>736</v>
      </c>
      <c r="Z20" s="10">
        <f>SUM(Z16:Z19)</f>
        <v>312.16000000000003</v>
      </c>
      <c r="AB20" t="s">
        <v>695</v>
      </c>
      <c r="AC20">
        <f>$F4</f>
        <v>4.7399999999999993</v>
      </c>
      <c r="AD20" t="s">
        <v>71</v>
      </c>
      <c r="AG20" s="10" t="s">
        <v>736</v>
      </c>
      <c r="AK20" s="10">
        <f>SUM(AK16:AK19)</f>
        <v>476.85999999999996</v>
      </c>
      <c r="AM20" t="s">
        <v>695</v>
      </c>
      <c r="AN20">
        <f>$F5</f>
        <v>6.6599999999999993</v>
      </c>
      <c r="AO20" t="s">
        <v>71</v>
      </c>
      <c r="AR20" s="10" t="s">
        <v>736</v>
      </c>
      <c r="AV20" s="10">
        <f>SUM(AV16:AV19)</f>
        <v>558.44000000000005</v>
      </c>
      <c r="AX20" t="s">
        <v>695</v>
      </c>
      <c r="AY20">
        <f>$F6</f>
        <v>8.16</v>
      </c>
      <c r="AZ20" t="s">
        <v>71</v>
      </c>
      <c r="BC20" s="10" t="s">
        <v>736</v>
      </c>
      <c r="BG20" s="10">
        <f>SUM(BG16:BG19)</f>
        <v>721.60000000000014</v>
      </c>
      <c r="BI20" t="s">
        <v>695</v>
      </c>
      <c r="BJ20">
        <f>$F7</f>
        <v>10.5</v>
      </c>
      <c r="BK20" t="s">
        <v>71</v>
      </c>
      <c r="BN20" s="10" t="s">
        <v>736</v>
      </c>
      <c r="BR20" s="10">
        <f>SUM(BR16:BR19)</f>
        <v>1769.52</v>
      </c>
      <c r="BT20" t="s">
        <v>695</v>
      </c>
      <c r="BU20">
        <f>$F8*BU5</f>
        <v>25.8</v>
      </c>
      <c r="BV20" t="s">
        <v>71</v>
      </c>
      <c r="BY20" s="10" t="s">
        <v>736</v>
      </c>
      <c r="CC20" s="10">
        <f>SUM(CC16:CC19)</f>
        <v>2011.1799999999998</v>
      </c>
      <c r="CE20" t="s">
        <v>695</v>
      </c>
      <c r="CF20">
        <f>$F9*CF5</f>
        <v>29.759999999999998</v>
      </c>
      <c r="CG20" t="s">
        <v>71</v>
      </c>
      <c r="CJ20" s="10" t="s">
        <v>736</v>
      </c>
      <c r="CN20" s="10">
        <f>SUM(CN16:CN19)</f>
        <v>2077.06</v>
      </c>
      <c r="CP20" t="s">
        <v>695</v>
      </c>
      <c r="CQ20">
        <f>$F10*CQ5</f>
        <v>30</v>
      </c>
      <c r="CR20" t="s">
        <v>71</v>
      </c>
      <c r="CU20" s="10" t="s">
        <v>736</v>
      </c>
      <c r="CY20" s="10">
        <f>SUM(CY16:CY19)</f>
        <v>3115.59</v>
      </c>
      <c r="DA20" t="s">
        <v>695</v>
      </c>
      <c r="DB20">
        <f>$F11*DB5</f>
        <v>45</v>
      </c>
      <c r="DC20" t="s">
        <v>71</v>
      </c>
      <c r="DF20" s="10" t="s">
        <v>736</v>
      </c>
      <c r="DJ20" s="10">
        <f>SUM(DJ16:DJ19)</f>
        <v>4154.12</v>
      </c>
      <c r="DL20" t="s">
        <v>695</v>
      </c>
      <c r="DM20">
        <f>$F12*DM5</f>
        <v>60</v>
      </c>
      <c r="DN20" t="s">
        <v>71</v>
      </c>
      <c r="DQ20" s="10" t="s">
        <v>736</v>
      </c>
      <c r="DU20" s="10">
        <f>SUM(DU16:DU19)</f>
        <v>6231.18</v>
      </c>
      <c r="DW20" t="s">
        <v>695</v>
      </c>
      <c r="DX20">
        <f>$F13*DX5</f>
        <v>90</v>
      </c>
      <c r="DY20" t="s">
        <v>71</v>
      </c>
      <c r="EB20" s="10" t="s">
        <v>736</v>
      </c>
      <c r="EF20" s="10">
        <f>SUM(EF16:EF19)</f>
        <v>7269.71</v>
      </c>
      <c r="EH20" t="s">
        <v>695</v>
      </c>
      <c r="EI20">
        <f>$F14*EI5</f>
        <v>105</v>
      </c>
      <c r="EJ20" t="s">
        <v>71</v>
      </c>
      <c r="EM20" s="10" t="s">
        <v>736</v>
      </c>
      <c r="EQ20" s="10">
        <f>SUM(EQ16:EQ19)</f>
        <v>8308.24</v>
      </c>
      <c r="ES20" t="s">
        <v>695</v>
      </c>
      <c r="ET20">
        <f>$F15*ET5</f>
        <v>120</v>
      </c>
      <c r="EU20" t="s">
        <v>71</v>
      </c>
      <c r="EX20" s="10" t="s">
        <v>736</v>
      </c>
      <c r="FB20" s="10">
        <f>SUM(FB16:FB19)</f>
        <v>10385.300000000001</v>
      </c>
      <c r="FD20" t="s">
        <v>695</v>
      </c>
      <c r="FE20">
        <f>$F16*FE5</f>
        <v>150</v>
      </c>
      <c r="FF20" t="s">
        <v>71</v>
      </c>
      <c r="FI20" s="10" t="s">
        <v>736</v>
      </c>
      <c r="FM20" s="10">
        <f>SUM(FM16:FM19)</f>
        <v>11423.829999999998</v>
      </c>
      <c r="FO20" t="s">
        <v>695</v>
      </c>
      <c r="FP20">
        <f>$F17*FP5</f>
        <v>165</v>
      </c>
      <c r="FQ20" t="s">
        <v>71</v>
      </c>
    </row>
    <row r="21" spans="1:173" x14ac:dyDescent="0.25">
      <c r="N21">
        <f>N12+N20</f>
        <v>1083.1953909346676</v>
      </c>
      <c r="Z21">
        <f>Z12+Z20</f>
        <v>1723.8853934455685</v>
      </c>
      <c r="AK21">
        <f>AK12+AK20</f>
        <v>2999.301573572392</v>
      </c>
      <c r="AV21">
        <f>AV12+AV20</f>
        <v>4225.7011203118709</v>
      </c>
      <c r="BG21">
        <f>BG12+BG20</f>
        <v>6530.4371140797357</v>
      </c>
      <c r="BR21">
        <f>BR12+BR20</f>
        <v>11203.172544029378</v>
      </c>
      <c r="CC21">
        <f>CC12+CC20</f>
        <v>14298.322467677666</v>
      </c>
      <c r="CN21">
        <f>CN12+CN20</f>
        <v>19310.314918321845</v>
      </c>
      <c r="CY21">
        <f>CY12+CY20</f>
        <v>26434.008492485144</v>
      </c>
      <c r="DJ21">
        <f>DJ12+DJ20</f>
        <v>38620.629836643689</v>
      </c>
      <c r="DU21">
        <f>DU12+DU20</f>
        <v>52868.016984970287</v>
      </c>
      <c r="EF21">
        <f>EF12+EF20</f>
        <v>65054.638329128829</v>
      </c>
      <c r="EQ21">
        <f>EQ12+EQ20</f>
        <v>77241.259673287379</v>
      </c>
      <c r="FB21">
        <f>FB12+FB20</f>
        <v>91691.141181823594</v>
      </c>
      <c r="FM21">
        <f>FM12+FM20</f>
        <v>103574.0209856677</v>
      </c>
    </row>
    <row r="22" spans="1:173" x14ac:dyDescent="0.25">
      <c r="B22" t="s">
        <v>697</v>
      </c>
      <c r="C22" t="s">
        <v>698</v>
      </c>
      <c r="D22" t="s">
        <v>699</v>
      </c>
      <c r="F22" t="s">
        <v>848</v>
      </c>
      <c r="G22" t="s">
        <v>849</v>
      </c>
    </row>
    <row r="23" spans="1:173" x14ac:dyDescent="0.25">
      <c r="B23">
        <f>'Wetland Design'!AT46</f>
        <v>1.9000000000000001</v>
      </c>
      <c r="C23">
        <f>'Wetland Design'!AU46</f>
        <v>5.6</v>
      </c>
      <c r="D23">
        <f>B23*C23*0.6</f>
        <v>6.3840000000000003</v>
      </c>
      <c r="F23">
        <f>ROUNDUP((B23*C23)*4,0)</f>
        <v>43</v>
      </c>
      <c r="G23">
        <f>F23*B3</f>
        <v>43</v>
      </c>
      <c r="J23" s="10" t="s">
        <v>730</v>
      </c>
      <c r="V23" s="10" t="s">
        <v>730</v>
      </c>
      <c r="AG23" s="10" t="s">
        <v>730</v>
      </c>
      <c r="AR23" s="10" t="s">
        <v>730</v>
      </c>
      <c r="BC23" s="10" t="s">
        <v>730</v>
      </c>
      <c r="BN23" s="10" t="s">
        <v>730</v>
      </c>
      <c r="BY23" s="10" t="s">
        <v>730</v>
      </c>
      <c r="CJ23" s="10" t="s">
        <v>730</v>
      </c>
      <c r="CU23" s="10" t="s">
        <v>730</v>
      </c>
      <c r="DF23" s="10" t="s">
        <v>730</v>
      </c>
      <c r="DQ23" s="10" t="s">
        <v>730</v>
      </c>
      <c r="EB23" s="10" t="s">
        <v>730</v>
      </c>
      <c r="EM23" s="10" t="s">
        <v>730</v>
      </c>
      <c r="EX23" s="10" t="s">
        <v>730</v>
      </c>
      <c r="FI23" s="10" t="s">
        <v>730</v>
      </c>
    </row>
    <row r="24" spans="1:173" x14ac:dyDescent="0.25">
      <c r="B24">
        <f>'Wetland Design'!AT47</f>
        <v>2.7</v>
      </c>
      <c r="C24">
        <f>'Wetland Design'!AU47</f>
        <v>7.8999999999999995</v>
      </c>
      <c r="D24">
        <f t="shared" ref="D24:D38" si="46">B24*C24*0.6</f>
        <v>12.797999999999998</v>
      </c>
      <c r="F24">
        <f t="shared" ref="F24:F38" si="47">ROUNDUP((B24*C24)*4,0)</f>
        <v>86</v>
      </c>
      <c r="G24">
        <f t="shared" ref="G24:G38" si="48">F24*B4</f>
        <v>86</v>
      </c>
      <c r="J24" t="s">
        <v>110</v>
      </c>
      <c r="K24">
        <f>$B$120</f>
        <v>49.2</v>
      </c>
      <c r="M24">
        <f>Index!$C$129</f>
        <v>0.65</v>
      </c>
      <c r="N24">
        <f t="shared" ref="N24:N25" si="49">K24*M24</f>
        <v>31.980000000000004</v>
      </c>
      <c r="V24" t="s">
        <v>110</v>
      </c>
      <c r="W24">
        <f>$B$121</f>
        <v>68.8</v>
      </c>
      <c r="Y24">
        <f>Index!$C$129</f>
        <v>0.65</v>
      </c>
      <c r="Z24">
        <f t="shared" ref="Z24" si="50">W24*Y24</f>
        <v>44.72</v>
      </c>
      <c r="AG24" t="s">
        <v>110</v>
      </c>
      <c r="AH24">
        <f>$B$122</f>
        <v>96.2</v>
      </c>
      <c r="AJ24">
        <f>Index!$C$129</f>
        <v>0.65</v>
      </c>
      <c r="AK24">
        <f t="shared" ref="AK24" si="51">AH24*AJ24</f>
        <v>62.53</v>
      </c>
      <c r="AR24" t="s">
        <v>110</v>
      </c>
      <c r="AS24">
        <f>$B$123</f>
        <v>118.2</v>
      </c>
      <c r="AU24">
        <f>Index!$C$129</f>
        <v>0.65</v>
      </c>
      <c r="AV24">
        <f t="shared" ref="AV24" si="52">AS24*AU24</f>
        <v>76.83</v>
      </c>
      <c r="BC24" t="s">
        <v>110</v>
      </c>
      <c r="BD24">
        <f>$B$124</f>
        <v>152</v>
      </c>
      <c r="BF24">
        <f>Index!$C$129</f>
        <v>0.65</v>
      </c>
      <c r="BG24">
        <f t="shared" ref="BG24" si="53">BD24*BF24</f>
        <v>98.8</v>
      </c>
      <c r="BN24" t="s">
        <v>110</v>
      </c>
      <c r="BO24">
        <f>$B$125</f>
        <v>395.5</v>
      </c>
      <c r="BQ24">
        <f>Index!$C$129</f>
        <v>0.65</v>
      </c>
      <c r="BR24">
        <f t="shared" ref="BR24" si="54">BO24*BQ24</f>
        <v>257.07499999999999</v>
      </c>
      <c r="BY24" t="s">
        <v>110</v>
      </c>
      <c r="BZ24">
        <f>$B$126</f>
        <v>456</v>
      </c>
      <c r="CB24">
        <f>Index!$C$129</f>
        <v>0.65</v>
      </c>
      <c r="CC24">
        <f t="shared" ref="CC24" si="55">BZ24*CB24</f>
        <v>296.40000000000003</v>
      </c>
      <c r="CJ24" t="s">
        <v>110</v>
      </c>
      <c r="CK24">
        <f>$B$127</f>
        <v>459</v>
      </c>
      <c r="CM24">
        <f>Index!$C$129</f>
        <v>0.65</v>
      </c>
      <c r="CN24">
        <f t="shared" ref="CN24" si="56">CK24*CM24</f>
        <v>298.35000000000002</v>
      </c>
      <c r="CU24" t="s">
        <v>110</v>
      </c>
      <c r="CV24">
        <f>$B$128</f>
        <v>701</v>
      </c>
      <c r="CX24">
        <f>Index!$C$129</f>
        <v>0.65</v>
      </c>
      <c r="CY24">
        <f t="shared" ref="CY24" si="57">CV24*CX24</f>
        <v>455.65000000000003</v>
      </c>
      <c r="DF24" t="s">
        <v>110</v>
      </c>
      <c r="DG24">
        <f>$B$129</f>
        <v>943</v>
      </c>
      <c r="DI24">
        <f>Index!$C$129</f>
        <v>0.65</v>
      </c>
      <c r="DJ24">
        <f t="shared" ref="DJ24" si="58">DG24*DI24</f>
        <v>612.95000000000005</v>
      </c>
      <c r="DQ24" t="s">
        <v>110</v>
      </c>
      <c r="DR24">
        <f>$B$130</f>
        <v>1441.25</v>
      </c>
      <c r="DT24">
        <f>Index!$C$129</f>
        <v>0.65</v>
      </c>
      <c r="DU24">
        <f t="shared" ref="DU24" si="59">DR24*DT24</f>
        <v>936.8125</v>
      </c>
      <c r="EB24" t="s">
        <v>110</v>
      </c>
      <c r="EC24">
        <f>$B$131</f>
        <v>1683.65</v>
      </c>
      <c r="EE24">
        <f>Index!$C$129</f>
        <v>0.65</v>
      </c>
      <c r="EF24">
        <f t="shared" ref="EF24" si="60">EC24*EE24</f>
        <v>1094.3725000000002</v>
      </c>
      <c r="EM24" t="s">
        <v>110</v>
      </c>
      <c r="EN24">
        <f>$B$132</f>
        <v>1925.95</v>
      </c>
      <c r="EP24">
        <f>Index!$C$129</f>
        <v>0.65</v>
      </c>
      <c r="EQ24">
        <f t="shared" ref="EQ24" si="61">EN24*EP24</f>
        <v>1251.8675000000001</v>
      </c>
      <c r="EX24" t="s">
        <v>110</v>
      </c>
      <c r="EY24">
        <f>$B$133</f>
        <v>2408.4749999999999</v>
      </c>
      <c r="FA24">
        <f>Index!$C$129</f>
        <v>0.65</v>
      </c>
      <c r="FB24">
        <f t="shared" ref="FB24:FB25" si="62">EY24*FA24</f>
        <v>1565.50875</v>
      </c>
      <c r="FI24" t="s">
        <v>110</v>
      </c>
      <c r="FJ24">
        <f>$B$134</f>
        <v>2650.875</v>
      </c>
      <c r="FL24">
        <f>Index!$C$129</f>
        <v>0.65</v>
      </c>
      <c r="FM24">
        <f t="shared" ref="FM24:FM25" si="63">FJ24*FL24</f>
        <v>1723.0687500000001</v>
      </c>
    </row>
    <row r="25" spans="1:173" x14ac:dyDescent="0.25">
      <c r="B25">
        <f>'Wetland Design'!AT48</f>
        <v>3.7</v>
      </c>
      <c r="C25">
        <f>'Wetland Design'!AU48</f>
        <v>11.1</v>
      </c>
      <c r="D25">
        <f t="shared" si="46"/>
        <v>24.641999999999999</v>
      </c>
      <c r="F25">
        <f t="shared" si="47"/>
        <v>165</v>
      </c>
      <c r="G25">
        <f t="shared" si="48"/>
        <v>165</v>
      </c>
      <c r="J25" t="str">
        <f>C101</f>
        <v>Enviro 30</v>
      </c>
      <c r="K25">
        <v>1</v>
      </c>
      <c r="M25">
        <f>Index!$C$120</f>
        <v>69.95</v>
      </c>
      <c r="N25">
        <f t="shared" si="49"/>
        <v>69.95</v>
      </c>
      <c r="V25" t="str">
        <f>C102</f>
        <v>Enviro 60</v>
      </c>
      <c r="W25">
        <v>1</v>
      </c>
      <c r="Y25">
        <f>Index!$C$121</f>
        <v>84.95</v>
      </c>
      <c r="Z25">
        <f t="shared" ref="Z25" si="64">W25*Y25</f>
        <v>84.95</v>
      </c>
      <c r="AG25" t="str">
        <f>$C$103</f>
        <v>HaileaVB-390G</v>
      </c>
      <c r="AH25">
        <v>1</v>
      </c>
      <c r="AJ25">
        <f>Index!$C$125</f>
        <v>180.41</v>
      </c>
      <c r="AK25">
        <f t="shared" ref="AK25" si="65">AH25*AJ25</f>
        <v>180.41</v>
      </c>
      <c r="AR25" t="str">
        <f>$C$103</f>
        <v>HaileaVB-390G</v>
      </c>
      <c r="AS25">
        <v>1</v>
      </c>
      <c r="AU25">
        <f>Index!$C$125</f>
        <v>180.41</v>
      </c>
      <c r="AV25">
        <f t="shared" ref="AV25" si="66">AS25*AU25</f>
        <v>180.41</v>
      </c>
      <c r="BC25" t="str">
        <f>$C$103</f>
        <v>HaileaVB-390G</v>
      </c>
      <c r="BD25">
        <v>1</v>
      </c>
      <c r="BF25">
        <f>Index!$C$125</f>
        <v>180.41</v>
      </c>
      <c r="BG25">
        <f t="shared" ref="BG25" si="67">BD25*BF25</f>
        <v>180.41</v>
      </c>
      <c r="BN25" t="str">
        <f>$C$103</f>
        <v>HaileaVB-390G</v>
      </c>
      <c r="BO25">
        <v>1</v>
      </c>
      <c r="BQ25">
        <f>Index!$C$125</f>
        <v>180.41</v>
      </c>
      <c r="BR25">
        <f t="shared" ref="BR25" si="68">BO25*BQ25</f>
        <v>180.41</v>
      </c>
      <c r="BY25" t="str">
        <f>$C$103</f>
        <v>HaileaVB-390G</v>
      </c>
      <c r="BZ25">
        <v>1</v>
      </c>
      <c r="CB25">
        <f>Index!$C$125</f>
        <v>180.41</v>
      </c>
      <c r="CC25">
        <f t="shared" ref="CC25" si="69">BZ25*CB25</f>
        <v>180.41</v>
      </c>
      <c r="CJ25" t="str">
        <f>$C$108</f>
        <v>HaileaVB-800G</v>
      </c>
      <c r="CK25">
        <v>1</v>
      </c>
      <c r="CM25">
        <f>Index!$C$126</f>
        <v>267.74</v>
      </c>
      <c r="CN25">
        <f t="shared" ref="CN25" si="70">CK25*CM25</f>
        <v>267.74</v>
      </c>
      <c r="CU25" t="str">
        <f>$C$108</f>
        <v>HaileaVB-800G</v>
      </c>
      <c r="CV25">
        <v>1</v>
      </c>
      <c r="CX25">
        <f>Index!$C$126</f>
        <v>267.74</v>
      </c>
      <c r="CY25">
        <f t="shared" ref="CY25" si="71">CV25*CX25</f>
        <v>267.74</v>
      </c>
      <c r="DF25" t="str">
        <f>$C$110</f>
        <v>HaileaVB-2200G</v>
      </c>
      <c r="DG25">
        <v>1</v>
      </c>
      <c r="DI25">
        <f>Index!$C$127</f>
        <v>396.29</v>
      </c>
      <c r="DJ25">
        <f t="shared" ref="DJ25" si="72">DG25*DI25</f>
        <v>396.29</v>
      </c>
      <c r="DQ25" t="str">
        <f>$C$110</f>
        <v>HaileaVB-2200G</v>
      </c>
      <c r="DR25">
        <v>1</v>
      </c>
      <c r="DT25">
        <f>Index!$C$127</f>
        <v>396.29</v>
      </c>
      <c r="DU25">
        <f t="shared" ref="DU25" si="73">DR25*DT25</f>
        <v>396.29</v>
      </c>
      <c r="EB25" t="str">
        <f>$C$110</f>
        <v>HaileaVB-2200G</v>
      </c>
      <c r="EC25">
        <v>1</v>
      </c>
      <c r="EE25">
        <f>Index!$C$127</f>
        <v>396.29</v>
      </c>
      <c r="EF25">
        <f t="shared" ref="EF25" si="74">EC25*EE25</f>
        <v>396.29</v>
      </c>
      <c r="EM25" t="s">
        <v>731</v>
      </c>
      <c r="EN25">
        <v>1</v>
      </c>
      <c r="EP25">
        <v>700</v>
      </c>
      <c r="EX25" t="s">
        <v>731</v>
      </c>
      <c r="EY25">
        <v>1</v>
      </c>
      <c r="FA25">
        <v>900</v>
      </c>
      <c r="FB25">
        <f t="shared" si="62"/>
        <v>900</v>
      </c>
      <c r="FI25" t="s">
        <v>731</v>
      </c>
      <c r="FJ25">
        <v>1</v>
      </c>
      <c r="FL25">
        <v>900</v>
      </c>
      <c r="FM25">
        <f t="shared" si="63"/>
        <v>900</v>
      </c>
    </row>
    <row r="26" spans="1:173" x14ac:dyDescent="0.25">
      <c r="B26">
        <f>'Wetland Design'!AT49</f>
        <v>4.5999999999999996</v>
      </c>
      <c r="C26">
        <f>'Wetland Design'!AU49</f>
        <v>13.6</v>
      </c>
      <c r="D26">
        <f t="shared" si="46"/>
        <v>37.535999999999994</v>
      </c>
      <c r="F26">
        <f t="shared" si="47"/>
        <v>251</v>
      </c>
      <c r="G26">
        <f t="shared" si="48"/>
        <v>251</v>
      </c>
      <c r="J26" s="10" t="s">
        <v>736</v>
      </c>
      <c r="N26" s="10">
        <f>SUM(N22:N25)</f>
        <v>101.93</v>
      </c>
      <c r="V26" s="10" t="s">
        <v>736</v>
      </c>
      <c r="Z26" s="10">
        <f>SUM(Z22:Z25)</f>
        <v>129.67000000000002</v>
      </c>
      <c r="AG26" s="10" t="s">
        <v>736</v>
      </c>
      <c r="AK26" s="10">
        <f>SUM(AK22:AK25)</f>
        <v>242.94</v>
      </c>
      <c r="AR26" s="10" t="s">
        <v>736</v>
      </c>
      <c r="AV26" s="10">
        <f>SUM(AV22:AV25)</f>
        <v>257.24</v>
      </c>
      <c r="BC26" s="10" t="s">
        <v>736</v>
      </c>
      <c r="BG26" s="10">
        <f>SUM(BG22:BG25)</f>
        <v>279.20999999999998</v>
      </c>
      <c r="BN26" s="10" t="s">
        <v>736</v>
      </c>
      <c r="BR26" s="10">
        <f>SUM(BR22:BR25)</f>
        <v>437.48500000000001</v>
      </c>
      <c r="BY26" s="10" t="s">
        <v>736</v>
      </c>
      <c r="CC26" s="10">
        <f>SUM(CC22:CC25)</f>
        <v>476.81000000000006</v>
      </c>
      <c r="CJ26" s="10" t="s">
        <v>736</v>
      </c>
      <c r="CN26" s="10">
        <f>SUM(CN22:CN25)</f>
        <v>566.09</v>
      </c>
      <c r="CU26" s="10" t="s">
        <v>736</v>
      </c>
      <c r="CY26" s="10">
        <f>SUM(CY22:CY25)</f>
        <v>723.3900000000001</v>
      </c>
      <c r="DF26" s="10" t="s">
        <v>736</v>
      </c>
      <c r="DJ26" s="10">
        <f>SUM(DJ22:DJ25)</f>
        <v>1009.24</v>
      </c>
      <c r="DQ26" s="10" t="s">
        <v>736</v>
      </c>
      <c r="DU26" s="10">
        <f>SUM(DU22:DU25)</f>
        <v>1333.1025</v>
      </c>
      <c r="EB26" s="10" t="s">
        <v>736</v>
      </c>
      <c r="EF26" s="10">
        <f>SUM(EF22:EF25)</f>
        <v>1490.6625000000001</v>
      </c>
      <c r="EM26" s="10" t="s">
        <v>736</v>
      </c>
      <c r="EQ26" s="10">
        <f>SUM(EQ22:EQ25)</f>
        <v>1251.8675000000001</v>
      </c>
      <c r="EX26" s="10" t="s">
        <v>736</v>
      </c>
      <c r="FB26" s="10">
        <f>SUM(FB22:FB25)</f>
        <v>2465.50875</v>
      </c>
      <c r="FI26" s="10" t="s">
        <v>736</v>
      </c>
      <c r="FM26" s="10">
        <f>SUM(FM22:FM25)</f>
        <v>2623.0687500000004</v>
      </c>
    </row>
    <row r="27" spans="1:173" x14ac:dyDescent="0.25">
      <c r="B27">
        <f>'Wetland Design'!AT50</f>
        <v>5.8999999999999995</v>
      </c>
      <c r="C27">
        <f>'Wetland Design'!AU50</f>
        <v>17.5</v>
      </c>
      <c r="D27">
        <f t="shared" si="46"/>
        <v>61.949999999999989</v>
      </c>
      <c r="F27">
        <f t="shared" si="47"/>
        <v>413</v>
      </c>
      <c r="G27">
        <f t="shared" si="48"/>
        <v>413</v>
      </c>
    </row>
    <row r="28" spans="1:173" x14ac:dyDescent="0.25">
      <c r="B28">
        <f>'Wetland Design'!AT51</f>
        <v>3.6</v>
      </c>
      <c r="C28">
        <f>'Wetland Design'!AU51</f>
        <v>21.5</v>
      </c>
      <c r="D28">
        <f t="shared" si="46"/>
        <v>46.440000000000005</v>
      </c>
      <c r="F28">
        <f t="shared" si="47"/>
        <v>310</v>
      </c>
      <c r="G28">
        <f t="shared" si="48"/>
        <v>620</v>
      </c>
      <c r="J28" s="10" t="s">
        <v>748</v>
      </c>
      <c r="V28" s="10" t="s">
        <v>748</v>
      </c>
      <c r="AG28" s="10" t="s">
        <v>748</v>
      </c>
      <c r="AR28" s="10" t="s">
        <v>748</v>
      </c>
      <c r="BC28" s="10" t="s">
        <v>748</v>
      </c>
      <c r="BN28" s="10" t="s">
        <v>748</v>
      </c>
      <c r="BY28" s="10" t="s">
        <v>748</v>
      </c>
      <c r="CJ28" s="10" t="s">
        <v>748</v>
      </c>
      <c r="CU28" s="10" t="s">
        <v>748</v>
      </c>
      <c r="DF28" s="10" t="s">
        <v>748</v>
      </c>
      <c r="DQ28" s="10" t="s">
        <v>748</v>
      </c>
      <c r="EB28" s="10" t="s">
        <v>748</v>
      </c>
      <c r="EM28" s="10" t="s">
        <v>748</v>
      </c>
      <c r="EX28" s="10" t="s">
        <v>748</v>
      </c>
      <c r="FI28" s="10" t="s">
        <v>748</v>
      </c>
    </row>
    <row r="29" spans="1:173" x14ac:dyDescent="0.25">
      <c r="B29">
        <f>'Wetland Design'!AT52</f>
        <v>4.1999999999999993</v>
      </c>
      <c r="C29">
        <f>'Wetland Design'!AU52</f>
        <v>24.8</v>
      </c>
      <c r="D29">
        <f t="shared" si="46"/>
        <v>62.495999999999988</v>
      </c>
      <c r="F29">
        <f t="shared" si="47"/>
        <v>417</v>
      </c>
      <c r="G29">
        <f t="shared" si="48"/>
        <v>834</v>
      </c>
      <c r="J29" t="s">
        <v>14</v>
      </c>
      <c r="K29">
        <f>$A$83</f>
        <v>0.6</v>
      </c>
      <c r="L29">
        <f>Index!$C$69</f>
        <v>11.9580460758</v>
      </c>
      <c r="M29">
        <f>L29</f>
        <v>11.9580460758</v>
      </c>
      <c r="N29">
        <f>M29*K29</f>
        <v>7.1748276454799997</v>
      </c>
      <c r="V29" t="s">
        <v>14</v>
      </c>
      <c r="W29">
        <f>$A$84</f>
        <v>0.6</v>
      </c>
      <c r="X29">
        <f>Index!$C$69</f>
        <v>11.9580460758</v>
      </c>
      <c r="Y29">
        <f>X29</f>
        <v>11.9580460758</v>
      </c>
      <c r="Z29">
        <f>Y29*W29</f>
        <v>7.1748276454799997</v>
      </c>
      <c r="AG29" t="s">
        <v>14</v>
      </c>
      <c r="AH29">
        <f>$A$85</f>
        <v>0.6</v>
      </c>
      <c r="AI29">
        <f>Index!$C$69</f>
        <v>11.9580460758</v>
      </c>
      <c r="AJ29">
        <f>AI29</f>
        <v>11.9580460758</v>
      </c>
      <c r="AK29">
        <f>AJ29*AH29</f>
        <v>7.1748276454799997</v>
      </c>
      <c r="AR29" t="s">
        <v>14</v>
      </c>
      <c r="AS29">
        <f>$A$86</f>
        <v>0.6</v>
      </c>
      <c r="AT29">
        <f>Index!$C$69</f>
        <v>11.9580460758</v>
      </c>
      <c r="AU29">
        <f>AT29</f>
        <v>11.9580460758</v>
      </c>
      <c r="AV29">
        <f>AU29*AS29</f>
        <v>7.1748276454799997</v>
      </c>
      <c r="BC29" t="s">
        <v>14</v>
      </c>
      <c r="BD29">
        <f>$A$87</f>
        <v>0.6</v>
      </c>
      <c r="BE29">
        <f>Index!$C$69</f>
        <v>11.9580460758</v>
      </c>
      <c r="BF29">
        <f>BE29</f>
        <v>11.9580460758</v>
      </c>
      <c r="BG29">
        <f>BF29*BD29</f>
        <v>7.1748276454799997</v>
      </c>
      <c r="BN29" t="s">
        <v>14</v>
      </c>
      <c r="BO29">
        <f>$A$88</f>
        <v>1.2</v>
      </c>
      <c r="BP29">
        <f>Index!$C$69</f>
        <v>11.9580460758</v>
      </c>
      <c r="BQ29">
        <f>BP29</f>
        <v>11.9580460758</v>
      </c>
      <c r="BR29">
        <f>BQ29*BO29</f>
        <v>14.349655290959999</v>
      </c>
      <c r="BY29" t="s">
        <v>14</v>
      </c>
      <c r="BZ29">
        <f>$A$89</f>
        <v>1.2</v>
      </c>
      <c r="CA29">
        <f>Index!$C$69</f>
        <v>11.9580460758</v>
      </c>
      <c r="CB29">
        <f>CA29</f>
        <v>11.9580460758</v>
      </c>
      <c r="CC29">
        <f>CB29*BZ29</f>
        <v>14.349655290959999</v>
      </c>
      <c r="CJ29" t="s">
        <v>14</v>
      </c>
      <c r="CK29">
        <f>$A$90</f>
        <v>1.2</v>
      </c>
      <c r="CL29">
        <f>Index!$C$69</f>
        <v>11.9580460758</v>
      </c>
      <c r="CM29">
        <f>CL29</f>
        <v>11.9580460758</v>
      </c>
      <c r="CN29">
        <f>CM29*CK29</f>
        <v>14.349655290959999</v>
      </c>
      <c r="CU29" t="s">
        <v>14</v>
      </c>
      <c r="CV29">
        <f>$A$91</f>
        <v>1.7999999999999998</v>
      </c>
      <c r="CW29">
        <f>Index!$C$69</f>
        <v>11.9580460758</v>
      </c>
      <c r="CX29">
        <f>CW29</f>
        <v>11.9580460758</v>
      </c>
      <c r="CY29">
        <f>CX29*CV29</f>
        <v>21.524482936439998</v>
      </c>
      <c r="DF29" t="s">
        <v>14</v>
      </c>
      <c r="DG29">
        <f>$A$92</f>
        <v>2.4</v>
      </c>
      <c r="DH29">
        <f>Index!$C$69</f>
        <v>11.9580460758</v>
      </c>
      <c r="DI29">
        <f>DH29</f>
        <v>11.9580460758</v>
      </c>
      <c r="DJ29">
        <f>DI29*DG29</f>
        <v>28.699310581919999</v>
      </c>
      <c r="DQ29" t="s">
        <v>14</v>
      </c>
      <c r="DR29">
        <f>$A$93</f>
        <v>3.5999999999999996</v>
      </c>
      <c r="DS29">
        <f>Index!$C$69</f>
        <v>11.9580460758</v>
      </c>
      <c r="DT29">
        <f>DS29</f>
        <v>11.9580460758</v>
      </c>
      <c r="DU29">
        <f>DT29*DR29</f>
        <v>43.048965872879997</v>
      </c>
      <c r="EB29" t="s">
        <v>14</v>
      </c>
      <c r="EC29">
        <f>$A$94</f>
        <v>4.2</v>
      </c>
      <c r="ED29">
        <f>Index!$C$69</f>
        <v>11.9580460758</v>
      </c>
      <c r="EE29">
        <f>ED29</f>
        <v>11.9580460758</v>
      </c>
      <c r="EF29">
        <f>EE29*EC29</f>
        <v>50.223793518360004</v>
      </c>
      <c r="EM29" t="s">
        <v>14</v>
      </c>
      <c r="EN29">
        <f>$A$95</f>
        <v>4.8</v>
      </c>
      <c r="EO29">
        <f>Index!$C$69</f>
        <v>11.9580460758</v>
      </c>
      <c r="EP29">
        <f>EO29</f>
        <v>11.9580460758</v>
      </c>
      <c r="EQ29">
        <f>EP29*EN29</f>
        <v>57.398621163839998</v>
      </c>
      <c r="EX29" t="s">
        <v>14</v>
      </c>
      <c r="EY29">
        <f>$A$96</f>
        <v>6</v>
      </c>
      <c r="EZ29">
        <f>Index!$C$69</f>
        <v>11.9580460758</v>
      </c>
      <c r="FA29">
        <f>EZ29</f>
        <v>11.9580460758</v>
      </c>
      <c r="FB29">
        <f>FA29*EY29</f>
        <v>71.748276454800006</v>
      </c>
      <c r="FI29" t="s">
        <v>14</v>
      </c>
      <c r="FJ29">
        <f>$A$97</f>
        <v>6.6</v>
      </c>
      <c r="FK29">
        <f>Index!$C$69</f>
        <v>11.9580460758</v>
      </c>
      <c r="FL29">
        <f>FK29</f>
        <v>11.9580460758</v>
      </c>
      <c r="FM29">
        <f>FL29*FJ29</f>
        <v>78.92310410028</v>
      </c>
    </row>
    <row r="30" spans="1:173" x14ac:dyDescent="0.25">
      <c r="B30">
        <f>'Wetland Design'!AT53</f>
        <v>6.1999999999999993</v>
      </c>
      <c r="C30">
        <f>'Wetland Design'!AU53</f>
        <v>25</v>
      </c>
      <c r="D30">
        <f t="shared" si="46"/>
        <v>92.999999999999986</v>
      </c>
      <c r="F30">
        <f t="shared" si="47"/>
        <v>620</v>
      </c>
      <c r="G30">
        <f t="shared" si="48"/>
        <v>1240</v>
      </c>
      <c r="J30" t="s">
        <v>761</v>
      </c>
      <c r="K30">
        <f>$B$83</f>
        <v>11.799999999999999</v>
      </c>
      <c r="M30">
        <f>Index!$C101</f>
        <v>8.581999999999999</v>
      </c>
      <c r="N30">
        <f t="shared" ref="N30:N34" si="75">M30*K30</f>
        <v>101.26759999999997</v>
      </c>
      <c r="V30" t="s">
        <v>761</v>
      </c>
      <c r="W30">
        <f>$B$84</f>
        <v>16.399999999999999</v>
      </c>
      <c r="Y30">
        <f>Index!$C101</f>
        <v>8.581999999999999</v>
      </c>
      <c r="Z30">
        <f t="shared" ref="Z30:Z34" si="76">Y30*W30</f>
        <v>140.74479999999997</v>
      </c>
      <c r="AG30" t="s">
        <v>761</v>
      </c>
      <c r="AH30">
        <f>$B$85</f>
        <v>22.8</v>
      </c>
      <c r="AJ30">
        <f>Index!$C101</f>
        <v>8.581999999999999</v>
      </c>
      <c r="AK30">
        <f t="shared" ref="AK30:AK34" si="77">AJ30*AH30</f>
        <v>195.66959999999997</v>
      </c>
      <c r="AR30" t="s">
        <v>761</v>
      </c>
      <c r="AS30">
        <f>$B$86</f>
        <v>27.8</v>
      </c>
      <c r="AU30">
        <f>Index!$C101</f>
        <v>8.581999999999999</v>
      </c>
      <c r="AV30">
        <f t="shared" ref="AV30:AV34" si="78">AU30*AS30</f>
        <v>238.57959999999997</v>
      </c>
      <c r="BC30" t="s">
        <v>761</v>
      </c>
      <c r="BD30">
        <f>$B$87</f>
        <v>35.6</v>
      </c>
      <c r="BF30">
        <f>Index!$C101</f>
        <v>8.581999999999999</v>
      </c>
      <c r="BG30">
        <f t="shared" ref="BG30:BG34" si="79">BF30*BD30</f>
        <v>305.51919999999996</v>
      </c>
      <c r="BN30" t="s">
        <v>761</v>
      </c>
      <c r="BO30">
        <f>$B$88</f>
        <v>65.099999999999994</v>
      </c>
      <c r="BQ30">
        <f>Index!$C101</f>
        <v>8.581999999999999</v>
      </c>
      <c r="BR30">
        <f t="shared" ref="BR30:BR34" si="80">BQ30*BO30</f>
        <v>558.68819999999994</v>
      </c>
      <c r="BY30" t="s">
        <v>761</v>
      </c>
      <c r="BZ30">
        <f>$B$89</f>
        <v>75</v>
      </c>
      <c r="CB30">
        <f>Index!$C101</f>
        <v>8.581999999999999</v>
      </c>
      <c r="CC30">
        <f t="shared" ref="CC30:CC34" si="81">CB30*BZ30</f>
        <v>643.65</v>
      </c>
      <c r="CJ30" t="s">
        <v>761</v>
      </c>
      <c r="CK30">
        <f>$B$90</f>
        <v>75.599999999999994</v>
      </c>
      <c r="CM30">
        <f>Index!$C101</f>
        <v>8.581999999999999</v>
      </c>
      <c r="CN30">
        <f t="shared" ref="CN30:CN34" si="82">CM30*CK30</f>
        <v>648.79919999999993</v>
      </c>
      <c r="CU30" t="s">
        <v>761</v>
      </c>
      <c r="CV30">
        <f>$B$91</f>
        <v>100.6</v>
      </c>
      <c r="CX30">
        <f>Index!$C101</f>
        <v>8.581999999999999</v>
      </c>
      <c r="CY30">
        <f t="shared" ref="CY30:CY34" si="83">CX30*CV30</f>
        <v>863.34919999999988</v>
      </c>
      <c r="DF30" t="s">
        <v>761</v>
      </c>
      <c r="DG30">
        <f>$B$92</f>
        <v>125.6</v>
      </c>
      <c r="DI30">
        <f>Index!$C101</f>
        <v>8.581999999999999</v>
      </c>
      <c r="DJ30">
        <f t="shared" ref="DJ30:DJ34" si="84">DI30*DG30</f>
        <v>1077.8991999999998</v>
      </c>
      <c r="DQ30" t="s">
        <v>761</v>
      </c>
      <c r="DR30">
        <f>$B$93</f>
        <v>189.85</v>
      </c>
      <c r="DT30">
        <f>Index!$C101</f>
        <v>8.581999999999999</v>
      </c>
      <c r="DU30">
        <f t="shared" ref="DU30:DU34" si="85">DT30*DR30</f>
        <v>1629.2926999999997</v>
      </c>
      <c r="EB30" t="s">
        <v>761</v>
      </c>
      <c r="EC30">
        <f>$B$94</f>
        <v>215.25</v>
      </c>
      <c r="EE30">
        <f>Index!$C101</f>
        <v>8.581999999999999</v>
      </c>
      <c r="EF30">
        <f t="shared" ref="EF30:EF34" si="86">EE30*EC30</f>
        <v>1847.2754999999997</v>
      </c>
      <c r="EM30" t="s">
        <v>761</v>
      </c>
      <c r="EN30">
        <f>$B$95</f>
        <v>240.54999999999998</v>
      </c>
      <c r="EP30">
        <f>Index!$C101</f>
        <v>8.581999999999999</v>
      </c>
      <c r="EQ30">
        <f t="shared" ref="EQ30:EQ34" si="87">EP30*EN30</f>
        <v>2064.4000999999994</v>
      </c>
      <c r="EX30" t="s">
        <v>761</v>
      </c>
      <c r="EY30">
        <f>$B$96</f>
        <v>289.07499999999999</v>
      </c>
      <c r="FA30">
        <f>Index!$C101</f>
        <v>8.581999999999999</v>
      </c>
      <c r="FB30">
        <f t="shared" ref="FB30:FB34" si="88">FA30*EY30</f>
        <v>2480.8416499999994</v>
      </c>
      <c r="FI30" t="s">
        <v>761</v>
      </c>
      <c r="FJ30">
        <f>$B$97</f>
        <v>314.47500000000002</v>
      </c>
      <c r="FL30">
        <f>Index!$C101</f>
        <v>8.581999999999999</v>
      </c>
      <c r="FM30">
        <f t="shared" ref="FM30:FM34" si="89">FL30*FJ30</f>
        <v>2698.8244500000001</v>
      </c>
    </row>
    <row r="31" spans="1:173" x14ac:dyDescent="0.25">
      <c r="B31">
        <f>'Wetland Design'!AT54</f>
        <v>5.5</v>
      </c>
      <c r="C31">
        <f>'Wetland Design'!AU54</f>
        <v>25</v>
      </c>
      <c r="D31">
        <f t="shared" si="46"/>
        <v>82.5</v>
      </c>
      <c r="F31">
        <f t="shared" si="47"/>
        <v>550</v>
      </c>
      <c r="G31">
        <f t="shared" si="48"/>
        <v>1650</v>
      </c>
      <c r="J31" t="s">
        <v>762</v>
      </c>
      <c r="K31">
        <f>$C$83</f>
        <v>4</v>
      </c>
      <c r="M31">
        <f>Index!$C102</f>
        <v>6.22</v>
      </c>
      <c r="N31">
        <f t="shared" si="75"/>
        <v>24.88</v>
      </c>
      <c r="V31" t="s">
        <v>762</v>
      </c>
      <c r="W31">
        <f>$C$84</f>
        <v>4</v>
      </c>
      <c r="Y31">
        <f>Index!$C102</f>
        <v>6.22</v>
      </c>
      <c r="Z31">
        <f t="shared" si="76"/>
        <v>24.88</v>
      </c>
      <c r="AG31" t="s">
        <v>762</v>
      </c>
      <c r="AH31">
        <f>$C$85</f>
        <v>4</v>
      </c>
      <c r="AJ31">
        <f>Index!$C102</f>
        <v>6.22</v>
      </c>
      <c r="AK31">
        <f t="shared" si="77"/>
        <v>24.88</v>
      </c>
      <c r="AR31" t="s">
        <v>762</v>
      </c>
      <c r="AS31">
        <f>$C$86</f>
        <v>4</v>
      </c>
      <c r="AU31">
        <f>Index!$C102</f>
        <v>6.22</v>
      </c>
      <c r="AV31">
        <f t="shared" si="78"/>
        <v>24.88</v>
      </c>
      <c r="BC31" t="s">
        <v>762</v>
      </c>
      <c r="BD31">
        <f>$C$87</f>
        <v>4</v>
      </c>
      <c r="BF31">
        <f>Index!$C102</f>
        <v>6.22</v>
      </c>
      <c r="BG31">
        <f t="shared" si="79"/>
        <v>24.88</v>
      </c>
      <c r="BN31" t="s">
        <v>762</v>
      </c>
      <c r="BO31">
        <f>$C$88</f>
        <v>4</v>
      </c>
      <c r="BQ31">
        <f>Index!$C102</f>
        <v>6.22</v>
      </c>
      <c r="BR31">
        <f t="shared" si="80"/>
        <v>24.88</v>
      </c>
      <c r="BY31" t="s">
        <v>762</v>
      </c>
      <c r="BZ31">
        <f>$C$89</f>
        <v>4</v>
      </c>
      <c r="CB31">
        <f>Index!$C102</f>
        <v>6.22</v>
      </c>
      <c r="CC31">
        <f t="shared" si="81"/>
        <v>24.88</v>
      </c>
      <c r="CJ31" t="s">
        <v>762</v>
      </c>
      <c r="CK31">
        <f>$C$90</f>
        <v>4</v>
      </c>
      <c r="CM31">
        <f>Index!$C102</f>
        <v>6.22</v>
      </c>
      <c r="CN31">
        <f t="shared" si="82"/>
        <v>24.88</v>
      </c>
      <c r="CU31" t="s">
        <v>762</v>
      </c>
      <c r="CV31">
        <f>$C$91</f>
        <v>4</v>
      </c>
      <c r="CX31">
        <f>Index!$C102</f>
        <v>6.22</v>
      </c>
      <c r="CY31">
        <f t="shared" si="83"/>
        <v>24.88</v>
      </c>
      <c r="DF31" t="s">
        <v>762</v>
      </c>
      <c r="DG31">
        <f>$C$92</f>
        <v>4</v>
      </c>
      <c r="DI31">
        <f>Index!$C102</f>
        <v>6.22</v>
      </c>
      <c r="DJ31">
        <f t="shared" si="84"/>
        <v>24.88</v>
      </c>
      <c r="DQ31" t="s">
        <v>762</v>
      </c>
      <c r="DR31">
        <f>$C$93</f>
        <v>4</v>
      </c>
      <c r="DT31">
        <f>Index!$C102</f>
        <v>6.22</v>
      </c>
      <c r="DU31">
        <f t="shared" si="85"/>
        <v>24.88</v>
      </c>
      <c r="EB31" t="s">
        <v>762</v>
      </c>
      <c r="EC31">
        <f>$C$94</f>
        <v>4</v>
      </c>
      <c r="EE31">
        <f>Index!$C102</f>
        <v>6.22</v>
      </c>
      <c r="EF31">
        <f t="shared" si="86"/>
        <v>24.88</v>
      </c>
      <c r="EM31" t="s">
        <v>762</v>
      </c>
      <c r="EN31">
        <f>$C$95</f>
        <v>4</v>
      </c>
      <c r="EP31">
        <f>Index!$C102</f>
        <v>6.22</v>
      </c>
      <c r="EQ31">
        <f t="shared" si="87"/>
        <v>24.88</v>
      </c>
      <c r="EX31" t="s">
        <v>762</v>
      </c>
      <c r="EY31">
        <f>$C$96</f>
        <v>4</v>
      </c>
      <c r="FA31">
        <f>Index!$C102</f>
        <v>6.22</v>
      </c>
      <c r="FB31">
        <f t="shared" si="88"/>
        <v>24.88</v>
      </c>
      <c r="FI31" t="s">
        <v>762</v>
      </c>
      <c r="FJ31">
        <f>$C$97</f>
        <v>4</v>
      </c>
      <c r="FL31">
        <f>Index!$C102</f>
        <v>6.22</v>
      </c>
      <c r="FM31">
        <f t="shared" si="89"/>
        <v>24.88</v>
      </c>
    </row>
    <row r="32" spans="1:173" x14ac:dyDescent="0.25">
      <c r="B32">
        <f>'Wetland Design'!AT55</f>
        <v>6.1999999999999993</v>
      </c>
      <c r="C32">
        <f>'Wetland Design'!AU55</f>
        <v>25</v>
      </c>
      <c r="D32">
        <f t="shared" si="46"/>
        <v>92.999999999999986</v>
      </c>
      <c r="F32">
        <f t="shared" si="47"/>
        <v>620</v>
      </c>
      <c r="G32">
        <f t="shared" si="48"/>
        <v>2480</v>
      </c>
      <c r="J32" t="s">
        <v>763</v>
      </c>
      <c r="K32">
        <f>$D$83</f>
        <v>2</v>
      </c>
      <c r="M32">
        <f>Index!$C103</f>
        <v>17.61</v>
      </c>
      <c r="N32">
        <f t="shared" si="75"/>
        <v>35.22</v>
      </c>
      <c r="V32" t="s">
        <v>763</v>
      </c>
      <c r="W32">
        <f>$D$84</f>
        <v>2</v>
      </c>
      <c r="Y32">
        <f>Index!$C103</f>
        <v>17.61</v>
      </c>
      <c r="Z32">
        <f t="shared" si="76"/>
        <v>35.22</v>
      </c>
      <c r="AG32" t="s">
        <v>763</v>
      </c>
      <c r="AH32">
        <f>$D$85</f>
        <v>2</v>
      </c>
      <c r="AJ32">
        <f>Index!$C103</f>
        <v>17.61</v>
      </c>
      <c r="AK32">
        <f t="shared" si="77"/>
        <v>35.22</v>
      </c>
      <c r="AR32" t="s">
        <v>763</v>
      </c>
      <c r="AS32">
        <f>$D$86</f>
        <v>2</v>
      </c>
      <c r="AU32">
        <f>Index!$C103</f>
        <v>17.61</v>
      </c>
      <c r="AV32">
        <f t="shared" si="78"/>
        <v>35.22</v>
      </c>
      <c r="BC32" t="s">
        <v>763</v>
      </c>
      <c r="BD32">
        <f>$D$87</f>
        <v>2</v>
      </c>
      <c r="BF32">
        <f>Index!$C103</f>
        <v>17.61</v>
      </c>
      <c r="BG32">
        <f t="shared" si="79"/>
        <v>35.22</v>
      </c>
      <c r="BN32" t="s">
        <v>763</v>
      </c>
      <c r="BO32">
        <f>$D$88</f>
        <v>4</v>
      </c>
      <c r="BQ32">
        <f>Index!$C103</f>
        <v>17.61</v>
      </c>
      <c r="BR32">
        <f t="shared" si="80"/>
        <v>70.44</v>
      </c>
      <c r="BY32" t="s">
        <v>763</v>
      </c>
      <c r="BZ32">
        <f>$D$89</f>
        <v>4</v>
      </c>
      <c r="CB32">
        <f>Index!$C103</f>
        <v>17.61</v>
      </c>
      <c r="CC32">
        <f t="shared" si="81"/>
        <v>70.44</v>
      </c>
      <c r="CJ32" t="s">
        <v>763</v>
      </c>
      <c r="CK32">
        <f>$D$90</f>
        <v>4</v>
      </c>
      <c r="CM32">
        <f>Index!$C103</f>
        <v>17.61</v>
      </c>
      <c r="CN32">
        <f t="shared" si="82"/>
        <v>70.44</v>
      </c>
      <c r="CU32" t="s">
        <v>763</v>
      </c>
      <c r="CV32">
        <f>$D$91</f>
        <v>6</v>
      </c>
      <c r="CX32">
        <f>Index!$C103</f>
        <v>17.61</v>
      </c>
      <c r="CY32">
        <f t="shared" si="83"/>
        <v>105.66</v>
      </c>
      <c r="DF32" t="s">
        <v>763</v>
      </c>
      <c r="DG32">
        <f>$D$92</f>
        <v>8</v>
      </c>
      <c r="DI32">
        <f>Index!$C103</f>
        <v>17.61</v>
      </c>
      <c r="DJ32">
        <f t="shared" si="84"/>
        <v>140.88</v>
      </c>
      <c r="DQ32" t="s">
        <v>763</v>
      </c>
      <c r="DR32">
        <f>$D$93</f>
        <v>14</v>
      </c>
      <c r="DT32">
        <f>Index!$C103</f>
        <v>17.61</v>
      </c>
      <c r="DU32">
        <f t="shared" si="85"/>
        <v>246.54</v>
      </c>
      <c r="EB32" t="s">
        <v>763</v>
      </c>
      <c r="EC32">
        <f>$D$94</f>
        <v>16</v>
      </c>
      <c r="EE32">
        <f>Index!$C103</f>
        <v>17.61</v>
      </c>
      <c r="EF32">
        <f t="shared" si="86"/>
        <v>281.76</v>
      </c>
      <c r="EM32" t="s">
        <v>763</v>
      </c>
      <c r="EN32">
        <f>$D$95</f>
        <v>18</v>
      </c>
      <c r="EP32">
        <f>Index!$C103</f>
        <v>17.61</v>
      </c>
      <c r="EQ32">
        <f t="shared" si="87"/>
        <v>316.98</v>
      </c>
      <c r="EX32" t="s">
        <v>763</v>
      </c>
      <c r="EY32">
        <f>$D$96</f>
        <v>20</v>
      </c>
      <c r="FA32">
        <f>Index!$C103</f>
        <v>17.61</v>
      </c>
      <c r="FB32">
        <f t="shared" si="88"/>
        <v>352.2</v>
      </c>
      <c r="FI32" t="s">
        <v>763</v>
      </c>
      <c r="FJ32">
        <f>$D$97</f>
        <v>22</v>
      </c>
      <c r="FL32">
        <f>Index!$C103</f>
        <v>17.61</v>
      </c>
      <c r="FM32">
        <f t="shared" si="89"/>
        <v>387.41999999999996</v>
      </c>
    </row>
    <row r="33" spans="1:169" x14ac:dyDescent="0.25">
      <c r="B33">
        <f>'Wetland Design'!AT56</f>
        <v>5.5</v>
      </c>
      <c r="C33">
        <f>'Wetland Design'!AU56</f>
        <v>25</v>
      </c>
      <c r="D33">
        <f t="shared" si="46"/>
        <v>82.5</v>
      </c>
      <c r="F33">
        <f t="shared" si="47"/>
        <v>550</v>
      </c>
      <c r="G33">
        <f t="shared" si="48"/>
        <v>3300</v>
      </c>
      <c r="J33" t="s">
        <v>764</v>
      </c>
      <c r="K33">
        <f>$E$83</f>
        <v>2</v>
      </c>
      <c r="M33">
        <f>Index!$C104</f>
        <v>13.67</v>
      </c>
      <c r="N33">
        <f t="shared" si="75"/>
        <v>27.34</v>
      </c>
      <c r="V33" t="s">
        <v>764</v>
      </c>
      <c r="W33">
        <f>$E$84</f>
        <v>2</v>
      </c>
      <c r="Y33">
        <f>Index!$C104</f>
        <v>13.67</v>
      </c>
      <c r="Z33">
        <f t="shared" si="76"/>
        <v>27.34</v>
      </c>
      <c r="AG33" t="s">
        <v>764</v>
      </c>
      <c r="AH33">
        <f>$E$85</f>
        <v>2</v>
      </c>
      <c r="AJ33">
        <f>Index!$C104</f>
        <v>13.67</v>
      </c>
      <c r="AK33">
        <f t="shared" si="77"/>
        <v>27.34</v>
      </c>
      <c r="AR33" t="s">
        <v>764</v>
      </c>
      <c r="AS33">
        <f>$E$86</f>
        <v>2</v>
      </c>
      <c r="AU33">
        <f>Index!$C104</f>
        <v>13.67</v>
      </c>
      <c r="AV33">
        <f t="shared" si="78"/>
        <v>27.34</v>
      </c>
      <c r="BC33" t="s">
        <v>764</v>
      </c>
      <c r="BD33">
        <f>$E$87</f>
        <v>2</v>
      </c>
      <c r="BF33">
        <f>Index!$C104</f>
        <v>13.67</v>
      </c>
      <c r="BG33">
        <f t="shared" si="79"/>
        <v>27.34</v>
      </c>
      <c r="BN33" t="s">
        <v>764</v>
      </c>
      <c r="BO33">
        <f>$E$88</f>
        <v>4</v>
      </c>
      <c r="BQ33">
        <f>Index!$C104</f>
        <v>13.67</v>
      </c>
      <c r="BR33">
        <f t="shared" si="80"/>
        <v>54.68</v>
      </c>
      <c r="BY33" t="s">
        <v>764</v>
      </c>
      <c r="BZ33">
        <f>$E$89</f>
        <v>4</v>
      </c>
      <c r="CB33">
        <f>Index!$C104</f>
        <v>13.67</v>
      </c>
      <c r="CC33">
        <f t="shared" si="81"/>
        <v>54.68</v>
      </c>
      <c r="CJ33" t="s">
        <v>764</v>
      </c>
      <c r="CK33">
        <f>$E$90</f>
        <v>4</v>
      </c>
      <c r="CM33">
        <f>Index!$C104</f>
        <v>13.67</v>
      </c>
      <c r="CN33">
        <f t="shared" si="82"/>
        <v>54.68</v>
      </c>
      <c r="CU33" t="s">
        <v>764</v>
      </c>
      <c r="CV33">
        <f>$E$91</f>
        <v>4</v>
      </c>
      <c r="CX33">
        <f>Index!$C104</f>
        <v>13.67</v>
      </c>
      <c r="CY33">
        <f t="shared" si="83"/>
        <v>54.68</v>
      </c>
      <c r="DF33" t="s">
        <v>764</v>
      </c>
      <c r="DG33">
        <f>$E$92</f>
        <v>4</v>
      </c>
      <c r="DI33">
        <f>Index!$C104</f>
        <v>13.67</v>
      </c>
      <c r="DJ33">
        <f t="shared" si="84"/>
        <v>54.68</v>
      </c>
      <c r="DQ33" t="s">
        <v>764</v>
      </c>
      <c r="DR33">
        <f>$E$93</f>
        <v>8</v>
      </c>
      <c r="DT33">
        <f>Index!$C104</f>
        <v>13.67</v>
      </c>
      <c r="DU33">
        <f t="shared" si="85"/>
        <v>109.36</v>
      </c>
      <c r="EB33" t="s">
        <v>764</v>
      </c>
      <c r="EC33">
        <f>$E$94</f>
        <v>8</v>
      </c>
      <c r="EE33">
        <f>Index!$C104</f>
        <v>13.67</v>
      </c>
      <c r="EF33">
        <f t="shared" si="86"/>
        <v>109.36</v>
      </c>
      <c r="EM33" t="s">
        <v>764</v>
      </c>
      <c r="EN33">
        <f>$E$95</f>
        <v>8</v>
      </c>
      <c r="EP33">
        <f>Index!$C104</f>
        <v>13.67</v>
      </c>
      <c r="EQ33">
        <f t="shared" si="87"/>
        <v>109.36</v>
      </c>
      <c r="EX33" t="s">
        <v>764</v>
      </c>
      <c r="EY33">
        <f>$E$96</f>
        <v>10</v>
      </c>
      <c r="FA33">
        <f>Index!$C104</f>
        <v>13.67</v>
      </c>
      <c r="FB33">
        <f t="shared" si="88"/>
        <v>136.69999999999999</v>
      </c>
      <c r="FI33" t="s">
        <v>764</v>
      </c>
      <c r="FJ33">
        <f>$E$97</f>
        <v>10</v>
      </c>
      <c r="FL33">
        <f>Index!$C104</f>
        <v>13.67</v>
      </c>
      <c r="FM33">
        <f t="shared" si="89"/>
        <v>136.69999999999999</v>
      </c>
    </row>
    <row r="34" spans="1:169" x14ac:dyDescent="0.25">
      <c r="B34">
        <f>'Wetland Design'!AT57</f>
        <v>5.8999999999999995</v>
      </c>
      <c r="C34">
        <f>'Wetland Design'!AU57</f>
        <v>25</v>
      </c>
      <c r="D34">
        <f t="shared" si="46"/>
        <v>88.5</v>
      </c>
      <c r="F34">
        <f t="shared" si="47"/>
        <v>590</v>
      </c>
      <c r="G34">
        <f t="shared" si="48"/>
        <v>4130</v>
      </c>
      <c r="J34" t="s">
        <v>766</v>
      </c>
      <c r="K34">
        <f>$F$83</f>
        <v>2</v>
      </c>
      <c r="M34">
        <f>Index!$C105</f>
        <v>52.92</v>
      </c>
      <c r="N34">
        <f t="shared" si="75"/>
        <v>105.84</v>
      </c>
      <c r="V34" t="s">
        <v>766</v>
      </c>
      <c r="W34">
        <f>$F$84</f>
        <v>2</v>
      </c>
      <c r="Y34">
        <f>Index!$C105</f>
        <v>52.92</v>
      </c>
      <c r="Z34">
        <f t="shared" si="76"/>
        <v>105.84</v>
      </c>
      <c r="AG34" t="s">
        <v>766</v>
      </c>
      <c r="AH34">
        <f>$F$85</f>
        <v>2</v>
      </c>
      <c r="AJ34">
        <f>Index!$C105</f>
        <v>52.92</v>
      </c>
      <c r="AK34">
        <f t="shared" si="77"/>
        <v>105.84</v>
      </c>
      <c r="AR34" t="s">
        <v>766</v>
      </c>
      <c r="AS34">
        <f>$F$86</f>
        <v>2</v>
      </c>
      <c r="AU34">
        <f>Index!$C105</f>
        <v>52.92</v>
      </c>
      <c r="AV34">
        <f t="shared" si="78"/>
        <v>105.84</v>
      </c>
      <c r="BC34" t="s">
        <v>766</v>
      </c>
      <c r="BD34">
        <f>$F$87</f>
        <v>2</v>
      </c>
      <c r="BF34">
        <f>Index!$C105</f>
        <v>52.92</v>
      </c>
      <c r="BG34">
        <f t="shared" si="79"/>
        <v>105.84</v>
      </c>
      <c r="BN34" t="s">
        <v>766</v>
      </c>
      <c r="BO34">
        <f>$F$88</f>
        <v>3</v>
      </c>
      <c r="BQ34">
        <f>Index!$C105</f>
        <v>52.92</v>
      </c>
      <c r="BR34">
        <f t="shared" si="80"/>
        <v>158.76</v>
      </c>
      <c r="BY34" t="s">
        <v>766</v>
      </c>
      <c r="BZ34">
        <f>$F$89</f>
        <v>3</v>
      </c>
      <c r="CB34">
        <f>Index!$C105</f>
        <v>52.92</v>
      </c>
      <c r="CC34">
        <f t="shared" si="81"/>
        <v>158.76</v>
      </c>
      <c r="CJ34" t="s">
        <v>766</v>
      </c>
      <c r="CK34">
        <f>$F$90</f>
        <v>3</v>
      </c>
      <c r="CM34">
        <f>Index!$C105</f>
        <v>52.92</v>
      </c>
      <c r="CN34">
        <f t="shared" si="82"/>
        <v>158.76</v>
      </c>
      <c r="CU34" t="s">
        <v>766</v>
      </c>
      <c r="CV34">
        <f>$F$91</f>
        <v>4</v>
      </c>
      <c r="CX34">
        <f>Index!$C105</f>
        <v>52.92</v>
      </c>
      <c r="CY34">
        <f t="shared" si="83"/>
        <v>211.68</v>
      </c>
      <c r="DF34" t="s">
        <v>766</v>
      </c>
      <c r="DG34">
        <f>$F$92</f>
        <v>5</v>
      </c>
      <c r="DI34">
        <f>Index!$C105</f>
        <v>52.92</v>
      </c>
      <c r="DJ34">
        <f t="shared" si="84"/>
        <v>264.60000000000002</v>
      </c>
      <c r="DQ34" t="s">
        <v>766</v>
      </c>
      <c r="DR34">
        <f>$F$93</f>
        <v>7</v>
      </c>
      <c r="DT34">
        <f>Index!$C105</f>
        <v>52.92</v>
      </c>
      <c r="DU34">
        <f t="shared" si="85"/>
        <v>370.44</v>
      </c>
      <c r="EB34" t="s">
        <v>766</v>
      </c>
      <c r="EC34">
        <f>$F$94</f>
        <v>8</v>
      </c>
      <c r="EE34">
        <f>Index!$C105</f>
        <v>52.92</v>
      </c>
      <c r="EF34">
        <f t="shared" si="86"/>
        <v>423.36</v>
      </c>
      <c r="EM34" t="s">
        <v>766</v>
      </c>
      <c r="EN34">
        <f>$F$95</f>
        <v>9</v>
      </c>
      <c r="EP34">
        <f>Index!$C105</f>
        <v>52.92</v>
      </c>
      <c r="EQ34">
        <f t="shared" si="87"/>
        <v>476.28000000000003</v>
      </c>
      <c r="EX34" t="s">
        <v>766</v>
      </c>
      <c r="EY34">
        <f>$F$96</f>
        <v>11</v>
      </c>
      <c r="FA34">
        <f>Index!$C105</f>
        <v>52.92</v>
      </c>
      <c r="FB34">
        <f t="shared" si="88"/>
        <v>582.12</v>
      </c>
      <c r="FI34" t="s">
        <v>766</v>
      </c>
      <c r="FJ34">
        <f>$F$97</f>
        <v>12</v>
      </c>
      <c r="FL34">
        <f>Index!$C105</f>
        <v>52.92</v>
      </c>
      <c r="FM34">
        <f t="shared" si="89"/>
        <v>635.04</v>
      </c>
    </row>
    <row r="35" spans="1:169" x14ac:dyDescent="0.25">
      <c r="B35">
        <f>'Wetland Design'!AT58</f>
        <v>6.1999999999999993</v>
      </c>
      <c r="C35">
        <f>'Wetland Design'!AU58</f>
        <v>25</v>
      </c>
      <c r="D35">
        <f t="shared" si="46"/>
        <v>92.999999999999986</v>
      </c>
      <c r="F35">
        <f t="shared" si="47"/>
        <v>620</v>
      </c>
      <c r="G35">
        <f t="shared" si="48"/>
        <v>4960</v>
      </c>
      <c r="J35" t="s">
        <v>112</v>
      </c>
      <c r="K35">
        <f>$G$83</f>
        <v>5.3999999999999995</v>
      </c>
      <c r="L35">
        <f>Index!$C$57</f>
        <v>2.0490500744999993</v>
      </c>
      <c r="M35">
        <f t="shared" ref="M35:M36" si="90">L35</f>
        <v>2.0490500744999993</v>
      </c>
      <c r="N35">
        <f>M35*K35</f>
        <v>11.064870402299995</v>
      </c>
      <c r="V35" t="s">
        <v>112</v>
      </c>
      <c r="W35">
        <f>$G$84</f>
        <v>5.3999999999999995</v>
      </c>
      <c r="X35">
        <f>Index!$C$57</f>
        <v>2.0490500744999993</v>
      </c>
      <c r="Y35">
        <f t="shared" ref="Y35:Y36" si="91">X35</f>
        <v>2.0490500744999993</v>
      </c>
      <c r="Z35">
        <f>Y35*W35</f>
        <v>11.064870402299995</v>
      </c>
      <c r="AG35" t="s">
        <v>112</v>
      </c>
      <c r="AH35">
        <f>$G$85</f>
        <v>5.3999999999999995</v>
      </c>
      <c r="AI35">
        <f>Index!$C$57</f>
        <v>2.0490500744999993</v>
      </c>
      <c r="AJ35">
        <f t="shared" ref="AJ35:AJ36" si="92">AI35</f>
        <v>2.0490500744999993</v>
      </c>
      <c r="AK35">
        <f>AJ35*AH35</f>
        <v>11.064870402299995</v>
      </c>
      <c r="AR35" t="s">
        <v>112</v>
      </c>
      <c r="AS35">
        <f>$G$86</f>
        <v>5.3999999999999995</v>
      </c>
      <c r="AT35">
        <f>Index!$C$57</f>
        <v>2.0490500744999993</v>
      </c>
      <c r="AU35">
        <f t="shared" ref="AU35:AU36" si="93">AT35</f>
        <v>2.0490500744999993</v>
      </c>
      <c r="AV35">
        <f>AU35*AS35</f>
        <v>11.064870402299995</v>
      </c>
      <c r="BC35" t="s">
        <v>112</v>
      </c>
      <c r="BD35">
        <f>$G$87</f>
        <v>5.3999999999999995</v>
      </c>
      <c r="BE35">
        <f>Index!$C$57</f>
        <v>2.0490500744999993</v>
      </c>
      <c r="BF35">
        <f t="shared" ref="BF35:BF36" si="94">BE35</f>
        <v>2.0490500744999993</v>
      </c>
      <c r="BG35">
        <f>BF35*BD35</f>
        <v>11.064870402299995</v>
      </c>
      <c r="BN35" t="s">
        <v>112</v>
      </c>
      <c r="BO35">
        <f>$G$88</f>
        <v>10.799999999999999</v>
      </c>
      <c r="BP35">
        <f>Index!$C$57</f>
        <v>2.0490500744999993</v>
      </c>
      <c r="BQ35">
        <f t="shared" ref="BQ35:BQ36" si="95">BP35</f>
        <v>2.0490500744999993</v>
      </c>
      <c r="BR35">
        <f>BQ35*BO35</f>
        <v>22.12974080459999</v>
      </c>
      <c r="BY35" t="s">
        <v>112</v>
      </c>
      <c r="BZ35">
        <f>$G$89</f>
        <v>10.799999999999999</v>
      </c>
      <c r="CA35">
        <f>Index!$C$57</f>
        <v>2.0490500744999993</v>
      </c>
      <c r="CB35">
        <f t="shared" ref="CB35:CB36" si="96">CA35</f>
        <v>2.0490500744999993</v>
      </c>
      <c r="CC35">
        <f>CB35*BZ35</f>
        <v>22.12974080459999</v>
      </c>
      <c r="CJ35" t="s">
        <v>112</v>
      </c>
      <c r="CK35">
        <f>$G$90</f>
        <v>10.799999999999999</v>
      </c>
      <c r="CL35">
        <f>Index!$C$57</f>
        <v>2.0490500744999993</v>
      </c>
      <c r="CM35">
        <f t="shared" ref="CM35:CM36" si="97">CL35</f>
        <v>2.0490500744999993</v>
      </c>
      <c r="CN35">
        <f>CM35*CK35</f>
        <v>22.12974080459999</v>
      </c>
      <c r="CU35" t="s">
        <v>112</v>
      </c>
      <c r="CV35">
        <f>$G$91</f>
        <v>16.2</v>
      </c>
      <c r="CW35">
        <f>Index!$C$57</f>
        <v>2.0490500744999993</v>
      </c>
      <c r="CX35">
        <f t="shared" ref="CX35:CX36" si="98">CW35</f>
        <v>2.0490500744999993</v>
      </c>
      <c r="CY35">
        <f>CX35*CV35</f>
        <v>33.194611206899985</v>
      </c>
      <c r="DF35" t="s">
        <v>112</v>
      </c>
      <c r="DG35">
        <f>$G$92</f>
        <v>21.599999999999998</v>
      </c>
      <c r="DH35">
        <f>Index!$C$57</f>
        <v>2.0490500744999993</v>
      </c>
      <c r="DI35">
        <f t="shared" ref="DI35:DI36" si="99">DH35</f>
        <v>2.0490500744999993</v>
      </c>
      <c r="DJ35">
        <f>DI35*DG35</f>
        <v>44.25948160919998</v>
      </c>
      <c r="DQ35" t="s">
        <v>112</v>
      </c>
      <c r="DR35">
        <f>$G$93</f>
        <v>32.4</v>
      </c>
      <c r="DS35">
        <f>Index!$C$57</f>
        <v>2.0490500744999993</v>
      </c>
      <c r="DT35">
        <f t="shared" ref="DT35:DT36" si="100">DS35</f>
        <v>2.0490500744999993</v>
      </c>
      <c r="DU35">
        <f>DT35*DR35</f>
        <v>66.38922241379997</v>
      </c>
      <c r="EB35" t="s">
        <v>112</v>
      </c>
      <c r="EC35">
        <f>$G$94</f>
        <v>37.799999999999997</v>
      </c>
      <c r="ED35">
        <f>Index!$C$57</f>
        <v>2.0490500744999993</v>
      </c>
      <c r="EE35">
        <f t="shared" ref="EE35:EE36" si="101">ED35</f>
        <v>2.0490500744999993</v>
      </c>
      <c r="EF35">
        <f>EE35*EC35</f>
        <v>77.454092816099973</v>
      </c>
      <c r="EM35" t="s">
        <v>112</v>
      </c>
      <c r="EN35">
        <f>$G$95</f>
        <v>43.199999999999996</v>
      </c>
      <c r="EO35">
        <f>Index!$C$57</f>
        <v>2.0490500744999993</v>
      </c>
      <c r="EP35">
        <f t="shared" ref="EP35:EP36" si="102">EO35</f>
        <v>2.0490500744999993</v>
      </c>
      <c r="EQ35">
        <f>EP35*EN35</f>
        <v>88.518963218399961</v>
      </c>
      <c r="EX35" t="s">
        <v>112</v>
      </c>
      <c r="EY35">
        <f>$G$96</f>
        <v>53.999999999999993</v>
      </c>
      <c r="EZ35">
        <f>Index!$C$57</f>
        <v>2.0490500744999993</v>
      </c>
      <c r="FA35">
        <f t="shared" ref="FA35:FA36" si="103">EZ35</f>
        <v>2.0490500744999993</v>
      </c>
      <c r="FB35">
        <f>FA35*EY35</f>
        <v>110.64870402299995</v>
      </c>
      <c r="FI35" t="s">
        <v>112</v>
      </c>
      <c r="FJ35">
        <f>$G$97</f>
        <v>59.399999999999991</v>
      </c>
      <c r="FK35">
        <f>Index!$C$57</f>
        <v>2.0490500744999993</v>
      </c>
      <c r="FL35">
        <f t="shared" ref="FL35:FL36" si="104">FK35</f>
        <v>2.0490500744999993</v>
      </c>
      <c r="FM35">
        <f>FL35*FJ35</f>
        <v>121.71357442529994</v>
      </c>
    </row>
    <row r="36" spans="1:169" x14ac:dyDescent="0.25">
      <c r="B36">
        <f>'Wetland Design'!AT59</f>
        <v>5.8</v>
      </c>
      <c r="C36">
        <f>'Wetland Design'!AU59</f>
        <v>25</v>
      </c>
      <c r="D36">
        <f t="shared" si="46"/>
        <v>87</v>
      </c>
      <c r="F36">
        <f t="shared" si="47"/>
        <v>580</v>
      </c>
      <c r="G36">
        <f t="shared" si="48"/>
        <v>5800</v>
      </c>
      <c r="J36" t="s">
        <v>775</v>
      </c>
      <c r="K36">
        <f>$G$83</f>
        <v>5.3999999999999995</v>
      </c>
      <c r="L36">
        <f>Index!$C$59</f>
        <v>5.201434804499999</v>
      </c>
      <c r="M36">
        <f t="shared" si="90"/>
        <v>5.201434804499999</v>
      </c>
      <c r="N36">
        <f t="shared" ref="N36" si="105">M36*K36</f>
        <v>28.087747944299991</v>
      </c>
      <c r="V36" t="s">
        <v>775</v>
      </c>
      <c r="W36">
        <f>$G$83</f>
        <v>5.3999999999999995</v>
      </c>
      <c r="X36">
        <f>Index!$C$59</f>
        <v>5.201434804499999</v>
      </c>
      <c r="Y36">
        <f t="shared" si="91"/>
        <v>5.201434804499999</v>
      </c>
      <c r="Z36">
        <f t="shared" ref="Z36" si="106">Y36*W36</f>
        <v>28.087747944299991</v>
      </c>
      <c r="AG36" t="s">
        <v>775</v>
      </c>
      <c r="AH36">
        <f>$G$83</f>
        <v>5.3999999999999995</v>
      </c>
      <c r="AI36">
        <f>Index!$C$59</f>
        <v>5.201434804499999</v>
      </c>
      <c r="AJ36">
        <f t="shared" si="92"/>
        <v>5.201434804499999</v>
      </c>
      <c r="AK36">
        <f t="shared" ref="AK36" si="107">AJ36*AH36</f>
        <v>28.087747944299991</v>
      </c>
      <c r="AR36" t="s">
        <v>775</v>
      </c>
      <c r="AS36">
        <f>$G$83</f>
        <v>5.3999999999999995</v>
      </c>
      <c r="AT36">
        <f>Index!$C$59</f>
        <v>5.201434804499999</v>
      </c>
      <c r="AU36">
        <f t="shared" si="93"/>
        <v>5.201434804499999</v>
      </c>
      <c r="AV36">
        <f t="shared" ref="AV36" si="108">AU36*AS36</f>
        <v>28.087747944299991</v>
      </c>
      <c r="BC36" t="s">
        <v>775</v>
      </c>
      <c r="BD36">
        <f>BD35</f>
        <v>5.3999999999999995</v>
      </c>
      <c r="BE36">
        <f>Index!$C$59</f>
        <v>5.201434804499999</v>
      </c>
      <c r="BF36">
        <f t="shared" si="94"/>
        <v>5.201434804499999</v>
      </c>
      <c r="BG36">
        <f t="shared" ref="BG36" si="109">BF36*BD36</f>
        <v>28.087747944299991</v>
      </c>
      <c r="BN36" t="s">
        <v>775</v>
      </c>
      <c r="BO36">
        <f>BO35</f>
        <v>10.799999999999999</v>
      </c>
      <c r="BP36">
        <f>Index!$C$59</f>
        <v>5.201434804499999</v>
      </c>
      <c r="BQ36">
        <f t="shared" si="95"/>
        <v>5.201434804499999</v>
      </c>
      <c r="BR36">
        <f t="shared" ref="BR36" si="110">BQ36*BO36</f>
        <v>56.175495888599983</v>
      </c>
      <c r="BY36" t="s">
        <v>775</v>
      </c>
      <c r="BZ36">
        <f>BZ35</f>
        <v>10.799999999999999</v>
      </c>
      <c r="CA36">
        <f>Index!$C$59</f>
        <v>5.201434804499999</v>
      </c>
      <c r="CB36">
        <f t="shared" si="96"/>
        <v>5.201434804499999</v>
      </c>
      <c r="CC36">
        <f t="shared" ref="CC36" si="111">CB36*BZ36</f>
        <v>56.175495888599983</v>
      </c>
      <c r="CJ36" t="s">
        <v>775</v>
      </c>
      <c r="CK36">
        <f>CK35</f>
        <v>10.799999999999999</v>
      </c>
      <c r="CL36">
        <f>Index!$C$59</f>
        <v>5.201434804499999</v>
      </c>
      <c r="CM36">
        <f t="shared" si="97"/>
        <v>5.201434804499999</v>
      </c>
      <c r="CN36">
        <f t="shared" ref="CN36" si="112">CM36*CK36</f>
        <v>56.175495888599983</v>
      </c>
      <c r="CU36" t="s">
        <v>775</v>
      </c>
      <c r="CV36">
        <f>CV35</f>
        <v>16.2</v>
      </c>
      <c r="CW36">
        <f>Index!$C$59</f>
        <v>5.201434804499999</v>
      </c>
      <c r="CX36">
        <f t="shared" si="98"/>
        <v>5.201434804499999</v>
      </c>
      <c r="CY36">
        <f t="shared" ref="CY36" si="113">CX36*CV36</f>
        <v>84.263243832899974</v>
      </c>
      <c r="DF36" t="s">
        <v>775</v>
      </c>
      <c r="DG36">
        <f>DG35</f>
        <v>21.599999999999998</v>
      </c>
      <c r="DH36">
        <f>Index!$C$59</f>
        <v>5.201434804499999</v>
      </c>
      <c r="DI36">
        <f t="shared" si="99"/>
        <v>5.201434804499999</v>
      </c>
      <c r="DJ36">
        <f t="shared" ref="DJ36" si="114">DI36*DG36</f>
        <v>112.35099177719997</v>
      </c>
      <c r="DQ36" t="s">
        <v>775</v>
      </c>
      <c r="DR36">
        <f>DR35</f>
        <v>32.4</v>
      </c>
      <c r="DS36">
        <f>Index!$C$59</f>
        <v>5.201434804499999</v>
      </c>
      <c r="DT36">
        <f t="shared" si="100"/>
        <v>5.201434804499999</v>
      </c>
      <c r="DU36">
        <f t="shared" ref="DU36" si="115">DT36*DR36</f>
        <v>168.52648766579995</v>
      </c>
      <c r="EB36" t="s">
        <v>775</v>
      </c>
      <c r="EC36">
        <f>EC35</f>
        <v>37.799999999999997</v>
      </c>
      <c r="ED36">
        <f>Index!$C$59</f>
        <v>5.201434804499999</v>
      </c>
      <c r="EE36">
        <f t="shared" si="101"/>
        <v>5.201434804499999</v>
      </c>
      <c r="EF36">
        <f t="shared" ref="EF36" si="116">EE36*EC36</f>
        <v>196.61423561009994</v>
      </c>
      <c r="EM36" t="s">
        <v>775</v>
      </c>
      <c r="EN36">
        <f>EN35</f>
        <v>43.199999999999996</v>
      </c>
      <c r="EO36">
        <f>Index!$C$59</f>
        <v>5.201434804499999</v>
      </c>
      <c r="EP36">
        <f t="shared" si="102"/>
        <v>5.201434804499999</v>
      </c>
      <c r="EQ36">
        <f t="shared" ref="EQ36" si="117">EP36*EN36</f>
        <v>224.70198355439993</v>
      </c>
      <c r="EX36" t="s">
        <v>775</v>
      </c>
      <c r="EY36">
        <f>EY35</f>
        <v>53.999999999999993</v>
      </c>
      <c r="EZ36">
        <f>Index!$C$59</f>
        <v>5.201434804499999</v>
      </c>
      <c r="FA36">
        <f t="shared" si="103"/>
        <v>5.201434804499999</v>
      </c>
      <c r="FB36">
        <f t="shared" ref="FB36" si="118">FA36*EY36</f>
        <v>280.87747944299991</v>
      </c>
      <c r="FI36" t="s">
        <v>775</v>
      </c>
      <c r="FJ36">
        <f>FJ35</f>
        <v>59.399999999999991</v>
      </c>
      <c r="FK36">
        <f>Index!$C$59</f>
        <v>5.201434804499999</v>
      </c>
      <c r="FL36">
        <f t="shared" si="104"/>
        <v>5.201434804499999</v>
      </c>
      <c r="FM36">
        <f t="shared" ref="FM36" si="119">FL36*FJ36</f>
        <v>308.96522738729988</v>
      </c>
    </row>
    <row r="37" spans="1:169" x14ac:dyDescent="0.25">
      <c r="B37">
        <f>'Wetland Design'!AT60</f>
        <v>6</v>
      </c>
      <c r="C37">
        <f>'Wetland Design'!AU60</f>
        <v>25</v>
      </c>
      <c r="D37">
        <f t="shared" si="46"/>
        <v>90</v>
      </c>
      <c r="F37">
        <f t="shared" si="47"/>
        <v>600</v>
      </c>
      <c r="G37">
        <f t="shared" si="48"/>
        <v>6600</v>
      </c>
      <c r="J37" s="10" t="s">
        <v>736</v>
      </c>
      <c r="N37" s="10">
        <f>SUM(N29:N35)</f>
        <v>312.78729804777998</v>
      </c>
      <c r="V37" s="10" t="s">
        <v>736</v>
      </c>
      <c r="Z37" s="10">
        <f>SUM(Z29:Z36)</f>
        <v>380.35224599207993</v>
      </c>
      <c r="AG37" s="10" t="s">
        <v>736</v>
      </c>
      <c r="AK37" s="10">
        <f>SUM(AK29:AK36)</f>
        <v>435.27704599207993</v>
      </c>
      <c r="AR37" s="10" t="s">
        <v>736</v>
      </c>
      <c r="AV37" s="10">
        <f>SUM(AV29:AV36)</f>
        <v>478.1870459920799</v>
      </c>
      <c r="BC37" s="10" t="s">
        <v>736</v>
      </c>
      <c r="BG37" s="10">
        <f>SUM(BG29:BG36)</f>
        <v>545.12664599207983</v>
      </c>
      <c r="BN37" s="10" t="s">
        <v>736</v>
      </c>
      <c r="BR37" s="10">
        <f>SUM(BR29:BR36)</f>
        <v>960.10309198415985</v>
      </c>
      <c r="BY37" s="10" t="s">
        <v>736</v>
      </c>
      <c r="CC37" s="10">
        <f>SUM(CC29:CC36)</f>
        <v>1045.0648919841599</v>
      </c>
      <c r="CJ37" s="10" t="s">
        <v>736</v>
      </c>
      <c r="CN37" s="10">
        <f>SUM(CN29:CN36)</f>
        <v>1050.2140919841599</v>
      </c>
      <c r="CU37" s="10" t="s">
        <v>736</v>
      </c>
      <c r="CY37" s="10">
        <f>SUM(CY29:CY36)</f>
        <v>1399.2315379762397</v>
      </c>
      <c r="DF37" s="10" t="s">
        <v>736</v>
      </c>
      <c r="DJ37" s="10">
        <f>SUM(DJ29:DJ36)</f>
        <v>1748.2489839683199</v>
      </c>
      <c r="DQ37" s="10" t="s">
        <v>736</v>
      </c>
      <c r="DU37" s="10">
        <f>SUM(DU29:DU36)</f>
        <v>2658.4773759524796</v>
      </c>
      <c r="EB37" s="10" t="s">
        <v>736</v>
      </c>
      <c r="EF37" s="10">
        <f>SUM(EF29:EF36)</f>
        <v>3010.9276219445601</v>
      </c>
      <c r="EM37" s="10" t="s">
        <v>736</v>
      </c>
      <c r="EQ37" s="10">
        <f>SUM(EQ29:EQ36)</f>
        <v>3362.51966793664</v>
      </c>
      <c r="EX37" s="10" t="s">
        <v>736</v>
      </c>
      <c r="FB37" s="10">
        <f>SUM(FB29:FB36)</f>
        <v>4040.016109920799</v>
      </c>
      <c r="FI37" s="10" t="s">
        <v>736</v>
      </c>
      <c r="FM37" s="10">
        <f>SUM(FM29:FM36)</f>
        <v>4392.4663559128803</v>
      </c>
    </row>
    <row r="38" spans="1:169" x14ac:dyDescent="0.25">
      <c r="B38">
        <f>'Wetland Design'!AT61</f>
        <v>5.8999999999999995</v>
      </c>
      <c r="C38">
        <f>'Wetland Design'!AU61</f>
        <v>25</v>
      </c>
      <c r="D38">
        <f t="shared" si="46"/>
        <v>88.5</v>
      </c>
      <c r="F38">
        <f t="shared" si="47"/>
        <v>590</v>
      </c>
      <c r="G38">
        <f t="shared" si="48"/>
        <v>8260</v>
      </c>
      <c r="AK38" s="10"/>
    </row>
    <row r="39" spans="1:169" x14ac:dyDescent="0.25">
      <c r="J39" s="10" t="s">
        <v>704</v>
      </c>
      <c r="K39" s="10"/>
      <c r="L39" s="10"/>
      <c r="M39" s="10"/>
      <c r="N39" s="10"/>
      <c r="V39" s="10" t="s">
        <v>704</v>
      </c>
      <c r="W39" s="10"/>
      <c r="X39" s="10"/>
      <c r="Y39" s="10"/>
      <c r="Z39" s="10"/>
      <c r="AG39" s="10" t="s">
        <v>704</v>
      </c>
      <c r="AH39" s="10"/>
      <c r="AI39" s="10"/>
      <c r="AJ39" s="10"/>
      <c r="AK39" s="10"/>
      <c r="AR39" s="10" t="s">
        <v>704</v>
      </c>
      <c r="AS39" s="10"/>
      <c r="AT39" s="10"/>
      <c r="AU39" s="10"/>
      <c r="AV39" s="10"/>
      <c r="BC39" s="10" t="s">
        <v>704</v>
      </c>
      <c r="BD39" s="10"/>
      <c r="BE39" s="10"/>
      <c r="BF39" s="10"/>
      <c r="BG39" s="10"/>
      <c r="BN39" s="10" t="s">
        <v>704</v>
      </c>
      <c r="BO39" s="10"/>
      <c r="BP39" s="10"/>
      <c r="BQ39" s="10"/>
      <c r="BR39" s="10"/>
      <c r="BY39" s="10" t="s">
        <v>704</v>
      </c>
      <c r="BZ39" s="10"/>
      <c r="CA39" s="10"/>
      <c r="CB39" s="10"/>
      <c r="CC39" s="10"/>
      <c r="CJ39" s="10" t="s">
        <v>704</v>
      </c>
      <c r="CK39" s="10"/>
      <c r="CL39" s="10"/>
      <c r="CM39" s="10"/>
      <c r="CN39" s="10"/>
      <c r="CU39" s="10" t="s">
        <v>704</v>
      </c>
      <c r="CV39" s="10"/>
      <c r="CW39" s="10"/>
      <c r="CX39" s="10"/>
      <c r="CY39" s="10"/>
      <c r="DF39" s="10" t="s">
        <v>704</v>
      </c>
      <c r="DG39" s="10"/>
      <c r="DH39" s="10"/>
      <c r="DI39" s="10"/>
      <c r="DJ39" s="10"/>
      <c r="DQ39" s="10" t="s">
        <v>704</v>
      </c>
      <c r="DR39" s="10"/>
      <c r="DS39" s="10"/>
      <c r="DT39" s="10"/>
      <c r="DU39" s="10"/>
      <c r="EB39" s="10" t="s">
        <v>704</v>
      </c>
      <c r="EC39" s="10"/>
      <c r="ED39" s="10"/>
      <c r="EE39" s="10"/>
      <c r="EF39" s="10"/>
      <c r="EM39" s="10" t="s">
        <v>704</v>
      </c>
      <c r="EN39" s="10"/>
      <c r="EO39" s="10"/>
      <c r="EP39" s="10"/>
      <c r="EQ39" s="10"/>
      <c r="EX39" s="10" t="s">
        <v>704</v>
      </c>
      <c r="EY39" s="10"/>
      <c r="EZ39" s="10"/>
      <c r="FA39" s="10"/>
      <c r="FB39" s="10"/>
      <c r="FI39" s="10" t="s">
        <v>704</v>
      </c>
      <c r="FJ39" s="10"/>
      <c r="FK39" s="10"/>
      <c r="FL39" s="10"/>
      <c r="FM39" s="10"/>
    </row>
    <row r="40" spans="1:169" x14ac:dyDescent="0.25">
      <c r="A40" s="10" t="s">
        <v>729</v>
      </c>
      <c r="B40" t="s">
        <v>738</v>
      </c>
      <c r="J40" s="10" t="s">
        <v>125</v>
      </c>
      <c r="K40" s="10"/>
      <c r="L40" s="10"/>
      <c r="M40" s="10"/>
      <c r="N40" s="10">
        <f>N12+N20+N26+N37</f>
        <v>1497.9126889824477</v>
      </c>
      <c r="V40" s="10" t="s">
        <v>125</v>
      </c>
      <c r="W40" s="10"/>
      <c r="X40" s="10"/>
      <c r="Y40" s="10"/>
      <c r="Z40" s="10">
        <f>Z12+Z20+Z26+Z37</f>
        <v>2233.9076394376484</v>
      </c>
      <c r="AG40" s="10" t="s">
        <v>125</v>
      </c>
      <c r="AH40" s="10"/>
      <c r="AI40" s="10"/>
      <c r="AJ40" s="10"/>
      <c r="AK40" s="10">
        <f>AK12+AK20+AK26+AK37</f>
        <v>3677.5186195644719</v>
      </c>
      <c r="AR40" s="10" t="s">
        <v>125</v>
      </c>
      <c r="AS40" s="10"/>
      <c r="AT40" s="10"/>
      <c r="AU40" s="10"/>
      <c r="AV40" s="10">
        <f>AV12+AV20+AV26+AV37</f>
        <v>4961.1281663039508</v>
      </c>
      <c r="BC40" s="10" t="s">
        <v>125</v>
      </c>
      <c r="BD40" s="10"/>
      <c r="BE40" s="10"/>
      <c r="BF40" s="10"/>
      <c r="BG40" s="10">
        <f>BG12+BG20+BG26+BG37</f>
        <v>7354.7737600718156</v>
      </c>
      <c r="BN40" s="10" t="s">
        <v>125</v>
      </c>
      <c r="BO40" s="10"/>
      <c r="BP40" s="10"/>
      <c r="BQ40" s="10"/>
      <c r="BR40" s="10">
        <f>BR12+BR20+BR26+BR37</f>
        <v>12600.760636013538</v>
      </c>
      <c r="BY40" s="10" t="s">
        <v>125</v>
      </c>
      <c r="BZ40" s="10"/>
      <c r="CA40" s="10"/>
      <c r="CB40" s="10"/>
      <c r="CC40" s="10">
        <f>CC12+CC20+CC26+CC37</f>
        <v>15820.197359661826</v>
      </c>
      <c r="CJ40" s="10" t="s">
        <v>125</v>
      </c>
      <c r="CK40" s="10"/>
      <c r="CL40" s="10"/>
      <c r="CM40" s="10"/>
      <c r="CN40" s="10">
        <f>CN12+CN20+CN26+CN37</f>
        <v>20926.619010306003</v>
      </c>
      <c r="CU40" s="10" t="s">
        <v>125</v>
      </c>
      <c r="CV40" s="10"/>
      <c r="CW40" s="10"/>
      <c r="CX40" s="10"/>
      <c r="CY40" s="10">
        <f>CY12+CY20+CY26+CY37</f>
        <v>28556.630030461383</v>
      </c>
      <c r="DF40" s="10" t="s">
        <v>125</v>
      </c>
      <c r="DG40" s="10"/>
      <c r="DH40" s="10"/>
      <c r="DI40" s="10"/>
      <c r="DJ40" s="10">
        <f>DJ12+DJ20+DJ26+DJ37</f>
        <v>41378.118820612006</v>
      </c>
      <c r="DQ40" s="10" t="s">
        <v>125</v>
      </c>
      <c r="DR40" s="10"/>
      <c r="DS40" s="10"/>
      <c r="DT40" s="10"/>
      <c r="DU40" s="10">
        <f>DU12+DU20+DU26+DU37</f>
        <v>56859.596860922771</v>
      </c>
      <c r="EB40" s="10" t="s">
        <v>125</v>
      </c>
      <c r="EC40" s="10"/>
      <c r="ED40" s="10"/>
      <c r="EE40" s="10"/>
      <c r="EF40" s="10">
        <f>EF12+EF20+EF26+EF37</f>
        <v>69556.228451073388</v>
      </c>
      <c r="EM40" s="10" t="s">
        <v>125</v>
      </c>
      <c r="EN40" s="10"/>
      <c r="EO40" s="10"/>
      <c r="EP40" s="10"/>
      <c r="EQ40" s="10">
        <f>EQ12+EQ20+EQ26+EQ37</f>
        <v>81855.646841224006</v>
      </c>
      <c r="EX40" s="10" t="s">
        <v>125</v>
      </c>
      <c r="EY40" s="10"/>
      <c r="EZ40" s="10"/>
      <c r="FA40" s="10"/>
      <c r="FB40" s="10">
        <f>FB12+FB20+FB26+FB37</f>
        <v>98196.666041744393</v>
      </c>
      <c r="FI40" s="10" t="s">
        <v>125</v>
      </c>
      <c r="FJ40" s="10"/>
      <c r="FK40" s="10"/>
      <c r="FL40" s="10"/>
      <c r="FM40" s="10">
        <f>FM12+FM20+FM26+FM37</f>
        <v>110589.55609158058</v>
      </c>
    </row>
    <row r="41" spans="1:169" x14ac:dyDescent="0.25">
      <c r="A41" t="s">
        <v>156</v>
      </c>
      <c r="B41" t="s">
        <v>719</v>
      </c>
      <c r="C41" t="s">
        <v>720</v>
      </c>
      <c r="D41" t="s">
        <v>726</v>
      </c>
      <c r="E41" t="s">
        <v>727</v>
      </c>
    </row>
    <row r="42" spans="1:169" x14ac:dyDescent="0.25">
      <c r="A42">
        <v>5</v>
      </c>
      <c r="B42">
        <f>'Wetland Design'!AX46</f>
        <v>20</v>
      </c>
      <c r="C42">
        <f>'Wetland Design'!AY46</f>
        <v>8</v>
      </c>
      <c r="D42">
        <f>'Wetland Design'!AZ46</f>
        <v>16</v>
      </c>
      <c r="E42">
        <f>'Wetland Design'!BA46</f>
        <v>20</v>
      </c>
    </row>
    <row r="43" spans="1:169" x14ac:dyDescent="0.25">
      <c r="A43">
        <v>10</v>
      </c>
      <c r="B43">
        <f>'Wetland Design'!AX47</f>
        <v>29</v>
      </c>
      <c r="C43">
        <f>'Wetland Design'!AY47</f>
        <v>9</v>
      </c>
      <c r="D43">
        <f>'Wetland Design'!AZ47</f>
        <v>18</v>
      </c>
      <c r="E43">
        <f>'Wetland Design'!BA47</f>
        <v>29</v>
      </c>
    </row>
    <row r="44" spans="1:169" x14ac:dyDescent="0.25">
      <c r="A44">
        <v>20</v>
      </c>
      <c r="B44">
        <f>'Wetland Design'!AX48</f>
        <v>44</v>
      </c>
      <c r="C44">
        <f>'Wetland Design'!AY48</f>
        <v>14</v>
      </c>
      <c r="D44">
        <f>'Wetland Design'!AZ48</f>
        <v>28</v>
      </c>
      <c r="E44">
        <f>'Wetland Design'!BA48</f>
        <v>44</v>
      </c>
      <c r="T44"/>
    </row>
    <row r="45" spans="1:169" x14ac:dyDescent="0.25">
      <c r="A45">
        <v>30</v>
      </c>
      <c r="B45">
        <f>'Wetland Design'!AX49</f>
        <v>52</v>
      </c>
      <c r="C45">
        <f>'Wetland Design'!AY49</f>
        <v>16</v>
      </c>
      <c r="D45">
        <f>'Wetland Design'!AZ49</f>
        <v>32</v>
      </c>
      <c r="E45">
        <f>'Wetland Design'!BA49</f>
        <v>52</v>
      </c>
      <c r="P45" s="10" t="s">
        <v>732</v>
      </c>
      <c r="Q45" s="10" t="s">
        <v>730</v>
      </c>
      <c r="R45" s="10" t="s">
        <v>748</v>
      </c>
      <c r="S45" s="10" t="s">
        <v>625</v>
      </c>
      <c r="AK45">
        <v>3022.985034380979</v>
      </c>
      <c r="AL45">
        <v>4260.0449503799819</v>
      </c>
    </row>
    <row r="46" spans="1:169" x14ac:dyDescent="0.25">
      <c r="A46">
        <v>50</v>
      </c>
      <c r="B46">
        <f>'Wetland Design'!AX50</f>
        <v>68</v>
      </c>
      <c r="C46">
        <f>'Wetland Design'!AY50</f>
        <v>20</v>
      </c>
      <c r="D46">
        <f>'Wetland Design'!AZ50</f>
        <v>40</v>
      </c>
      <c r="E46">
        <f>'Wetland Design'!BA50</f>
        <v>68</v>
      </c>
      <c r="O46">
        <v>5</v>
      </c>
      <c r="P46">
        <v>1091.2870755755109</v>
      </c>
      <c r="Q46">
        <v>101.93</v>
      </c>
      <c r="R46">
        <v>312.96804846399993</v>
      </c>
      <c r="S46">
        <v>1506.1851240395099</v>
      </c>
      <c r="AK46">
        <v>242.94</v>
      </c>
      <c r="AL46">
        <v>257.24</v>
      </c>
    </row>
    <row r="47" spans="1:169" x14ac:dyDescent="0.25">
      <c r="A47">
        <v>75</v>
      </c>
      <c r="B47">
        <f>'Wetland Design'!AX51</f>
        <v>84</v>
      </c>
      <c r="C47">
        <f>'Wetland Design'!AY51</f>
        <v>24</v>
      </c>
      <c r="D47">
        <f>'Wetland Design'!AZ51</f>
        <v>48</v>
      </c>
      <c r="E47">
        <f>'Wetland Design'!BA51</f>
        <v>84</v>
      </c>
      <c r="O47">
        <v>10</v>
      </c>
      <c r="P47">
        <v>1737.1907266051146</v>
      </c>
      <c r="Q47">
        <v>129.67000000000002</v>
      </c>
      <c r="R47">
        <v>380.81133830399995</v>
      </c>
      <c r="S47">
        <v>2247.6720649091149</v>
      </c>
      <c r="Y47">
        <v>1737.1907266051146</v>
      </c>
      <c r="AK47">
        <v>435.73613830399995</v>
      </c>
      <c r="AL47">
        <v>478.64613830399992</v>
      </c>
    </row>
    <row r="48" spans="1:169" x14ac:dyDescent="0.25">
      <c r="A48">
        <v>100</v>
      </c>
      <c r="B48">
        <f>'Wetland Design'!AX52</f>
        <v>97</v>
      </c>
      <c r="C48">
        <f>'Wetland Design'!AY52</f>
        <v>26</v>
      </c>
      <c r="D48">
        <f>'Wetland Design'!AZ52</f>
        <v>52</v>
      </c>
      <c r="E48">
        <f>'Wetland Design'!BA52</f>
        <v>97</v>
      </c>
      <c r="O48">
        <v>20</v>
      </c>
      <c r="P48">
        <v>3022.985034380979</v>
      </c>
      <c r="Q48">
        <v>242.94</v>
      </c>
      <c r="R48">
        <v>435.73613830399995</v>
      </c>
      <c r="S48">
        <v>3701.6611726849787</v>
      </c>
      <c r="Y48">
        <v>129.67000000000002</v>
      </c>
      <c r="AK48">
        <v>3701.6611726849787</v>
      </c>
      <c r="AL48">
        <v>4995.9310886839812</v>
      </c>
      <c r="BE48">
        <v>6584.7140084673629</v>
      </c>
      <c r="BF48">
        <v>11291.722841949215</v>
      </c>
    </row>
    <row r="49" spans="1:90" x14ac:dyDescent="0.25">
      <c r="A49">
        <v>150</v>
      </c>
      <c r="B49">
        <f>'Wetland Design'!AX53</f>
        <v>100</v>
      </c>
      <c r="C49">
        <f>'Wetland Design'!AY53</f>
        <v>27</v>
      </c>
      <c r="D49">
        <f>'Wetland Design'!AZ53</f>
        <v>54</v>
      </c>
      <c r="E49">
        <f>'Wetland Design'!BA53</f>
        <v>100</v>
      </c>
      <c r="O49">
        <v>30</v>
      </c>
      <c r="P49">
        <v>4260.0449503799819</v>
      </c>
      <c r="Q49">
        <v>257.24</v>
      </c>
      <c r="R49">
        <v>478.64613830399992</v>
      </c>
      <c r="S49">
        <v>4995.9310886839812</v>
      </c>
      <c r="Y49">
        <v>380.81133830399995</v>
      </c>
      <c r="BE49">
        <v>279.20999999999998</v>
      </c>
      <c r="BF49">
        <v>437.48500000000001</v>
      </c>
    </row>
    <row r="50" spans="1:90" x14ac:dyDescent="0.25">
      <c r="A50">
        <v>200</v>
      </c>
      <c r="B50">
        <f>'Wetland Design'!AX54</f>
        <v>100</v>
      </c>
      <c r="C50">
        <f>'Wetland Design'!AY54</f>
        <v>27</v>
      </c>
      <c r="D50">
        <f>'Wetland Design'!AZ54</f>
        <v>54</v>
      </c>
      <c r="E50">
        <f>'Wetland Design'!BA54</f>
        <v>100</v>
      </c>
      <c r="O50">
        <v>50</v>
      </c>
      <c r="P50">
        <v>6584.7140084673629</v>
      </c>
      <c r="Q50">
        <v>279.20999999999998</v>
      </c>
      <c r="R50">
        <v>545.58573830399985</v>
      </c>
      <c r="S50">
        <v>7409.5097467713631</v>
      </c>
      <c r="Y50">
        <v>2247.6720649091149</v>
      </c>
      <c r="BE50">
        <v>545.58573830399985</v>
      </c>
      <c r="BF50">
        <v>961.02127660799977</v>
      </c>
      <c r="CC50">
        <v>14413.446831021418</v>
      </c>
      <c r="CD50">
        <v>19471.222524149805</v>
      </c>
      <c r="CJ50">
        <v>26651.955189481308</v>
      </c>
      <c r="CK50">
        <v>38942.445048299611</v>
      </c>
      <c r="CL50">
        <v>53303.910378962617</v>
      </c>
    </row>
    <row r="51" spans="1:90" x14ac:dyDescent="0.25">
      <c r="A51">
        <v>300</v>
      </c>
      <c r="B51">
        <f>'Wetland Design'!AX55</f>
        <v>100</v>
      </c>
      <c r="C51">
        <f>'Wetland Design'!AY55</f>
        <v>27</v>
      </c>
      <c r="D51">
        <f>'Wetland Design'!AZ55</f>
        <v>54</v>
      </c>
      <c r="E51">
        <f>'Wetland Design'!BA55</f>
        <v>100</v>
      </c>
      <c r="O51">
        <v>75</v>
      </c>
      <c r="P51">
        <v>11291.722841949215</v>
      </c>
      <c r="Q51">
        <v>437.48500000000001</v>
      </c>
      <c r="R51">
        <v>961.02127660799977</v>
      </c>
      <c r="S51">
        <v>12690.229118557216</v>
      </c>
      <c r="BE51">
        <v>7409.5097467713631</v>
      </c>
      <c r="BF51">
        <v>12690.229118557216</v>
      </c>
      <c r="CC51">
        <v>476.81000000000006</v>
      </c>
      <c r="CD51">
        <v>566.09</v>
      </c>
      <c r="CJ51">
        <v>723.3900000000001</v>
      </c>
      <c r="CK51">
        <v>1009.24</v>
      </c>
      <c r="CL51">
        <v>1333.1025</v>
      </c>
    </row>
    <row r="52" spans="1:90" x14ac:dyDescent="0.25">
      <c r="A52">
        <v>400</v>
      </c>
      <c r="B52">
        <f>'Wetland Design'!AX56</f>
        <v>100</v>
      </c>
      <c r="C52">
        <f>'Wetland Design'!AY56</f>
        <v>27</v>
      </c>
      <c r="D52">
        <f>'Wetland Design'!AZ56</f>
        <v>54</v>
      </c>
      <c r="E52">
        <f>'Wetland Design'!BA56</f>
        <v>100</v>
      </c>
      <c r="O52">
        <v>100</v>
      </c>
      <c r="P52">
        <v>14413.446831021418</v>
      </c>
      <c r="Q52">
        <v>476.81000000000006</v>
      </c>
      <c r="R52">
        <v>1045.9830766079999</v>
      </c>
      <c r="S52">
        <v>15936.239907629417</v>
      </c>
      <c r="CC52">
        <v>1045.9830766079999</v>
      </c>
      <c r="CD52">
        <v>1051.132276608</v>
      </c>
      <c r="CJ52">
        <v>1400.6088149119998</v>
      </c>
      <c r="CK52">
        <v>1750.0853532159999</v>
      </c>
      <c r="CL52">
        <v>2661.231929824</v>
      </c>
    </row>
    <row r="53" spans="1:90" x14ac:dyDescent="0.25">
      <c r="A53">
        <v>500</v>
      </c>
      <c r="B53">
        <f>'Wetland Design'!AX57</f>
        <v>100</v>
      </c>
      <c r="C53">
        <f>'Wetland Design'!AY57</f>
        <v>27</v>
      </c>
      <c r="D53">
        <f>'Wetland Design'!AZ57</f>
        <v>54</v>
      </c>
      <c r="E53">
        <f>'Wetland Design'!BA57</f>
        <v>100</v>
      </c>
      <c r="O53">
        <v>150</v>
      </c>
      <c r="P53">
        <v>19471.222524149805</v>
      </c>
      <c r="Q53">
        <v>566.09</v>
      </c>
      <c r="R53">
        <v>1051.132276608</v>
      </c>
      <c r="S53">
        <v>21088.444800757807</v>
      </c>
      <c r="CC53">
        <v>15936.239907629417</v>
      </c>
      <c r="CD53">
        <v>21088.444800757807</v>
      </c>
      <c r="CJ53">
        <v>28775.954004393308</v>
      </c>
      <c r="CK53">
        <v>41701.770401515605</v>
      </c>
      <c r="CL53">
        <v>57298.244808786621</v>
      </c>
    </row>
    <row r="54" spans="1:90" x14ac:dyDescent="0.25">
      <c r="A54">
        <v>600</v>
      </c>
      <c r="B54">
        <f>'Wetland Design'!AX58</f>
        <v>100</v>
      </c>
      <c r="C54">
        <f>'Wetland Design'!AY58</f>
        <v>27</v>
      </c>
      <c r="D54">
        <f>'Wetland Design'!AZ58</f>
        <v>54</v>
      </c>
      <c r="E54">
        <f>'Wetland Design'!BA58</f>
        <v>100</v>
      </c>
      <c r="O54">
        <v>200</v>
      </c>
      <c r="P54">
        <v>26651.955189481308</v>
      </c>
      <c r="Q54">
        <v>723.3900000000001</v>
      </c>
      <c r="R54">
        <v>1400.6088149119998</v>
      </c>
      <c r="S54">
        <v>28775.954004393308</v>
      </c>
    </row>
    <row r="55" spans="1:90" x14ac:dyDescent="0.25">
      <c r="A55">
        <v>700</v>
      </c>
      <c r="B55">
        <f>'Wetland Design'!AX59</f>
        <v>100</v>
      </c>
      <c r="C55">
        <f>'Wetland Design'!AY59</f>
        <v>27</v>
      </c>
      <c r="D55">
        <f>'Wetland Design'!AZ59</f>
        <v>54</v>
      </c>
      <c r="E55">
        <f>'Wetland Design'!BA59</f>
        <v>100</v>
      </c>
      <c r="O55">
        <v>300</v>
      </c>
      <c r="P55">
        <v>38942.445048299611</v>
      </c>
      <c r="Q55">
        <v>1009.24</v>
      </c>
      <c r="R55">
        <v>1750.0853532159999</v>
      </c>
      <c r="S55">
        <v>41701.770401515605</v>
      </c>
    </row>
    <row r="56" spans="1:90" x14ac:dyDescent="0.25">
      <c r="A56">
        <v>800</v>
      </c>
      <c r="B56">
        <f>'Wetland Design'!AX60</f>
        <v>100</v>
      </c>
      <c r="C56">
        <f>'Wetland Design'!AY60</f>
        <v>27</v>
      </c>
      <c r="D56">
        <f>'Wetland Design'!AZ60</f>
        <v>54</v>
      </c>
      <c r="E56">
        <f>'Wetland Design'!BA60</f>
        <v>100</v>
      </c>
      <c r="O56">
        <v>400</v>
      </c>
      <c r="P56">
        <v>53303.910378962617</v>
      </c>
      <c r="Q56">
        <v>1333.1025</v>
      </c>
      <c r="R56">
        <v>2661.231929824</v>
      </c>
      <c r="S56">
        <v>57298.244808786621</v>
      </c>
    </row>
    <row r="57" spans="1:90" x14ac:dyDescent="0.25">
      <c r="A57">
        <v>1000</v>
      </c>
      <c r="B57">
        <f>'Wetland Design'!AX61</f>
        <v>100</v>
      </c>
      <c r="C57">
        <f>'Wetland Design'!AY61</f>
        <v>27</v>
      </c>
      <c r="D57">
        <f>'Wetland Design'!AZ61</f>
        <v>54</v>
      </c>
      <c r="E57">
        <f>'Wetland Design'!BA61</f>
        <v>100</v>
      </c>
      <c r="J57" t="s">
        <v>846</v>
      </c>
      <c r="O57">
        <v>500</v>
      </c>
      <c r="P57">
        <v>65594.400237780923</v>
      </c>
      <c r="Q57">
        <v>1490.6625000000001</v>
      </c>
      <c r="R57">
        <v>3014.1412681280003</v>
      </c>
      <c r="S57">
        <v>70099.204005908934</v>
      </c>
    </row>
    <row r="58" spans="1:90" x14ac:dyDescent="0.25">
      <c r="O58">
        <v>600</v>
      </c>
    </row>
    <row r="59" spans="1:90" x14ac:dyDescent="0.25">
      <c r="O59">
        <v>700</v>
      </c>
    </row>
    <row r="60" spans="1:90" x14ac:dyDescent="0.25">
      <c r="A60" t="str">
        <f>'Wetland Design'!BC43</f>
        <v>Geotextile</v>
      </c>
      <c r="O60">
        <v>800</v>
      </c>
    </row>
    <row r="61" spans="1:90" x14ac:dyDescent="0.25">
      <c r="O61">
        <v>1000</v>
      </c>
    </row>
    <row r="62" spans="1:90" x14ac:dyDescent="0.25">
      <c r="A62" t="str">
        <f>'Wetland Design'!BC45</f>
        <v>Total per cell</v>
      </c>
      <c r="B62" t="str">
        <f>'Wetland Design'!BD45</f>
        <v>Overall</v>
      </c>
    </row>
    <row r="63" spans="1:90" x14ac:dyDescent="0.25">
      <c r="A63">
        <f>'Wetland Design'!BC46</f>
        <v>36.599036004625439</v>
      </c>
      <c r="B63">
        <f>'Wetland Design'!BD46</f>
        <v>36.599036004625439</v>
      </c>
    </row>
    <row r="64" spans="1:90" x14ac:dyDescent="0.25">
      <c r="A64">
        <f>'Wetland Design'!BC47</f>
        <v>45.433737235978171</v>
      </c>
      <c r="B64">
        <f>'Wetland Design'!BD47</f>
        <v>45.433737235978171</v>
      </c>
    </row>
    <row r="65" spans="1:2" x14ac:dyDescent="0.25">
      <c r="A65">
        <f>'Wetland Design'!BC48</f>
        <v>76.203050716004697</v>
      </c>
      <c r="B65">
        <f>'Wetland Design'!BD48</f>
        <v>76.203050716004697</v>
      </c>
    </row>
    <row r="66" spans="1:2" x14ac:dyDescent="0.25">
      <c r="A66">
        <f>'Wetland Design'!BC49</f>
        <v>104.55970479604305</v>
      </c>
      <c r="B66">
        <f>'Wetland Design'!BD49</f>
        <v>104.55970479604305</v>
      </c>
    </row>
    <row r="67" spans="1:2" x14ac:dyDescent="0.25">
      <c r="A67">
        <f>'Wetland Design'!BC50</f>
        <v>157.97713819051489</v>
      </c>
      <c r="B67">
        <f>'Wetland Design'!BD50</f>
        <v>157.97713819051489</v>
      </c>
    </row>
    <row r="68" spans="1:2" x14ac:dyDescent="0.25">
      <c r="A68">
        <f>'Wetland Design'!BC51</f>
        <v>136.48799879975994</v>
      </c>
      <c r="B68">
        <f>'Wetland Design'!BD51</f>
        <v>272.97599759951987</v>
      </c>
    </row>
    <row r="69" spans="1:2" x14ac:dyDescent="0.25">
      <c r="A69">
        <f>'Wetland Design'!BC52</f>
        <v>171.2681745103767</v>
      </c>
      <c r="B69">
        <f>'Wetland Design'!BD52</f>
        <v>342.53634902075339</v>
      </c>
    </row>
    <row r="70" spans="1:2" x14ac:dyDescent="0.25">
      <c r="A70">
        <f>'Wetland Design'!BC53</f>
        <v>227.68799999999999</v>
      </c>
      <c r="B70">
        <f>'Wetland Design'!BD53</f>
        <v>455.37599999999998</v>
      </c>
    </row>
    <row r="71" spans="1:2" x14ac:dyDescent="0.25">
      <c r="A71">
        <f>'Wetland Design'!BC54</f>
        <v>209.05600000000001</v>
      </c>
      <c r="B71">
        <f>'Wetland Design'!BD54</f>
        <v>627.16800000000001</v>
      </c>
    </row>
    <row r="72" spans="1:2" x14ac:dyDescent="0.25">
      <c r="A72">
        <f>'Wetland Design'!BC55</f>
        <v>227.68799999999999</v>
      </c>
      <c r="B72">
        <f>'Wetland Design'!BD55</f>
        <v>910.75199999999995</v>
      </c>
    </row>
    <row r="73" spans="1:2" x14ac:dyDescent="0.25">
      <c r="A73">
        <f>'Wetland Design'!BC56</f>
        <v>209.05600000000001</v>
      </c>
      <c r="B73">
        <f>'Wetland Design'!BD56</f>
        <v>1254.336</v>
      </c>
    </row>
    <row r="74" spans="1:2" x14ac:dyDescent="0.25">
      <c r="A74">
        <f>'Wetland Design'!BC57</f>
        <v>219.70285714285711</v>
      </c>
      <c r="B74">
        <f>'Wetland Design'!BD57</f>
        <v>1537.9199999999998</v>
      </c>
    </row>
    <row r="75" spans="1:2" x14ac:dyDescent="0.25">
      <c r="A75">
        <f>'Wetland Design'!BC58</f>
        <v>227.68799999999999</v>
      </c>
      <c r="B75">
        <f>'Wetland Design'!BD58</f>
        <v>1821.5039999999999</v>
      </c>
    </row>
    <row r="76" spans="1:2" x14ac:dyDescent="0.25">
      <c r="A76">
        <f>'Wetland Design'!BC59</f>
        <v>216.50879999999998</v>
      </c>
      <c r="B76">
        <f>'Wetland Design'!BD59</f>
        <v>2165.0879999999997</v>
      </c>
    </row>
    <row r="77" spans="1:2" x14ac:dyDescent="0.25">
      <c r="A77">
        <f>'Wetland Design'!BC60</f>
        <v>222.60654545454545</v>
      </c>
      <c r="B77">
        <f>'Wetland Design'!BD60</f>
        <v>2448.672</v>
      </c>
    </row>
    <row r="78" spans="1:2" x14ac:dyDescent="0.25">
      <c r="A78">
        <f>'Wetland Design'!BC61</f>
        <v>219.70285714285711</v>
      </c>
      <c r="B78">
        <f>'Wetland Design'!BD61</f>
        <v>3075.8399999999997</v>
      </c>
    </row>
    <row r="82" spans="1:7" x14ac:dyDescent="0.25">
      <c r="A82" t="s">
        <v>14</v>
      </c>
      <c r="B82" t="s">
        <v>761</v>
      </c>
      <c r="C82" t="s">
        <v>762</v>
      </c>
      <c r="D82" t="s">
        <v>763</v>
      </c>
      <c r="E82" t="s">
        <v>764</v>
      </c>
      <c r="F82" t="s">
        <v>766</v>
      </c>
      <c r="G82" t="s">
        <v>112</v>
      </c>
    </row>
    <row r="83" spans="1:7" x14ac:dyDescent="0.25">
      <c r="A83">
        <v>0.6</v>
      </c>
      <c r="B83">
        <v>11.799999999999999</v>
      </c>
      <c r="C83">
        <v>4</v>
      </c>
      <c r="D83">
        <f>'Wetland Design'!BN110*2</f>
        <v>2</v>
      </c>
      <c r="E83">
        <f>'Wetland Design'!BO110*2</f>
        <v>2</v>
      </c>
      <c r="F83">
        <v>2</v>
      </c>
      <c r="G83">
        <v>5.3999999999999995</v>
      </c>
    </row>
    <row r="84" spans="1:7" x14ac:dyDescent="0.25">
      <c r="A84">
        <v>0.6</v>
      </c>
      <c r="B84">
        <v>16.399999999999999</v>
      </c>
      <c r="C84">
        <v>4</v>
      </c>
      <c r="D84">
        <f>'Wetland Design'!BN111*2</f>
        <v>2</v>
      </c>
      <c r="E84">
        <f>'Wetland Design'!BO111*2</f>
        <v>2</v>
      </c>
      <c r="F84">
        <v>2</v>
      </c>
      <c r="G84">
        <v>5.3999999999999995</v>
      </c>
    </row>
    <row r="85" spans="1:7" x14ac:dyDescent="0.25">
      <c r="A85">
        <v>0.6</v>
      </c>
      <c r="B85">
        <v>22.8</v>
      </c>
      <c r="C85">
        <v>4</v>
      </c>
      <c r="D85">
        <f>'Wetland Design'!BN112*2</f>
        <v>2</v>
      </c>
      <c r="E85">
        <f>'Wetland Design'!BO112*2</f>
        <v>2</v>
      </c>
      <c r="F85">
        <v>2</v>
      </c>
      <c r="G85">
        <v>5.3999999999999995</v>
      </c>
    </row>
    <row r="86" spans="1:7" x14ac:dyDescent="0.25">
      <c r="A86">
        <v>0.6</v>
      </c>
      <c r="B86">
        <v>27.8</v>
      </c>
      <c r="C86">
        <v>4</v>
      </c>
      <c r="D86">
        <f>'Wetland Design'!BN113*2</f>
        <v>2</v>
      </c>
      <c r="E86">
        <f>'Wetland Design'!BO113*2</f>
        <v>2</v>
      </c>
      <c r="F86">
        <v>2</v>
      </c>
      <c r="G86">
        <v>5.3999999999999995</v>
      </c>
    </row>
    <row r="87" spans="1:7" x14ac:dyDescent="0.25">
      <c r="A87">
        <v>0.6</v>
      </c>
      <c r="B87">
        <v>35.6</v>
      </c>
      <c r="C87">
        <v>4</v>
      </c>
      <c r="D87">
        <f>'Wetland Design'!BN114*2</f>
        <v>2</v>
      </c>
      <c r="E87">
        <f>'Wetland Design'!BO114*2</f>
        <v>2</v>
      </c>
      <c r="F87">
        <v>2</v>
      </c>
      <c r="G87">
        <v>5.3999999999999995</v>
      </c>
    </row>
    <row r="88" spans="1:7" x14ac:dyDescent="0.25">
      <c r="A88">
        <v>1.2</v>
      </c>
      <c r="B88">
        <v>65.099999999999994</v>
      </c>
      <c r="C88">
        <v>4</v>
      </c>
      <c r="D88">
        <f>'Wetland Design'!BN115*2</f>
        <v>4</v>
      </c>
      <c r="E88">
        <f>'Wetland Design'!BO115*2</f>
        <v>4</v>
      </c>
      <c r="F88">
        <v>3</v>
      </c>
      <c r="G88">
        <v>10.799999999999999</v>
      </c>
    </row>
    <row r="89" spans="1:7" x14ac:dyDescent="0.25">
      <c r="A89">
        <v>1.2</v>
      </c>
      <c r="B89">
        <v>75</v>
      </c>
      <c r="C89">
        <v>4</v>
      </c>
      <c r="D89">
        <f>'Wetland Design'!BN116*2</f>
        <v>4</v>
      </c>
      <c r="E89">
        <f>'Wetland Design'!BO116*2</f>
        <v>4</v>
      </c>
      <c r="F89">
        <v>3</v>
      </c>
      <c r="G89">
        <v>10.799999999999999</v>
      </c>
    </row>
    <row r="90" spans="1:7" x14ac:dyDescent="0.25">
      <c r="A90">
        <v>1.2</v>
      </c>
      <c r="B90">
        <v>75.599999999999994</v>
      </c>
      <c r="C90">
        <v>4</v>
      </c>
      <c r="D90">
        <f>'Wetland Design'!BN117*2</f>
        <v>4</v>
      </c>
      <c r="E90">
        <f>'Wetland Design'!BO117*2</f>
        <v>4</v>
      </c>
      <c r="F90">
        <v>3</v>
      </c>
      <c r="G90">
        <v>10.799999999999999</v>
      </c>
    </row>
    <row r="91" spans="1:7" x14ac:dyDescent="0.25">
      <c r="A91">
        <v>1.7999999999999998</v>
      </c>
      <c r="B91">
        <v>100.6</v>
      </c>
      <c r="C91">
        <v>4</v>
      </c>
      <c r="D91">
        <f>'Wetland Design'!BN118*2</f>
        <v>6</v>
      </c>
      <c r="E91">
        <f>'Wetland Design'!BO118*2</f>
        <v>4</v>
      </c>
      <c r="F91">
        <v>4</v>
      </c>
      <c r="G91">
        <v>16.2</v>
      </c>
    </row>
    <row r="92" spans="1:7" x14ac:dyDescent="0.25">
      <c r="A92">
        <v>2.4</v>
      </c>
      <c r="B92">
        <v>125.6</v>
      </c>
      <c r="C92">
        <v>4</v>
      </c>
      <c r="D92">
        <f>'Wetland Design'!BN119*2</f>
        <v>8</v>
      </c>
      <c r="E92">
        <f>'Wetland Design'!BO119*2</f>
        <v>4</v>
      </c>
      <c r="F92">
        <v>5</v>
      </c>
      <c r="G92">
        <v>21.599999999999998</v>
      </c>
    </row>
    <row r="93" spans="1:7" x14ac:dyDescent="0.25">
      <c r="A93">
        <v>3.5999999999999996</v>
      </c>
      <c r="B93">
        <v>189.85</v>
      </c>
      <c r="C93">
        <v>4</v>
      </c>
      <c r="D93">
        <f>'Wetland Design'!BN120*2</f>
        <v>14</v>
      </c>
      <c r="E93">
        <f>'Wetland Design'!BO120*2</f>
        <v>8</v>
      </c>
      <c r="F93">
        <v>7</v>
      </c>
      <c r="G93">
        <v>32.4</v>
      </c>
    </row>
    <row r="94" spans="1:7" x14ac:dyDescent="0.25">
      <c r="A94">
        <v>4.2</v>
      </c>
      <c r="B94">
        <v>215.25</v>
      </c>
      <c r="C94">
        <v>4</v>
      </c>
      <c r="D94">
        <f>'Wetland Design'!BN121*2</f>
        <v>16</v>
      </c>
      <c r="E94">
        <f>'Wetland Design'!BO121*2</f>
        <v>8</v>
      </c>
      <c r="F94">
        <v>8</v>
      </c>
      <c r="G94">
        <v>37.799999999999997</v>
      </c>
    </row>
    <row r="95" spans="1:7" x14ac:dyDescent="0.25">
      <c r="A95">
        <v>4.8</v>
      </c>
      <c r="B95">
        <v>240.54999999999998</v>
      </c>
      <c r="C95">
        <v>4</v>
      </c>
      <c r="D95">
        <f>'Wetland Design'!BN122*2</f>
        <v>18</v>
      </c>
      <c r="E95">
        <f>'Wetland Design'!BO122*2</f>
        <v>8</v>
      </c>
      <c r="F95">
        <v>9</v>
      </c>
      <c r="G95">
        <v>43.199999999999996</v>
      </c>
    </row>
    <row r="96" spans="1:7" x14ac:dyDescent="0.25">
      <c r="A96">
        <v>6</v>
      </c>
      <c r="B96">
        <v>289.07499999999999</v>
      </c>
      <c r="C96">
        <v>4</v>
      </c>
      <c r="D96">
        <f>'Wetland Design'!BN123*2</f>
        <v>20</v>
      </c>
      <c r="E96">
        <f>'Wetland Design'!BO123*2</f>
        <v>10</v>
      </c>
      <c r="F96">
        <v>11</v>
      </c>
      <c r="G96">
        <v>53.999999999999993</v>
      </c>
    </row>
    <row r="97" spans="1:7" x14ac:dyDescent="0.25">
      <c r="A97">
        <v>6.6</v>
      </c>
      <c r="B97">
        <v>314.47500000000002</v>
      </c>
      <c r="C97">
        <v>4</v>
      </c>
      <c r="D97">
        <f>'Wetland Design'!BN124*2</f>
        <v>22</v>
      </c>
      <c r="E97">
        <f>'Wetland Design'!BO124*2</f>
        <v>10</v>
      </c>
      <c r="F97">
        <v>12</v>
      </c>
      <c r="G97">
        <v>59.399999999999991</v>
      </c>
    </row>
    <row r="98" spans="1:7" x14ac:dyDescent="0.25">
      <c r="A98">
        <v>8.4</v>
      </c>
      <c r="B98">
        <v>347.67500000000001</v>
      </c>
      <c r="C98">
        <v>4</v>
      </c>
      <c r="D98">
        <f>'Wetland Design'!BN125*2</f>
        <v>28</v>
      </c>
      <c r="E98">
        <f>'Wetland Design'!BO125*2</f>
        <v>12</v>
      </c>
      <c r="F98">
        <v>15</v>
      </c>
      <c r="G98">
        <v>75.599999999999994</v>
      </c>
    </row>
    <row r="100" spans="1:7" x14ac:dyDescent="0.25">
      <c r="B100" t="str">
        <f>'Wetland Design'!AM236</f>
        <v>PE</v>
      </c>
      <c r="C100" t="str">
        <f>'Wetland Design'!AO236</f>
        <v>Airpump</v>
      </c>
    </row>
    <row r="101" spans="1:7" x14ac:dyDescent="0.25">
      <c r="B101">
        <f>'Wetland Design'!AM237</f>
        <v>5</v>
      </c>
      <c r="C101" t="str">
        <f>'Wetland Design'!AO237</f>
        <v>Enviro 30</v>
      </c>
    </row>
    <row r="102" spans="1:7" x14ac:dyDescent="0.25">
      <c r="B102">
        <f>'Wetland Design'!AM238</f>
        <v>10</v>
      </c>
      <c r="C102" t="str">
        <f>'Wetland Design'!AO238</f>
        <v>Enviro 60</v>
      </c>
    </row>
    <row r="103" spans="1:7" x14ac:dyDescent="0.25">
      <c r="B103">
        <f>'Wetland Design'!AM239</f>
        <v>20</v>
      </c>
      <c r="C103" t="str">
        <f>'Wetland Design'!AO239</f>
        <v>HaileaVB-390G</v>
      </c>
    </row>
    <row r="104" spans="1:7" x14ac:dyDescent="0.25">
      <c r="B104">
        <f>'Wetland Design'!AM240</f>
        <v>30</v>
      </c>
      <c r="C104" t="str">
        <f>'Wetland Design'!AO240</f>
        <v>HaileaVB-390G</v>
      </c>
    </row>
    <row r="105" spans="1:7" x14ac:dyDescent="0.25">
      <c r="B105">
        <f>'Wetland Design'!AM241</f>
        <v>50</v>
      </c>
      <c r="C105" t="str">
        <f>'Wetland Design'!AO241</f>
        <v>HaileaVB-390G</v>
      </c>
    </row>
    <row r="106" spans="1:7" x14ac:dyDescent="0.25">
      <c r="B106">
        <f>'Wetland Design'!AM242</f>
        <v>75</v>
      </c>
      <c r="C106" t="str">
        <f>'Wetland Design'!AO242</f>
        <v>HaileaVB-390G</v>
      </c>
    </row>
    <row r="107" spans="1:7" x14ac:dyDescent="0.25">
      <c r="B107">
        <f>'Wetland Design'!AM243</f>
        <v>100</v>
      </c>
      <c r="C107" t="str">
        <f>'Wetland Design'!AO243</f>
        <v>HaileaVB-390G</v>
      </c>
    </row>
    <row r="108" spans="1:7" x14ac:dyDescent="0.25">
      <c r="B108">
        <f>'Wetland Design'!AM244</f>
        <v>150</v>
      </c>
      <c r="C108" t="str">
        <f>'Wetland Design'!AO244</f>
        <v>HaileaVB-800G</v>
      </c>
    </row>
    <row r="109" spans="1:7" x14ac:dyDescent="0.25">
      <c r="B109">
        <f>'Wetland Design'!AM245</f>
        <v>200</v>
      </c>
      <c r="C109" t="str">
        <f>'Wetland Design'!AO245</f>
        <v>HaileaVB-800G</v>
      </c>
    </row>
    <row r="110" spans="1:7" x14ac:dyDescent="0.25">
      <c r="B110">
        <f>'Wetland Design'!AM246</f>
        <v>300</v>
      </c>
      <c r="C110" t="str">
        <f>'Wetland Design'!AO246</f>
        <v>HaileaVB-2200G</v>
      </c>
    </row>
    <row r="111" spans="1:7" x14ac:dyDescent="0.25">
      <c r="B111">
        <f>'Wetland Design'!AM247</f>
        <v>400</v>
      </c>
      <c r="C111" t="str">
        <f>'Wetland Design'!AO247</f>
        <v>HaileaVB-2200G</v>
      </c>
    </row>
    <row r="112" spans="1:7" x14ac:dyDescent="0.25">
      <c r="B112">
        <f>'Wetland Design'!AM248</f>
        <v>500</v>
      </c>
      <c r="C112" t="str">
        <f>'Wetland Design'!AO248</f>
        <v>HaileaVB-2200G</v>
      </c>
    </row>
    <row r="113" spans="2:2" x14ac:dyDescent="0.25">
      <c r="B113">
        <f>'Wetland Design'!AM249</f>
        <v>600</v>
      </c>
    </row>
    <row r="114" spans="2:2" x14ac:dyDescent="0.25">
      <c r="B114">
        <f>'Wetland Design'!AM250</f>
        <v>800</v>
      </c>
    </row>
    <row r="115" spans="2:2" x14ac:dyDescent="0.25">
      <c r="B115">
        <f>'Wetland Design'!AM251</f>
        <v>1000</v>
      </c>
    </row>
    <row r="119" spans="2:2" x14ac:dyDescent="0.25">
      <c r="B119" t="s">
        <v>845</v>
      </c>
    </row>
    <row r="120" spans="2:2" x14ac:dyDescent="0.25">
      <c r="B120">
        <v>49.2</v>
      </c>
    </row>
    <row r="121" spans="2:2" x14ac:dyDescent="0.25">
      <c r="B121">
        <v>68.8</v>
      </c>
    </row>
    <row r="122" spans="2:2" x14ac:dyDescent="0.25">
      <c r="B122">
        <v>96.2</v>
      </c>
    </row>
    <row r="123" spans="2:2" x14ac:dyDescent="0.25">
      <c r="B123">
        <v>118.2</v>
      </c>
    </row>
    <row r="124" spans="2:2" x14ac:dyDescent="0.25">
      <c r="B124">
        <v>152</v>
      </c>
    </row>
    <row r="125" spans="2:2" x14ac:dyDescent="0.25">
      <c r="B125">
        <v>395.5</v>
      </c>
    </row>
    <row r="126" spans="2:2" x14ac:dyDescent="0.25">
      <c r="B126">
        <v>456</v>
      </c>
    </row>
    <row r="127" spans="2:2" x14ac:dyDescent="0.25">
      <c r="B127">
        <v>459</v>
      </c>
    </row>
    <row r="128" spans="2:2" x14ac:dyDescent="0.25">
      <c r="B128">
        <v>701</v>
      </c>
    </row>
    <row r="129" spans="1:174" x14ac:dyDescent="0.25">
      <c r="B129">
        <v>943</v>
      </c>
    </row>
    <row r="130" spans="1:174" x14ac:dyDescent="0.25">
      <c r="B130">
        <v>1441.25</v>
      </c>
    </row>
    <row r="131" spans="1:174" x14ac:dyDescent="0.25">
      <c r="B131">
        <v>1683.65</v>
      </c>
    </row>
    <row r="132" spans="1:174" x14ac:dyDescent="0.25">
      <c r="B132">
        <v>1925.95</v>
      </c>
    </row>
    <row r="133" spans="1:174" x14ac:dyDescent="0.25">
      <c r="B133">
        <v>2408.4749999999999</v>
      </c>
    </row>
    <row r="134" spans="1:174" x14ac:dyDescent="0.25">
      <c r="B134">
        <v>2650.875</v>
      </c>
    </row>
    <row r="135" spans="1:174" x14ac:dyDescent="0.25">
      <c r="B135">
        <v>3335.0749999999998</v>
      </c>
    </row>
    <row r="137" spans="1:174" ht="15.75" thickBot="1" x14ac:dyDescent="0.3"/>
    <row r="138" spans="1:174" s="88" customFormat="1" ht="15.75" thickBot="1" x14ac:dyDescent="0.3">
      <c r="A138" s="149" t="s">
        <v>463</v>
      </c>
      <c r="B138" s="138"/>
      <c r="C138" s="138"/>
      <c r="D138" s="138"/>
      <c r="E138" s="138"/>
      <c r="F138" s="138"/>
      <c r="G138" s="138"/>
      <c r="H138" s="139"/>
      <c r="T138" s="90"/>
      <c r="AE138" s="90"/>
      <c r="AP138" s="90"/>
      <c r="BA138" s="90"/>
      <c r="BL138" s="90"/>
      <c r="BW138" s="90"/>
      <c r="CH138" s="90"/>
      <c r="CS138" s="90"/>
      <c r="DD138" s="90"/>
      <c r="DO138" s="90"/>
      <c r="DZ138" s="90"/>
      <c r="EK138" s="90"/>
      <c r="EV138" s="90"/>
      <c r="FG138" s="90"/>
      <c r="FR138" s="90"/>
    </row>
    <row r="140" spans="1:174" x14ac:dyDescent="0.25">
      <c r="J140" s="10" t="s">
        <v>944</v>
      </c>
      <c r="V140" s="10" t="s">
        <v>944</v>
      </c>
      <c r="AG140" s="10" t="s">
        <v>944</v>
      </c>
      <c r="AR140" s="10" t="s">
        <v>944</v>
      </c>
      <c r="BC140" s="10" t="s">
        <v>944</v>
      </c>
      <c r="BN140" s="10" t="s">
        <v>944</v>
      </c>
      <c r="BY140" s="10" t="s">
        <v>944</v>
      </c>
      <c r="CJ140" s="10" t="s">
        <v>944</v>
      </c>
      <c r="CU140" s="10" t="s">
        <v>944</v>
      </c>
      <c r="DF140" s="10" t="s">
        <v>944</v>
      </c>
      <c r="DQ140" s="10" t="s">
        <v>944</v>
      </c>
      <c r="EB140" s="10" t="s">
        <v>944</v>
      </c>
      <c r="EM140" s="10" t="s">
        <v>944</v>
      </c>
      <c r="EX140" s="10" t="s">
        <v>944</v>
      </c>
      <c r="FI140" s="10" t="s">
        <v>944</v>
      </c>
    </row>
    <row r="141" spans="1:174" x14ac:dyDescent="0.25">
      <c r="B141" t="s">
        <v>944</v>
      </c>
      <c r="J141" t="s">
        <v>80</v>
      </c>
      <c r="M141" t="s">
        <v>326</v>
      </c>
      <c r="V141" t="s">
        <v>80</v>
      </c>
      <c r="Y141" t="s">
        <v>326</v>
      </c>
      <c r="AG141" t="s">
        <v>80</v>
      </c>
      <c r="AJ141" t="s">
        <v>326</v>
      </c>
      <c r="AR141" t="s">
        <v>80</v>
      </c>
      <c r="AU141" t="s">
        <v>326</v>
      </c>
      <c r="BC141" t="s">
        <v>80</v>
      </c>
      <c r="BF141" t="s">
        <v>326</v>
      </c>
      <c r="BN141" t="s">
        <v>80</v>
      </c>
      <c r="BQ141" t="s">
        <v>326</v>
      </c>
      <c r="BY141" t="s">
        <v>80</v>
      </c>
      <c r="CB141" t="s">
        <v>326</v>
      </c>
      <c r="CJ141" t="s">
        <v>80</v>
      </c>
      <c r="CM141" t="s">
        <v>326</v>
      </c>
      <c r="CU141" t="s">
        <v>80</v>
      </c>
      <c r="CX141" t="s">
        <v>326</v>
      </c>
      <c r="DF141" t="s">
        <v>80</v>
      </c>
      <c r="DI141" t="s">
        <v>326</v>
      </c>
      <c r="DQ141" t="s">
        <v>80</v>
      </c>
      <c r="DT141" t="s">
        <v>326</v>
      </c>
      <c r="EB141" t="s">
        <v>80</v>
      </c>
      <c r="EE141" t="s">
        <v>326</v>
      </c>
      <c r="EM141" t="s">
        <v>80</v>
      </c>
      <c r="EP141" t="s">
        <v>326</v>
      </c>
      <c r="EX141" t="s">
        <v>80</v>
      </c>
      <c r="FA141" t="s">
        <v>326</v>
      </c>
      <c r="FI141" t="s">
        <v>80</v>
      </c>
      <c r="FL141" t="s">
        <v>326</v>
      </c>
    </row>
    <row r="142" spans="1:174" x14ac:dyDescent="0.25">
      <c r="B142" t="s">
        <v>951</v>
      </c>
      <c r="J142" t="s">
        <v>988</v>
      </c>
      <c r="K142">
        <f>N40</f>
        <v>1497.9126889824477</v>
      </c>
      <c r="M142">
        <f>K142*0.62</f>
        <v>928.7058671691176</v>
      </c>
      <c r="V142" t="s">
        <v>988</v>
      </c>
      <c r="W142">
        <f>Z40</f>
        <v>2233.9076394376484</v>
      </c>
      <c r="Y142">
        <f>W142*0.62</f>
        <v>1385.0227364513421</v>
      </c>
      <c r="AG142" t="s">
        <v>988</v>
      </c>
      <c r="AH142">
        <f>AK40</f>
        <v>3677.5186195644719</v>
      </c>
      <c r="AJ142">
        <f>AH142*0.62</f>
        <v>2280.0615441299724</v>
      </c>
      <c r="AR142" t="s">
        <v>988</v>
      </c>
      <c r="AS142">
        <f>AV40</f>
        <v>4961.1281663039508</v>
      </c>
      <c r="AU142">
        <f>AS142*0.62</f>
        <v>3075.8994631084497</v>
      </c>
      <c r="BC142" t="s">
        <v>988</v>
      </c>
      <c r="BD142">
        <f>BG40</f>
        <v>7354.7737600718156</v>
      </c>
      <c r="BF142">
        <f>BD142*0.62</f>
        <v>4559.9597312445258</v>
      </c>
      <c r="BN142" t="s">
        <v>988</v>
      </c>
      <c r="BO142">
        <f>BR40</f>
        <v>12600.760636013538</v>
      </c>
      <c r="BQ142">
        <f>BO142*0.62</f>
        <v>7812.4715943283936</v>
      </c>
      <c r="BY142" t="s">
        <v>988</v>
      </c>
      <c r="BZ142">
        <f>CC40</f>
        <v>15820.197359661826</v>
      </c>
      <c r="CB142">
        <f>BZ142*0.62</f>
        <v>9808.5223629903321</v>
      </c>
      <c r="CJ142" t="s">
        <v>988</v>
      </c>
      <c r="CK142">
        <f>CN40</f>
        <v>20926.619010306003</v>
      </c>
      <c r="CM142">
        <f>CK142*0.62</f>
        <v>12974.503786389721</v>
      </c>
      <c r="CU142" t="s">
        <v>988</v>
      </c>
      <c r="CV142">
        <f>CY40</f>
        <v>28556.630030461383</v>
      </c>
      <c r="CX142">
        <f>CV142*0.62</f>
        <v>17705.110618886058</v>
      </c>
      <c r="DF142" t="s">
        <v>988</v>
      </c>
      <c r="DG142">
        <f>DJ40</f>
        <v>41378.118820612006</v>
      </c>
      <c r="DI142">
        <f>DG142*0.62</f>
        <v>25654.433668779442</v>
      </c>
      <c r="DQ142" t="s">
        <v>988</v>
      </c>
      <c r="DR142">
        <f>DU40</f>
        <v>56859.596860922771</v>
      </c>
      <c r="DT142">
        <f>DR142*0.62</f>
        <v>35252.950053772118</v>
      </c>
      <c r="EB142" t="s">
        <v>988</v>
      </c>
      <c r="EC142">
        <f>EF40</f>
        <v>69556.228451073388</v>
      </c>
      <c r="EE142">
        <f>EC142*0.62</f>
        <v>43124.861639665498</v>
      </c>
      <c r="EM142" t="s">
        <v>988</v>
      </c>
      <c r="EN142">
        <f>EQ40</f>
        <v>81855.646841224006</v>
      </c>
      <c r="EP142">
        <f>EN142*0.62</f>
        <v>50750.501041558884</v>
      </c>
      <c r="EX142" t="s">
        <v>988</v>
      </c>
      <c r="EY142">
        <f>FB40</f>
        <v>98196.666041744393</v>
      </c>
      <c r="FA142">
        <f>EY142*0.62</f>
        <v>60881.932945881526</v>
      </c>
      <c r="FI142" t="s">
        <v>988</v>
      </c>
      <c r="FJ142">
        <f>FM40</f>
        <v>110589.55609158058</v>
      </c>
      <c r="FL142">
        <f>FJ142*0.62</f>
        <v>68565.524776779959</v>
      </c>
    </row>
    <row r="143" spans="1:174" x14ac:dyDescent="0.25">
      <c r="B143" t="s">
        <v>945</v>
      </c>
    </row>
    <row r="145" spans="1:169" x14ac:dyDescent="0.25">
      <c r="J145" t="s">
        <v>940</v>
      </c>
      <c r="K145" t="s">
        <v>2</v>
      </c>
      <c r="L145" t="s">
        <v>81</v>
      </c>
      <c r="M145" t="s">
        <v>82</v>
      </c>
      <c r="N145" t="s">
        <v>59</v>
      </c>
      <c r="V145" t="s">
        <v>940</v>
      </c>
      <c r="W145" t="s">
        <v>2</v>
      </c>
      <c r="X145" t="s">
        <v>81</v>
      </c>
      <c r="Y145" t="s">
        <v>82</v>
      </c>
      <c r="Z145" t="s">
        <v>59</v>
      </c>
      <c r="AG145" t="s">
        <v>940</v>
      </c>
      <c r="AH145" t="s">
        <v>2</v>
      </c>
      <c r="AI145" t="s">
        <v>81</v>
      </c>
      <c r="AJ145" t="s">
        <v>82</v>
      </c>
      <c r="AK145" t="s">
        <v>59</v>
      </c>
      <c r="AR145" t="s">
        <v>940</v>
      </c>
      <c r="AS145" t="s">
        <v>2</v>
      </c>
      <c r="AT145" t="s">
        <v>81</v>
      </c>
      <c r="AU145" t="s">
        <v>82</v>
      </c>
      <c r="AV145" t="s">
        <v>59</v>
      </c>
      <c r="BC145" t="s">
        <v>940</v>
      </c>
      <c r="BD145" t="s">
        <v>2</v>
      </c>
      <c r="BE145" t="s">
        <v>81</v>
      </c>
      <c r="BF145" t="s">
        <v>82</v>
      </c>
      <c r="BG145" t="s">
        <v>59</v>
      </c>
      <c r="BN145" t="s">
        <v>940</v>
      </c>
      <c r="BO145" t="s">
        <v>2</v>
      </c>
      <c r="BP145" t="s">
        <v>81</v>
      </c>
      <c r="BQ145" t="s">
        <v>82</v>
      </c>
      <c r="BR145" t="s">
        <v>59</v>
      </c>
      <c r="BY145" t="s">
        <v>940</v>
      </c>
      <c r="BZ145" t="s">
        <v>2</v>
      </c>
      <c r="CA145" t="s">
        <v>81</v>
      </c>
      <c r="CB145" t="s">
        <v>82</v>
      </c>
      <c r="CC145" t="s">
        <v>59</v>
      </c>
      <c r="CJ145" t="s">
        <v>940</v>
      </c>
      <c r="CK145" t="s">
        <v>2</v>
      </c>
      <c r="CL145" t="s">
        <v>81</v>
      </c>
      <c r="CM145" t="s">
        <v>82</v>
      </c>
      <c r="CN145" t="s">
        <v>59</v>
      </c>
      <c r="CU145" t="s">
        <v>940</v>
      </c>
      <c r="CV145" t="s">
        <v>2</v>
      </c>
      <c r="CW145" t="s">
        <v>81</v>
      </c>
      <c r="CX145" t="s">
        <v>82</v>
      </c>
      <c r="CY145" t="s">
        <v>59</v>
      </c>
      <c r="DF145" t="s">
        <v>940</v>
      </c>
      <c r="DG145" t="s">
        <v>2</v>
      </c>
      <c r="DH145" t="s">
        <v>81</v>
      </c>
      <c r="DI145" t="s">
        <v>82</v>
      </c>
      <c r="DJ145" t="s">
        <v>59</v>
      </c>
      <c r="DQ145" t="s">
        <v>940</v>
      </c>
      <c r="DR145" t="s">
        <v>2</v>
      </c>
      <c r="DS145" t="s">
        <v>81</v>
      </c>
      <c r="DT145" t="s">
        <v>82</v>
      </c>
      <c r="DU145" t="s">
        <v>59</v>
      </c>
      <c r="EB145" t="s">
        <v>940</v>
      </c>
      <c r="EC145" t="s">
        <v>2</v>
      </c>
      <c r="ED145" t="s">
        <v>81</v>
      </c>
      <c r="EE145" t="s">
        <v>82</v>
      </c>
      <c r="EF145" t="s">
        <v>59</v>
      </c>
      <c r="EM145" t="s">
        <v>940</v>
      </c>
      <c r="EN145" t="s">
        <v>2</v>
      </c>
      <c r="EO145" t="s">
        <v>81</v>
      </c>
      <c r="EP145" t="s">
        <v>82</v>
      </c>
      <c r="EQ145" t="s">
        <v>59</v>
      </c>
      <c r="EX145" t="s">
        <v>940</v>
      </c>
      <c r="EY145" t="s">
        <v>2</v>
      </c>
      <c r="EZ145" t="s">
        <v>81</v>
      </c>
      <c r="FA145" t="s">
        <v>82</v>
      </c>
      <c r="FB145" t="s">
        <v>59</v>
      </c>
      <c r="FI145" t="s">
        <v>940</v>
      </c>
      <c r="FJ145" t="s">
        <v>2</v>
      </c>
      <c r="FK145" t="s">
        <v>81</v>
      </c>
      <c r="FL145" t="s">
        <v>82</v>
      </c>
      <c r="FM145" t="s">
        <v>59</v>
      </c>
    </row>
    <row r="146" spans="1:169" x14ac:dyDescent="0.25">
      <c r="B146" t="s">
        <v>956</v>
      </c>
      <c r="J146" t="s">
        <v>975</v>
      </c>
      <c r="K146">
        <v>12</v>
      </c>
      <c r="L146">
        <f>$E$165</f>
        <v>35.125005520162802</v>
      </c>
      <c r="M146">
        <f>L146</f>
        <v>35.125005520162802</v>
      </c>
      <c r="N146">
        <f>K146*M146</f>
        <v>421.50006624195362</v>
      </c>
      <c r="V146" t="s">
        <v>975</v>
      </c>
      <c r="W146">
        <v>12</v>
      </c>
      <c r="X146">
        <f>$E$165</f>
        <v>35.125005520162802</v>
      </c>
      <c r="Y146">
        <f>X146</f>
        <v>35.125005520162802</v>
      </c>
      <c r="Z146">
        <f>W146*Y146</f>
        <v>421.50006624195362</v>
      </c>
      <c r="AG146" t="s">
        <v>975</v>
      </c>
      <c r="AH146">
        <v>12</v>
      </c>
      <c r="AI146">
        <f>$E$165</f>
        <v>35.125005520162802</v>
      </c>
      <c r="AJ146">
        <f>AI146</f>
        <v>35.125005520162802</v>
      </c>
      <c r="AK146">
        <f>AH146*AJ146</f>
        <v>421.50006624195362</v>
      </c>
      <c r="AR146" t="s">
        <v>975</v>
      </c>
      <c r="AS146">
        <v>12</v>
      </c>
      <c r="AT146">
        <f>$E$165</f>
        <v>35.125005520162802</v>
      </c>
      <c r="AU146">
        <f>AT146</f>
        <v>35.125005520162802</v>
      </c>
      <c r="AV146">
        <f>AS146*AU146</f>
        <v>421.50006624195362</v>
      </c>
      <c r="BC146" t="s">
        <v>975</v>
      </c>
      <c r="BD146">
        <v>12</v>
      </c>
      <c r="BE146">
        <f>$E$165</f>
        <v>35.125005520162802</v>
      </c>
      <c r="BF146">
        <f>BE146</f>
        <v>35.125005520162802</v>
      </c>
      <c r="BG146">
        <f>BD146*BF146</f>
        <v>421.50006624195362</v>
      </c>
      <c r="BN146" t="s">
        <v>975</v>
      </c>
      <c r="BO146">
        <v>12</v>
      </c>
      <c r="BP146">
        <f>$E$165</f>
        <v>35.125005520162802</v>
      </c>
      <c r="BQ146">
        <f>BP146</f>
        <v>35.125005520162802</v>
      </c>
      <c r="BR146">
        <f>BO146*BQ146</f>
        <v>421.50006624195362</v>
      </c>
      <c r="BY146" t="s">
        <v>975</v>
      </c>
      <c r="BZ146">
        <v>12</v>
      </c>
      <c r="CA146">
        <f>$E$165</f>
        <v>35.125005520162802</v>
      </c>
      <c r="CB146">
        <f>CA146</f>
        <v>35.125005520162802</v>
      </c>
      <c r="CC146">
        <f>BZ146*CB146</f>
        <v>421.50006624195362</v>
      </c>
      <c r="CJ146" t="s">
        <v>975</v>
      </c>
      <c r="CK146">
        <v>12</v>
      </c>
      <c r="CL146">
        <f>$E$165</f>
        <v>35.125005520162802</v>
      </c>
      <c r="CM146">
        <f>CL146</f>
        <v>35.125005520162802</v>
      </c>
      <c r="CN146">
        <f>CK146*CM146</f>
        <v>421.50006624195362</v>
      </c>
      <c r="CU146" t="s">
        <v>975</v>
      </c>
      <c r="CV146">
        <v>12</v>
      </c>
      <c r="CW146">
        <f>$E$165</f>
        <v>35.125005520162802</v>
      </c>
      <c r="CX146">
        <f>CW146</f>
        <v>35.125005520162802</v>
      </c>
      <c r="CY146">
        <f>CV146*CX146</f>
        <v>421.50006624195362</v>
      </c>
      <c r="DF146" t="s">
        <v>975</v>
      </c>
      <c r="DG146">
        <v>12</v>
      </c>
      <c r="DH146">
        <f>$E$165</f>
        <v>35.125005520162802</v>
      </c>
      <c r="DI146">
        <f>DH146</f>
        <v>35.125005520162802</v>
      </c>
      <c r="DJ146">
        <f>DG146*DI146</f>
        <v>421.50006624195362</v>
      </c>
      <c r="DQ146" t="s">
        <v>975</v>
      </c>
      <c r="DR146">
        <v>12</v>
      </c>
      <c r="DS146">
        <f>$E$165</f>
        <v>35.125005520162802</v>
      </c>
      <c r="DT146">
        <f>DS146</f>
        <v>35.125005520162802</v>
      </c>
      <c r="DU146">
        <f>DR146*DT146</f>
        <v>421.50006624195362</v>
      </c>
      <c r="EB146" t="s">
        <v>975</v>
      </c>
      <c r="EC146">
        <v>12</v>
      </c>
      <c r="ED146">
        <f>$E$165</f>
        <v>35.125005520162802</v>
      </c>
      <c r="EE146">
        <f>ED146</f>
        <v>35.125005520162802</v>
      </c>
      <c r="EF146">
        <f>EC146*EE146</f>
        <v>421.50006624195362</v>
      </c>
      <c r="EM146" t="s">
        <v>975</v>
      </c>
      <c r="EN146">
        <v>12</v>
      </c>
      <c r="EO146">
        <f>$E$165</f>
        <v>35.125005520162802</v>
      </c>
      <c r="EP146">
        <f>EO146</f>
        <v>35.125005520162802</v>
      </c>
      <c r="EQ146">
        <f>EN146*EP146</f>
        <v>421.50006624195362</v>
      </c>
      <c r="EX146" t="s">
        <v>975</v>
      </c>
      <c r="EY146">
        <v>12</v>
      </c>
      <c r="EZ146">
        <f>$E$165</f>
        <v>35.125005520162802</v>
      </c>
      <c r="FA146">
        <f>EZ146</f>
        <v>35.125005520162802</v>
      </c>
      <c r="FB146">
        <f>EY146*FA146</f>
        <v>421.50006624195362</v>
      </c>
      <c r="FI146" t="s">
        <v>975</v>
      </c>
      <c r="FJ146">
        <v>12</v>
      </c>
      <c r="FK146">
        <f>$E$165</f>
        <v>35.125005520162802</v>
      </c>
      <c r="FL146">
        <f>FK146</f>
        <v>35.125005520162802</v>
      </c>
      <c r="FM146">
        <f>FJ146*FL146</f>
        <v>421.50006624195362</v>
      </c>
    </row>
    <row r="147" spans="1:169" x14ac:dyDescent="0.25">
      <c r="J147" t="s">
        <v>976</v>
      </c>
      <c r="K147">
        <v>1</v>
      </c>
      <c r="L147">
        <f>$E$166</f>
        <v>35.125005520162802</v>
      </c>
      <c r="M147">
        <f>L147</f>
        <v>35.125005520162802</v>
      </c>
      <c r="N147">
        <f>K147*M147</f>
        <v>35.125005520162802</v>
      </c>
      <c r="V147" t="s">
        <v>976</v>
      </c>
      <c r="W147">
        <v>1</v>
      </c>
      <c r="X147">
        <f>$E$166</f>
        <v>35.125005520162802</v>
      </c>
      <c r="Y147">
        <f>X147</f>
        <v>35.125005520162802</v>
      </c>
      <c r="Z147">
        <f>W147*Y147</f>
        <v>35.125005520162802</v>
      </c>
      <c r="AG147" t="s">
        <v>976</v>
      </c>
      <c r="AH147">
        <v>1</v>
      </c>
      <c r="AI147">
        <f>$E$166</f>
        <v>35.125005520162802</v>
      </c>
      <c r="AJ147">
        <f>AI147</f>
        <v>35.125005520162802</v>
      </c>
      <c r="AK147">
        <f>AH147*AJ147</f>
        <v>35.125005520162802</v>
      </c>
      <c r="AR147" t="s">
        <v>976</v>
      </c>
      <c r="AS147">
        <v>1</v>
      </c>
      <c r="AT147">
        <f>$E$166</f>
        <v>35.125005520162802</v>
      </c>
      <c r="AU147">
        <f>AT147</f>
        <v>35.125005520162802</v>
      </c>
      <c r="AV147">
        <f>AS147*AU147</f>
        <v>35.125005520162802</v>
      </c>
      <c r="BC147" t="s">
        <v>976</v>
      </c>
      <c r="BD147">
        <v>1</v>
      </c>
      <c r="BE147">
        <f>$E$166</f>
        <v>35.125005520162802</v>
      </c>
      <c r="BF147">
        <f>BE147</f>
        <v>35.125005520162802</v>
      </c>
      <c r="BG147">
        <f>BD147*BF147</f>
        <v>35.125005520162802</v>
      </c>
      <c r="BN147" t="s">
        <v>976</v>
      </c>
      <c r="BO147">
        <v>1</v>
      </c>
      <c r="BP147">
        <f>$E$166</f>
        <v>35.125005520162802</v>
      </c>
      <c r="BQ147">
        <f>BP147</f>
        <v>35.125005520162802</v>
      </c>
      <c r="BR147">
        <f>BO147*BQ147</f>
        <v>35.125005520162802</v>
      </c>
      <c r="BY147" t="s">
        <v>976</v>
      </c>
      <c r="BZ147">
        <v>1</v>
      </c>
      <c r="CA147">
        <f>$E$166</f>
        <v>35.125005520162802</v>
      </c>
      <c r="CB147">
        <f>CA147</f>
        <v>35.125005520162802</v>
      </c>
      <c r="CC147">
        <f>BZ147*CB147</f>
        <v>35.125005520162802</v>
      </c>
      <c r="CJ147" t="s">
        <v>976</v>
      </c>
      <c r="CK147">
        <v>1</v>
      </c>
      <c r="CL147">
        <f>$E$166</f>
        <v>35.125005520162802</v>
      </c>
      <c r="CM147">
        <f>CL147</f>
        <v>35.125005520162802</v>
      </c>
      <c r="CN147">
        <f>CK147*CM147</f>
        <v>35.125005520162802</v>
      </c>
      <c r="CU147" t="s">
        <v>976</v>
      </c>
      <c r="CV147">
        <v>1</v>
      </c>
      <c r="CW147">
        <f>$E$166</f>
        <v>35.125005520162802</v>
      </c>
      <c r="CX147">
        <f>CW147</f>
        <v>35.125005520162802</v>
      </c>
      <c r="CY147">
        <f>CV147*CX147</f>
        <v>35.125005520162802</v>
      </c>
      <c r="DF147" t="s">
        <v>976</v>
      </c>
      <c r="DG147">
        <v>1</v>
      </c>
      <c r="DH147">
        <f>$E$166</f>
        <v>35.125005520162802</v>
      </c>
      <c r="DI147">
        <f>DH147</f>
        <v>35.125005520162802</v>
      </c>
      <c r="DJ147">
        <f>DG147*DI147</f>
        <v>35.125005520162802</v>
      </c>
      <c r="DQ147" t="s">
        <v>976</v>
      </c>
      <c r="DR147">
        <v>1</v>
      </c>
      <c r="DS147">
        <f>$E$166</f>
        <v>35.125005520162802</v>
      </c>
      <c r="DT147">
        <f>DS147</f>
        <v>35.125005520162802</v>
      </c>
      <c r="DU147">
        <f>DR147*DT147</f>
        <v>35.125005520162802</v>
      </c>
      <c r="EB147" t="s">
        <v>976</v>
      </c>
      <c r="EC147">
        <v>1</v>
      </c>
      <c r="ED147">
        <f>$E$166</f>
        <v>35.125005520162802</v>
      </c>
      <c r="EE147">
        <f>ED147</f>
        <v>35.125005520162802</v>
      </c>
      <c r="EF147">
        <f>EC147*EE147</f>
        <v>35.125005520162802</v>
      </c>
      <c r="EM147" t="s">
        <v>976</v>
      </c>
      <c r="EN147">
        <v>1</v>
      </c>
      <c r="EO147">
        <f>$E$166</f>
        <v>35.125005520162802</v>
      </c>
      <c r="EP147">
        <f>EO147</f>
        <v>35.125005520162802</v>
      </c>
      <c r="EQ147">
        <f>EN147*EP147</f>
        <v>35.125005520162802</v>
      </c>
      <c r="EX147" t="s">
        <v>976</v>
      </c>
      <c r="EY147">
        <v>1</v>
      </c>
      <c r="EZ147">
        <f>$E$166</f>
        <v>35.125005520162802</v>
      </c>
      <c r="FA147">
        <f>EZ147</f>
        <v>35.125005520162802</v>
      </c>
      <c r="FB147">
        <f>EY147*FA147</f>
        <v>35.125005520162802</v>
      </c>
      <c r="FI147" t="s">
        <v>976</v>
      </c>
      <c r="FJ147">
        <v>1</v>
      </c>
      <c r="FK147">
        <f>$E$166</f>
        <v>35.125005520162802</v>
      </c>
      <c r="FL147">
        <f>FK147</f>
        <v>35.125005520162802</v>
      </c>
      <c r="FM147">
        <f>FJ147*FL147</f>
        <v>35.125005520162802</v>
      </c>
    </row>
    <row r="149" spans="1:169" x14ac:dyDescent="0.25">
      <c r="B149" t="s">
        <v>933</v>
      </c>
      <c r="C149" t="s">
        <v>934</v>
      </c>
      <c r="D149" t="s">
        <v>935</v>
      </c>
      <c r="M149" s="10" t="s">
        <v>125</v>
      </c>
      <c r="N149" s="10">
        <f>N147+N146</f>
        <v>456.62507176211642</v>
      </c>
      <c r="Y149" s="10" t="s">
        <v>125</v>
      </c>
      <c r="Z149" s="10">
        <f>Z147+Z146</f>
        <v>456.62507176211642</v>
      </c>
      <c r="AJ149" s="10" t="s">
        <v>125</v>
      </c>
      <c r="AK149" s="10">
        <f>AK147+AK146</f>
        <v>456.62507176211642</v>
      </c>
      <c r="AU149" s="10" t="s">
        <v>125</v>
      </c>
      <c r="AV149" s="10">
        <f>AV147+AV146</f>
        <v>456.62507176211642</v>
      </c>
      <c r="BF149" s="10" t="s">
        <v>125</v>
      </c>
      <c r="BG149" s="10">
        <f>BG147+BG146</f>
        <v>456.62507176211642</v>
      </c>
      <c r="BQ149" s="10" t="s">
        <v>125</v>
      </c>
      <c r="BR149" s="10">
        <f>BR147+BR146</f>
        <v>456.62507176211642</v>
      </c>
      <c r="CB149" s="10" t="s">
        <v>125</v>
      </c>
      <c r="CC149" s="10">
        <f>CC147+CC146</f>
        <v>456.62507176211642</v>
      </c>
      <c r="CM149" s="10" t="s">
        <v>125</v>
      </c>
      <c r="CN149" s="10">
        <f>CN147+CN146</f>
        <v>456.62507176211642</v>
      </c>
      <c r="CX149" s="10" t="s">
        <v>125</v>
      </c>
      <c r="CY149" s="10">
        <f>CY147+CY146</f>
        <v>456.62507176211642</v>
      </c>
      <c r="DI149" s="10" t="s">
        <v>125</v>
      </c>
      <c r="DJ149" s="10">
        <f>DJ147+DJ146</f>
        <v>456.62507176211642</v>
      </c>
      <c r="DT149" s="10" t="s">
        <v>125</v>
      </c>
      <c r="DU149" s="10">
        <f>DU147+DU146</f>
        <v>456.62507176211642</v>
      </c>
      <c r="EE149" s="10" t="s">
        <v>125</v>
      </c>
      <c r="EF149" s="10">
        <f>EF147+EF146</f>
        <v>456.62507176211642</v>
      </c>
      <c r="EP149" s="10" t="s">
        <v>125</v>
      </c>
      <c r="EQ149" s="10">
        <f>EQ147+EQ146</f>
        <v>456.62507176211642</v>
      </c>
      <c r="FA149" s="10" t="s">
        <v>125</v>
      </c>
      <c r="FB149" s="10">
        <f>FB147+FB146</f>
        <v>456.62507176211642</v>
      </c>
      <c r="FL149" s="10" t="s">
        <v>125</v>
      </c>
      <c r="FM149" s="10">
        <f>FM147+FM146</f>
        <v>456.62507176211642</v>
      </c>
    </row>
    <row r="150" spans="1:169" x14ac:dyDescent="0.25">
      <c r="A150">
        <f t="shared" ref="A150:B161" si="120">B101</f>
        <v>5</v>
      </c>
      <c r="B150" t="str">
        <f t="shared" si="120"/>
        <v>Enviro 30</v>
      </c>
      <c r="C150">
        <f>'Wetland Operation'!S31</f>
        <v>59</v>
      </c>
      <c r="D150">
        <f>'Wetland Operation'!S32</f>
        <v>28.10000441613024</v>
      </c>
    </row>
    <row r="151" spans="1:169" x14ac:dyDescent="0.25">
      <c r="A151">
        <f t="shared" si="120"/>
        <v>10</v>
      </c>
      <c r="B151" t="str">
        <f t="shared" si="120"/>
        <v>Enviro 60</v>
      </c>
      <c r="C151">
        <f t="shared" ref="C151:D151" si="121">C150</f>
        <v>59</v>
      </c>
      <c r="D151">
        <f t="shared" si="121"/>
        <v>28.10000441613024</v>
      </c>
    </row>
    <row r="152" spans="1:169" x14ac:dyDescent="0.25">
      <c r="A152">
        <f t="shared" si="120"/>
        <v>20</v>
      </c>
      <c r="B152" t="str">
        <f t="shared" si="120"/>
        <v>HaileaVB-390G</v>
      </c>
      <c r="C152">
        <f>'Wetland Operation'!AB41</f>
        <v>90.204999999999998</v>
      </c>
      <c r="D152">
        <f>'Wetland Operation'!AB42</f>
        <v>17.562502760081401</v>
      </c>
    </row>
    <row r="153" spans="1:169" x14ac:dyDescent="0.25">
      <c r="A153">
        <f t="shared" si="120"/>
        <v>30</v>
      </c>
      <c r="B153" t="str">
        <f t="shared" si="120"/>
        <v>HaileaVB-390G</v>
      </c>
      <c r="C153">
        <f t="shared" ref="C153:D153" si="122">C152</f>
        <v>90.204999999999998</v>
      </c>
      <c r="D153">
        <f t="shared" si="122"/>
        <v>17.562502760081401</v>
      </c>
      <c r="J153" t="s">
        <v>622</v>
      </c>
      <c r="V153" t="s">
        <v>622</v>
      </c>
      <c r="AG153" t="s">
        <v>622</v>
      </c>
      <c r="AR153" t="s">
        <v>622</v>
      </c>
      <c r="BC153" t="s">
        <v>622</v>
      </c>
      <c r="BN153" t="s">
        <v>622</v>
      </c>
      <c r="BY153" t="s">
        <v>622</v>
      </c>
      <c r="CJ153" t="s">
        <v>622</v>
      </c>
      <c r="CU153" t="s">
        <v>622</v>
      </c>
      <c r="DF153" t="s">
        <v>622</v>
      </c>
      <c r="DQ153" t="s">
        <v>622</v>
      </c>
      <c r="EB153" t="s">
        <v>622</v>
      </c>
      <c r="EM153" t="s">
        <v>622</v>
      </c>
      <c r="EX153" t="s">
        <v>622</v>
      </c>
      <c r="FI153" t="s">
        <v>622</v>
      </c>
    </row>
    <row r="154" spans="1:169" x14ac:dyDescent="0.25">
      <c r="A154">
        <f t="shared" si="120"/>
        <v>50</v>
      </c>
      <c r="B154" t="str">
        <f t="shared" si="120"/>
        <v>HaileaVB-390G</v>
      </c>
      <c r="C154">
        <f t="shared" ref="C154:D154" si="123">C152</f>
        <v>90.204999999999998</v>
      </c>
      <c r="D154">
        <f t="shared" si="123"/>
        <v>17.562502760081401</v>
      </c>
      <c r="K154" t="s">
        <v>2</v>
      </c>
      <c r="L154" t="s">
        <v>81</v>
      </c>
      <c r="M154" t="s">
        <v>82</v>
      </c>
      <c r="N154" t="s">
        <v>59</v>
      </c>
      <c r="W154" t="s">
        <v>2</v>
      </c>
      <c r="X154" t="s">
        <v>81</v>
      </c>
      <c r="Y154" t="s">
        <v>82</v>
      </c>
      <c r="Z154" t="s">
        <v>59</v>
      </c>
      <c r="AH154" t="s">
        <v>2</v>
      </c>
      <c r="AI154" t="s">
        <v>81</v>
      </c>
      <c r="AJ154" t="s">
        <v>82</v>
      </c>
      <c r="AK154" t="s">
        <v>59</v>
      </c>
      <c r="AS154" t="s">
        <v>2</v>
      </c>
      <c r="AT154" t="s">
        <v>81</v>
      </c>
      <c r="AU154" t="s">
        <v>82</v>
      </c>
      <c r="AV154" t="s">
        <v>59</v>
      </c>
      <c r="BD154" t="s">
        <v>2</v>
      </c>
      <c r="BE154" t="s">
        <v>81</v>
      </c>
      <c r="BF154" t="s">
        <v>82</v>
      </c>
      <c r="BG154" t="s">
        <v>59</v>
      </c>
      <c r="BO154" t="s">
        <v>2</v>
      </c>
      <c r="BP154" t="s">
        <v>81</v>
      </c>
      <c r="BQ154" t="s">
        <v>82</v>
      </c>
      <c r="BR154" t="s">
        <v>59</v>
      </c>
      <c r="BZ154" t="s">
        <v>2</v>
      </c>
      <c r="CA154" t="s">
        <v>81</v>
      </c>
      <c r="CB154" t="s">
        <v>82</v>
      </c>
      <c r="CC154" t="s">
        <v>59</v>
      </c>
      <c r="CK154" t="s">
        <v>2</v>
      </c>
      <c r="CL154" t="s">
        <v>81</v>
      </c>
      <c r="CM154" t="s">
        <v>82</v>
      </c>
      <c r="CN154" t="s">
        <v>59</v>
      </c>
      <c r="CV154" t="s">
        <v>2</v>
      </c>
      <c r="CW154" t="s">
        <v>81</v>
      </c>
      <c r="CX154" t="s">
        <v>82</v>
      </c>
      <c r="CY154" t="s">
        <v>59</v>
      </c>
      <c r="DG154" t="s">
        <v>2</v>
      </c>
      <c r="DH154" t="s">
        <v>81</v>
      </c>
      <c r="DI154" t="s">
        <v>82</v>
      </c>
      <c r="DJ154" t="s">
        <v>59</v>
      </c>
      <c r="DR154" t="s">
        <v>2</v>
      </c>
      <c r="DS154" t="s">
        <v>81</v>
      </c>
      <c r="DT154" t="s">
        <v>82</v>
      </c>
      <c r="DU154" t="s">
        <v>59</v>
      </c>
      <c r="EC154" t="s">
        <v>2</v>
      </c>
      <c r="ED154" t="s">
        <v>81</v>
      </c>
      <c r="EE154" t="s">
        <v>82</v>
      </c>
      <c r="EF154" t="s">
        <v>59</v>
      </c>
      <c r="EN154" t="s">
        <v>2</v>
      </c>
      <c r="EO154" t="s">
        <v>81</v>
      </c>
      <c r="EP154" t="s">
        <v>82</v>
      </c>
      <c r="EQ154" t="s">
        <v>59</v>
      </c>
      <c r="EY154" t="s">
        <v>2</v>
      </c>
      <c r="EZ154" t="s">
        <v>81</v>
      </c>
      <c r="FA154" t="s">
        <v>82</v>
      </c>
      <c r="FB154" t="s">
        <v>59</v>
      </c>
      <c r="FJ154" t="s">
        <v>2</v>
      </c>
      <c r="FK154" t="s">
        <v>81</v>
      </c>
      <c r="FL154" t="s">
        <v>82</v>
      </c>
      <c r="FM154" t="s">
        <v>59</v>
      </c>
    </row>
    <row r="155" spans="1:169" x14ac:dyDescent="0.25">
      <c r="A155">
        <f t="shared" si="120"/>
        <v>75</v>
      </c>
      <c r="B155" t="str">
        <f t="shared" si="120"/>
        <v>HaileaVB-390G</v>
      </c>
      <c r="C155">
        <f t="shared" ref="C155:D155" si="124">C152</f>
        <v>90.204999999999998</v>
      </c>
      <c r="D155">
        <f t="shared" si="124"/>
        <v>17.562502760081401</v>
      </c>
      <c r="J155" t="s">
        <v>989</v>
      </c>
      <c r="K155">
        <f>$D$172</f>
        <v>0.26280000000000003</v>
      </c>
      <c r="M155" s="1">
        <f>Index!$C$64</f>
        <v>35.634615384615387</v>
      </c>
      <c r="N155">
        <f>K155*M155</f>
        <v>9.3647769230769242</v>
      </c>
      <c r="V155" t="s">
        <v>989</v>
      </c>
      <c r="W155">
        <f>$D$173</f>
        <v>0.52560000000000007</v>
      </c>
      <c r="Y155" s="1">
        <f>Index!$C$64</f>
        <v>35.634615384615387</v>
      </c>
      <c r="Z155">
        <f>W155*Y155</f>
        <v>18.729553846153848</v>
      </c>
      <c r="AG155" t="s">
        <v>989</v>
      </c>
      <c r="AH155">
        <f>$D$174</f>
        <v>3.2411999999999996</v>
      </c>
      <c r="AJ155" s="1">
        <f>Index!$C$64</f>
        <v>35.634615384615387</v>
      </c>
      <c r="AK155">
        <f>AH155*AJ155</f>
        <v>115.49891538461537</v>
      </c>
      <c r="AR155" t="s">
        <v>989</v>
      </c>
      <c r="AS155">
        <f>$D$175</f>
        <v>3.2411999999999996</v>
      </c>
      <c r="AU155" s="1">
        <f>Index!$C$64</f>
        <v>35.634615384615387</v>
      </c>
      <c r="AV155">
        <f>AS155*AU155</f>
        <v>115.49891538461537</v>
      </c>
      <c r="BC155" t="s">
        <v>989</v>
      </c>
      <c r="BD155">
        <f>$D$176</f>
        <v>3.2411999999999996</v>
      </c>
      <c r="BF155" s="1">
        <f>Index!$C$64</f>
        <v>35.634615384615387</v>
      </c>
      <c r="BG155">
        <f>BD155*BF155</f>
        <v>115.49891538461537</v>
      </c>
      <c r="BN155" t="s">
        <v>989</v>
      </c>
      <c r="BO155">
        <f>$D$177</f>
        <v>3.2411999999999996</v>
      </c>
      <c r="BQ155" s="1">
        <f>Index!$C$64</f>
        <v>35.634615384615387</v>
      </c>
      <c r="BR155">
        <f>BO155*BQ155</f>
        <v>115.49891538461537</v>
      </c>
      <c r="BY155" t="s">
        <v>989</v>
      </c>
      <c r="BZ155">
        <f>$D$178</f>
        <v>3.2411999999999996</v>
      </c>
      <c r="CB155" s="1">
        <f>Index!$C$64</f>
        <v>35.634615384615387</v>
      </c>
      <c r="CC155">
        <f>BZ155*CB155</f>
        <v>115.49891538461537</v>
      </c>
      <c r="CJ155" t="s">
        <v>989</v>
      </c>
      <c r="CK155">
        <f>$D$179</f>
        <v>3.504</v>
      </c>
      <c r="CM155" s="1">
        <f>Index!$C$64</f>
        <v>35.634615384615387</v>
      </c>
      <c r="CN155">
        <f>CK155*CM155</f>
        <v>124.86369230769232</v>
      </c>
      <c r="CU155" t="s">
        <v>989</v>
      </c>
      <c r="CV155">
        <f>$D$180</f>
        <v>3.504</v>
      </c>
      <c r="CX155" s="1">
        <f>Index!$C$64</f>
        <v>35.634615384615387</v>
      </c>
      <c r="CY155">
        <f>CV155*CX155</f>
        <v>124.86369230769232</v>
      </c>
      <c r="DF155" t="s">
        <v>989</v>
      </c>
      <c r="DG155">
        <f>$D$181</f>
        <v>5.2560000000000002</v>
      </c>
      <c r="DI155" s="1">
        <f>Index!$C$64</f>
        <v>35.634615384615387</v>
      </c>
      <c r="DJ155">
        <f>DG155*DI155</f>
        <v>187.29553846153848</v>
      </c>
      <c r="DQ155" t="s">
        <v>989</v>
      </c>
      <c r="DR155">
        <f>$D$182</f>
        <v>5.2560000000000002</v>
      </c>
      <c r="DT155" s="1">
        <f>Index!$C$64</f>
        <v>35.634615384615387</v>
      </c>
      <c r="DU155">
        <f>DR155*DT155</f>
        <v>187.29553846153848</v>
      </c>
      <c r="EB155" t="s">
        <v>989</v>
      </c>
      <c r="EC155">
        <f>$D$183</f>
        <v>5.2560000000000002</v>
      </c>
      <c r="EE155" s="1">
        <f>Index!$C$64</f>
        <v>35.634615384615387</v>
      </c>
      <c r="EF155">
        <f>EC155*EE155</f>
        <v>187.29553846153848</v>
      </c>
      <c r="EM155" t="s">
        <v>989</v>
      </c>
      <c r="EN155">
        <f>$D$183</f>
        <v>5.2560000000000002</v>
      </c>
      <c r="EP155" s="1">
        <f>Index!$C$64</f>
        <v>35.634615384615387</v>
      </c>
      <c r="EQ155">
        <f>EN155*EP155</f>
        <v>187.29553846153848</v>
      </c>
      <c r="EX155" t="s">
        <v>989</v>
      </c>
      <c r="EY155">
        <f>$D$185</f>
        <v>19.271999999999998</v>
      </c>
      <c r="FA155" s="1">
        <f>Index!$C$64</f>
        <v>35.634615384615387</v>
      </c>
      <c r="FB155">
        <f>EY155*FA155</f>
        <v>686.75030769230773</v>
      </c>
      <c r="FI155" t="s">
        <v>989</v>
      </c>
      <c r="FJ155">
        <f>$D$185</f>
        <v>19.271999999999998</v>
      </c>
      <c r="FL155" s="1">
        <f>Index!$C$64</f>
        <v>35.634615384615387</v>
      </c>
      <c r="FM155">
        <f>FJ155*FL155</f>
        <v>686.75030769230773</v>
      </c>
    </row>
    <row r="156" spans="1:169" x14ac:dyDescent="0.25">
      <c r="A156">
        <f t="shared" si="120"/>
        <v>100</v>
      </c>
      <c r="B156" t="str">
        <f t="shared" si="120"/>
        <v>HaileaVB-390G</v>
      </c>
      <c r="C156">
        <f t="shared" ref="C156:D156" si="125">C152</f>
        <v>90.204999999999998</v>
      </c>
      <c r="D156">
        <f t="shared" si="125"/>
        <v>17.562502760081401</v>
      </c>
    </row>
    <row r="157" spans="1:169" x14ac:dyDescent="0.25">
      <c r="A157">
        <f t="shared" si="120"/>
        <v>150</v>
      </c>
      <c r="B157" t="str">
        <f t="shared" si="120"/>
        <v>HaileaVB-800G</v>
      </c>
      <c r="C157">
        <f>'Wetland Operation'!AF41</f>
        <v>133.87</v>
      </c>
      <c r="D157">
        <f>'Wetland Operation'!AF42</f>
        <v>17.562502760081401</v>
      </c>
    </row>
    <row r="158" spans="1:169" x14ac:dyDescent="0.25">
      <c r="A158">
        <f t="shared" si="120"/>
        <v>200</v>
      </c>
      <c r="B158" t="str">
        <f t="shared" si="120"/>
        <v>HaileaVB-800G</v>
      </c>
      <c r="C158">
        <f t="shared" ref="C158:D158" si="126">C157</f>
        <v>133.87</v>
      </c>
      <c r="D158">
        <f t="shared" si="126"/>
        <v>17.562502760081401</v>
      </c>
      <c r="J158" t="s">
        <v>940</v>
      </c>
      <c r="V158" t="s">
        <v>940</v>
      </c>
      <c r="AG158" t="s">
        <v>940</v>
      </c>
      <c r="AR158" t="s">
        <v>940</v>
      </c>
      <c r="BC158" t="s">
        <v>940</v>
      </c>
      <c r="BN158" t="s">
        <v>940</v>
      </c>
      <c r="BY158" t="s">
        <v>940</v>
      </c>
      <c r="CJ158" t="s">
        <v>940</v>
      </c>
      <c r="CU158" t="s">
        <v>940</v>
      </c>
      <c r="DF158" t="s">
        <v>940</v>
      </c>
      <c r="DQ158" t="s">
        <v>940</v>
      </c>
      <c r="EB158" t="s">
        <v>940</v>
      </c>
      <c r="EM158" t="s">
        <v>940</v>
      </c>
      <c r="EX158" t="s">
        <v>940</v>
      </c>
      <c r="FI158" t="s">
        <v>940</v>
      </c>
    </row>
    <row r="159" spans="1:169" x14ac:dyDescent="0.25">
      <c r="A159">
        <f t="shared" si="120"/>
        <v>300</v>
      </c>
      <c r="B159" t="str">
        <f t="shared" si="120"/>
        <v>HaileaVB-2200G</v>
      </c>
      <c r="C159">
        <f>'Wetland Operation'!AJ41</f>
        <v>198.14500000000001</v>
      </c>
      <c r="D159">
        <f>'Wetland Operation'!AJ42</f>
        <v>17.562502760081401</v>
      </c>
      <c r="J159" t="s">
        <v>934</v>
      </c>
      <c r="N159">
        <f>$C$150</f>
        <v>59</v>
      </c>
      <c r="V159" t="s">
        <v>934</v>
      </c>
      <c r="Z159">
        <f>$C$151</f>
        <v>59</v>
      </c>
      <c r="AG159" t="s">
        <v>934</v>
      </c>
      <c r="AK159">
        <f>$C$152</f>
        <v>90.204999999999998</v>
      </c>
      <c r="AR159" t="s">
        <v>934</v>
      </c>
      <c r="AV159">
        <f>$C$153</f>
        <v>90.204999999999998</v>
      </c>
      <c r="BC159" t="s">
        <v>934</v>
      </c>
      <c r="BG159">
        <f>$C$154</f>
        <v>90.204999999999998</v>
      </c>
      <c r="BN159" t="s">
        <v>934</v>
      </c>
      <c r="BR159">
        <f>$C$155</f>
        <v>90.204999999999998</v>
      </c>
      <c r="BY159" t="s">
        <v>934</v>
      </c>
      <c r="CC159">
        <f>$C$156</f>
        <v>90.204999999999998</v>
      </c>
      <c r="CJ159" t="s">
        <v>934</v>
      </c>
      <c r="CN159">
        <f>$C$157</f>
        <v>133.87</v>
      </c>
      <c r="CU159" t="s">
        <v>934</v>
      </c>
      <c r="CY159">
        <f>$C$158</f>
        <v>133.87</v>
      </c>
      <c r="DF159" t="s">
        <v>934</v>
      </c>
      <c r="DJ159">
        <f>$C$159</f>
        <v>198.14500000000001</v>
      </c>
      <c r="DQ159" t="s">
        <v>934</v>
      </c>
      <c r="DU159">
        <f>$C$160</f>
        <v>198.14500000000001</v>
      </c>
      <c r="EB159" t="s">
        <v>934</v>
      </c>
      <c r="EF159">
        <f>$C$161</f>
        <v>198.14500000000001</v>
      </c>
      <c r="EM159" t="s">
        <v>934</v>
      </c>
      <c r="EQ159">
        <f>$C$161</f>
        <v>198.14500000000001</v>
      </c>
      <c r="EX159" t="s">
        <v>934</v>
      </c>
      <c r="FB159">
        <f>$C$161</f>
        <v>198.14500000000001</v>
      </c>
      <c r="FI159" t="s">
        <v>934</v>
      </c>
      <c r="FM159">
        <f>$C$161</f>
        <v>198.14500000000001</v>
      </c>
    </row>
    <row r="160" spans="1:169" x14ac:dyDescent="0.25">
      <c r="A160">
        <f t="shared" si="120"/>
        <v>400</v>
      </c>
      <c r="B160" t="str">
        <f t="shared" si="120"/>
        <v>HaileaVB-2200G</v>
      </c>
      <c r="C160">
        <f t="shared" ref="C160:D160" si="127">C159</f>
        <v>198.14500000000001</v>
      </c>
      <c r="D160">
        <f t="shared" si="127"/>
        <v>17.562502760081401</v>
      </c>
      <c r="J160" t="s">
        <v>935</v>
      </c>
      <c r="N160">
        <f>$D$150</f>
        <v>28.10000441613024</v>
      </c>
      <c r="V160" t="s">
        <v>935</v>
      </c>
      <c r="Z160">
        <f>$D$151</f>
        <v>28.10000441613024</v>
      </c>
      <c r="AG160" t="s">
        <v>935</v>
      </c>
      <c r="AK160">
        <f>$D$152</f>
        <v>17.562502760081401</v>
      </c>
      <c r="AR160" t="s">
        <v>935</v>
      </c>
      <c r="AV160">
        <f>$D$153</f>
        <v>17.562502760081401</v>
      </c>
      <c r="BC160" t="s">
        <v>935</v>
      </c>
      <c r="BG160">
        <f>$D$154</f>
        <v>17.562502760081401</v>
      </c>
      <c r="BN160" t="s">
        <v>935</v>
      </c>
      <c r="BR160">
        <f>$D$155</f>
        <v>17.562502760081401</v>
      </c>
      <c r="BY160" t="s">
        <v>935</v>
      </c>
      <c r="CC160">
        <f>$D$156</f>
        <v>17.562502760081401</v>
      </c>
      <c r="CJ160" t="s">
        <v>935</v>
      </c>
      <c r="CN160">
        <f>$D$157</f>
        <v>17.562502760081401</v>
      </c>
      <c r="CU160" t="s">
        <v>935</v>
      </c>
      <c r="CY160">
        <f>$D$158</f>
        <v>17.562502760081401</v>
      </c>
      <c r="DF160" t="s">
        <v>935</v>
      </c>
      <c r="DJ160">
        <f>$D$159</f>
        <v>17.562502760081401</v>
      </c>
      <c r="DQ160" t="s">
        <v>935</v>
      </c>
      <c r="DU160">
        <f>$D$160</f>
        <v>17.562502760081401</v>
      </c>
      <c r="EB160" t="s">
        <v>935</v>
      </c>
      <c r="EF160">
        <f>$D$161</f>
        <v>17.562502760081401</v>
      </c>
      <c r="EM160" t="s">
        <v>935</v>
      </c>
      <c r="EQ160">
        <f>$D$161</f>
        <v>17.562502760081401</v>
      </c>
      <c r="EX160" t="s">
        <v>935</v>
      </c>
      <c r="FB160">
        <f>$D$161</f>
        <v>17.562502760081401</v>
      </c>
      <c r="FI160" t="s">
        <v>935</v>
      </c>
      <c r="FM160">
        <f>$D$161</f>
        <v>17.562502760081401</v>
      </c>
    </row>
    <row r="161" spans="1:170" x14ac:dyDescent="0.25">
      <c r="A161">
        <f t="shared" si="120"/>
        <v>500</v>
      </c>
      <c r="B161" t="str">
        <f t="shared" si="120"/>
        <v>HaileaVB-2200G</v>
      </c>
      <c r="C161">
        <f t="shared" ref="C161:D161" si="128">C159</f>
        <v>198.14500000000001</v>
      </c>
      <c r="D161">
        <f t="shared" si="128"/>
        <v>17.562502760081401</v>
      </c>
    </row>
    <row r="163" spans="1:170" x14ac:dyDescent="0.25">
      <c r="M163" s="10" t="s">
        <v>125</v>
      </c>
      <c r="N163" s="10">
        <f>SUM(N155:N160)</f>
        <v>96.464781339207178</v>
      </c>
      <c r="Y163" s="10" t="s">
        <v>125</v>
      </c>
      <c r="Z163" s="10">
        <f>SUM(Z155:Z160)</f>
        <v>105.82955826228408</v>
      </c>
      <c r="AJ163" s="10" t="s">
        <v>125</v>
      </c>
      <c r="AK163" s="10">
        <f>SUM(AK155:AK160)</f>
        <v>223.26641814469676</v>
      </c>
      <c r="AU163" s="10" t="s">
        <v>125</v>
      </c>
      <c r="AV163" s="10">
        <f>SUM(AV155:AV160)</f>
        <v>223.26641814469676</v>
      </c>
      <c r="BF163" s="10" t="s">
        <v>125</v>
      </c>
      <c r="BG163" s="10">
        <f>SUM(BG155:BG160)</f>
        <v>223.26641814469676</v>
      </c>
      <c r="BQ163" s="10" t="s">
        <v>125</v>
      </c>
      <c r="BR163" s="10">
        <f>SUM(BR155:BR160)</f>
        <v>223.26641814469676</v>
      </c>
      <c r="CB163" s="10" t="s">
        <v>125</v>
      </c>
      <c r="CC163" s="10">
        <f>SUM(CC155:CC160)</f>
        <v>223.26641814469676</v>
      </c>
      <c r="CM163" s="10" t="s">
        <v>125</v>
      </c>
      <c r="CN163" s="10">
        <f>SUM(CN155:CN160)</f>
        <v>276.29619506777374</v>
      </c>
      <c r="CX163" s="10" t="s">
        <v>125</v>
      </c>
      <c r="CY163" s="10">
        <f>SUM(CY155:CY160)</f>
        <v>276.29619506777374</v>
      </c>
      <c r="DI163" s="10" t="s">
        <v>125</v>
      </c>
      <c r="DJ163" s="10">
        <f>SUM(DJ155:DJ160)</f>
        <v>403.00304122161992</v>
      </c>
      <c r="DT163" s="10" t="s">
        <v>125</v>
      </c>
      <c r="DU163" s="10">
        <f>SUM(DU155:DU160)</f>
        <v>403.00304122161992</v>
      </c>
      <c r="EE163" s="10" t="s">
        <v>125</v>
      </c>
      <c r="EF163" s="10">
        <f>SUM(EF155:EF160)</f>
        <v>403.00304122161992</v>
      </c>
      <c r="EP163" s="10" t="s">
        <v>125</v>
      </c>
      <c r="EQ163" s="10">
        <f>SUM(EQ155:EQ160)</f>
        <v>403.00304122161992</v>
      </c>
      <c r="FA163" s="10" t="s">
        <v>125</v>
      </c>
      <c r="FB163" s="10">
        <f>SUM(FB155:FB160)</f>
        <v>902.45781045238914</v>
      </c>
      <c r="FL163" s="10" t="s">
        <v>125</v>
      </c>
      <c r="FM163" s="10">
        <f>SUM(FM155:FM160)</f>
        <v>902.45781045238914</v>
      </c>
    </row>
    <row r="164" spans="1:170" x14ac:dyDescent="0.25">
      <c r="C164" t="s">
        <v>915</v>
      </c>
      <c r="E164" t="s">
        <v>794</v>
      </c>
      <c r="Z164">
        <f>Z163-Z155</f>
        <v>87.100004416130233</v>
      </c>
      <c r="CC164">
        <f>CC163-CC155</f>
        <v>107.76750276008138</v>
      </c>
      <c r="FM164">
        <f>FM163-FM155</f>
        <v>215.70750276008141</v>
      </c>
    </row>
    <row r="165" spans="1:170" x14ac:dyDescent="0.25">
      <c r="B165" t="s">
        <v>914</v>
      </c>
      <c r="C165" t="s">
        <v>916</v>
      </c>
      <c r="E165">
        <f>Index!$C$90</f>
        <v>35.125005520162802</v>
      </c>
    </row>
    <row r="166" spans="1:170" x14ac:dyDescent="0.25">
      <c r="B166" t="s">
        <v>917</v>
      </c>
      <c r="C166" t="s">
        <v>475</v>
      </c>
      <c r="E166">
        <f>E165</f>
        <v>35.125005520162802</v>
      </c>
      <c r="J166" t="s">
        <v>983</v>
      </c>
      <c r="V166" t="s">
        <v>983</v>
      </c>
      <c r="AG166" t="s">
        <v>983</v>
      </c>
      <c r="AR166" t="s">
        <v>983</v>
      </c>
      <c r="BC166" t="s">
        <v>983</v>
      </c>
      <c r="BN166" t="s">
        <v>983</v>
      </c>
      <c r="BY166" t="s">
        <v>983</v>
      </c>
      <c r="CJ166" t="s">
        <v>983</v>
      </c>
      <c r="CU166" t="s">
        <v>983</v>
      </c>
      <c r="DF166" t="s">
        <v>983</v>
      </c>
      <c r="DQ166" t="s">
        <v>983</v>
      </c>
      <c r="EB166" t="s">
        <v>983</v>
      </c>
      <c r="EM166" t="s">
        <v>983</v>
      </c>
      <c r="EX166" t="s">
        <v>983</v>
      </c>
      <c r="FI166" t="s">
        <v>983</v>
      </c>
    </row>
    <row r="167" spans="1:170" x14ac:dyDescent="0.25">
      <c r="K167" t="s">
        <v>991</v>
      </c>
      <c r="L167" s="10" t="s">
        <v>935</v>
      </c>
      <c r="M167" t="s">
        <v>992</v>
      </c>
      <c r="O167" t="s">
        <v>625</v>
      </c>
      <c r="W167" t="s">
        <v>991</v>
      </c>
      <c r="X167" s="10" t="s">
        <v>935</v>
      </c>
      <c r="Y167" t="s">
        <v>992</v>
      </c>
      <c r="AA167" t="s">
        <v>625</v>
      </c>
      <c r="AH167" t="s">
        <v>991</v>
      </c>
      <c r="AI167" s="10" t="s">
        <v>935</v>
      </c>
      <c r="AJ167" t="s">
        <v>992</v>
      </c>
      <c r="AL167" t="s">
        <v>625</v>
      </c>
      <c r="AS167" t="s">
        <v>991</v>
      </c>
      <c r="AT167" s="10" t="s">
        <v>935</v>
      </c>
      <c r="AU167" t="s">
        <v>992</v>
      </c>
      <c r="AW167" t="s">
        <v>625</v>
      </c>
      <c r="BD167" t="s">
        <v>991</v>
      </c>
      <c r="BE167" s="10" t="s">
        <v>935</v>
      </c>
      <c r="BF167" t="s">
        <v>992</v>
      </c>
      <c r="BH167" t="s">
        <v>625</v>
      </c>
      <c r="BO167" t="s">
        <v>991</v>
      </c>
      <c r="BP167" s="10" t="s">
        <v>935</v>
      </c>
      <c r="BQ167" t="s">
        <v>992</v>
      </c>
      <c r="BS167" t="s">
        <v>625</v>
      </c>
      <c r="BZ167" t="s">
        <v>991</v>
      </c>
      <c r="CA167" s="10" t="s">
        <v>935</v>
      </c>
      <c r="CB167" t="s">
        <v>992</v>
      </c>
      <c r="CD167" t="s">
        <v>625</v>
      </c>
      <c r="CK167" t="s">
        <v>991</v>
      </c>
      <c r="CL167" s="10" t="s">
        <v>935</v>
      </c>
      <c r="CM167" t="s">
        <v>992</v>
      </c>
      <c r="CO167" t="s">
        <v>625</v>
      </c>
      <c r="CV167" t="s">
        <v>991</v>
      </c>
      <c r="CW167" s="10" t="s">
        <v>935</v>
      </c>
      <c r="CX167" t="s">
        <v>992</v>
      </c>
      <c r="CZ167" t="s">
        <v>625</v>
      </c>
      <c r="DG167" t="s">
        <v>991</v>
      </c>
      <c r="DH167" s="10" t="s">
        <v>935</v>
      </c>
      <c r="DI167" t="s">
        <v>992</v>
      </c>
      <c r="DK167" t="s">
        <v>625</v>
      </c>
      <c r="DR167" t="s">
        <v>991</v>
      </c>
      <c r="DS167" s="10" t="s">
        <v>935</v>
      </c>
      <c r="DT167" t="s">
        <v>992</v>
      </c>
      <c r="DV167" t="s">
        <v>625</v>
      </c>
      <c r="EC167" t="s">
        <v>991</v>
      </c>
      <c r="ED167" s="10" t="s">
        <v>935</v>
      </c>
      <c r="EE167" t="s">
        <v>992</v>
      </c>
      <c r="EG167" t="s">
        <v>625</v>
      </c>
      <c r="EN167" t="s">
        <v>991</v>
      </c>
      <c r="EO167" s="10" t="s">
        <v>935</v>
      </c>
      <c r="EP167" t="s">
        <v>992</v>
      </c>
      <c r="ER167" t="s">
        <v>625</v>
      </c>
      <c r="EY167" t="s">
        <v>991</v>
      </c>
      <c r="EZ167" s="10" t="s">
        <v>935</v>
      </c>
      <c r="FA167" t="s">
        <v>992</v>
      </c>
      <c r="FC167" t="s">
        <v>625</v>
      </c>
      <c r="FJ167" t="s">
        <v>991</v>
      </c>
      <c r="FK167" s="10" t="s">
        <v>935</v>
      </c>
      <c r="FL167" t="s">
        <v>992</v>
      </c>
      <c r="FN167" t="s">
        <v>625</v>
      </c>
    </row>
    <row r="168" spans="1:170" x14ac:dyDescent="0.25">
      <c r="J168">
        <v>5</v>
      </c>
      <c r="K168">
        <f>M$142/J168</f>
        <v>185.74117343382352</v>
      </c>
      <c r="L168">
        <f>N$149</f>
        <v>456.62507176211642</v>
      </c>
      <c r="M168">
        <f>N$163</f>
        <v>96.464781339207178</v>
      </c>
      <c r="O168">
        <f>K168+L168+M168</f>
        <v>738.83102653514709</v>
      </c>
      <c r="V168">
        <v>5</v>
      </c>
      <c r="W168">
        <f>Y$142/V168</f>
        <v>277.00454729026842</v>
      </c>
      <c r="X168">
        <f>Z$149</f>
        <v>456.62507176211642</v>
      </c>
      <c r="Y168">
        <f>Z$163</f>
        <v>105.82955826228408</v>
      </c>
      <c r="AA168">
        <f>W168+X168+Y168</f>
        <v>839.45917731466898</v>
      </c>
      <c r="AG168">
        <v>5</v>
      </c>
      <c r="AH168">
        <f>AJ$142/AG168</f>
        <v>456.01230882599447</v>
      </c>
      <c r="AI168">
        <f>AK$149</f>
        <v>456.62507176211642</v>
      </c>
      <c r="AJ168">
        <f>AK$163</f>
        <v>223.26641814469676</v>
      </c>
      <c r="AL168">
        <f>AH168+AI168+AJ168</f>
        <v>1135.9037987328077</v>
      </c>
      <c r="AR168">
        <v>5</v>
      </c>
      <c r="AS168">
        <f>AU$142/AR168</f>
        <v>615.17989262168999</v>
      </c>
      <c r="AT168">
        <f>AV$149</f>
        <v>456.62507176211642</v>
      </c>
      <c r="AU168">
        <f>AV$163</f>
        <v>223.26641814469676</v>
      </c>
      <c r="AW168">
        <f>AS168+AT168+AU168</f>
        <v>1295.0713825285031</v>
      </c>
      <c r="BC168">
        <v>5</v>
      </c>
      <c r="BD168">
        <f>BF$142/BC168</f>
        <v>911.99194624890515</v>
      </c>
      <c r="BE168">
        <f>BG$149</f>
        <v>456.62507176211642</v>
      </c>
      <c r="BF168">
        <f>BG$163</f>
        <v>223.26641814469676</v>
      </c>
      <c r="BH168">
        <f>BD168+BE168+BF168</f>
        <v>1591.8834361557183</v>
      </c>
      <c r="BN168">
        <v>5</v>
      </c>
      <c r="BO168">
        <f>BQ$142/BN168</f>
        <v>1562.4943188656787</v>
      </c>
      <c r="BP168">
        <f>BR$149</f>
        <v>456.62507176211642</v>
      </c>
      <c r="BQ168">
        <f>BR$163</f>
        <v>223.26641814469676</v>
      </c>
      <c r="BS168">
        <f>BO168+BP168+BQ168</f>
        <v>2242.3858087724921</v>
      </c>
      <c r="BY168">
        <v>5</v>
      </c>
      <c r="BZ168">
        <f>CB$142/BY168</f>
        <v>1961.7044725980663</v>
      </c>
      <c r="CA168">
        <f>CC$149</f>
        <v>456.62507176211642</v>
      </c>
      <c r="CB168">
        <f>CC$163</f>
        <v>223.26641814469676</v>
      </c>
      <c r="CD168">
        <f>BZ168+CA168+CB168</f>
        <v>2641.5959625048795</v>
      </c>
      <c r="CJ168">
        <v>5</v>
      </c>
      <c r="CK168">
        <f>CM$142/CJ168</f>
        <v>2594.9007572779442</v>
      </c>
      <c r="CL168">
        <f>CN$149</f>
        <v>456.62507176211642</v>
      </c>
      <c r="CM168">
        <f>CN$163</f>
        <v>276.29619506777374</v>
      </c>
      <c r="CO168">
        <f>CK168+CL168+CM168</f>
        <v>3327.8220241078343</v>
      </c>
      <c r="CU168">
        <v>5</v>
      </c>
      <c r="CV168">
        <f>CX$142/CU168</f>
        <v>3541.0221237772116</v>
      </c>
      <c r="CW168">
        <f>CY$149</f>
        <v>456.62507176211642</v>
      </c>
      <c r="CX168">
        <f>CY$163</f>
        <v>276.29619506777374</v>
      </c>
      <c r="CZ168">
        <f>CV168+CW168+CX168</f>
        <v>4273.9433906071017</v>
      </c>
      <c r="DF168">
        <v>5</v>
      </c>
      <c r="DG168">
        <f>DI$142/DF168</f>
        <v>5130.8867337558886</v>
      </c>
      <c r="DH168">
        <f>DJ$149</f>
        <v>456.62507176211642</v>
      </c>
      <c r="DI168">
        <f>DJ$163</f>
        <v>403.00304122161992</v>
      </c>
      <c r="DK168">
        <f>DG168+DH168+DI168</f>
        <v>5990.5148467396248</v>
      </c>
      <c r="DQ168">
        <v>5</v>
      </c>
      <c r="DR168">
        <f>DT$142/DQ168</f>
        <v>7050.5900107544239</v>
      </c>
      <c r="DS168">
        <f>DU$149</f>
        <v>456.62507176211642</v>
      </c>
      <c r="DT168">
        <f>DU$163</f>
        <v>403.00304122161992</v>
      </c>
      <c r="DV168">
        <f>DR168+DS168+DT168</f>
        <v>7910.2181237381601</v>
      </c>
      <c r="EB168">
        <v>5</v>
      </c>
      <c r="EC168">
        <f>EE$142/EB168</f>
        <v>8624.9723279330992</v>
      </c>
      <c r="ED168">
        <f>EF$149</f>
        <v>456.62507176211642</v>
      </c>
      <c r="EE168">
        <f>EF$163</f>
        <v>403.00304122161992</v>
      </c>
      <c r="EG168">
        <f>EC168+ED168+EE168</f>
        <v>9484.6004409168363</v>
      </c>
      <c r="EM168">
        <v>5</v>
      </c>
      <c r="EN168">
        <f>EP$142/EM168</f>
        <v>10150.100208311776</v>
      </c>
      <c r="EO168">
        <f>EQ$149</f>
        <v>456.62507176211642</v>
      </c>
      <c r="EP168">
        <f>EQ$163</f>
        <v>403.00304122161992</v>
      </c>
      <c r="ER168">
        <f>EN168+EO168+EP168</f>
        <v>11009.728321295514</v>
      </c>
      <c r="EX168">
        <v>5</v>
      </c>
      <c r="EY168">
        <f>FA$142/EX168</f>
        <v>12176.386589176305</v>
      </c>
      <c r="EZ168">
        <f>FB$149</f>
        <v>456.62507176211642</v>
      </c>
      <c r="FA168">
        <f>FB$163</f>
        <v>902.45781045238914</v>
      </c>
      <c r="FC168">
        <f>EY168+EZ168+FA168</f>
        <v>13535.469471390812</v>
      </c>
      <c r="FI168">
        <v>5</v>
      </c>
      <c r="FJ168">
        <f>FL$142/FI168</f>
        <v>13713.104955355991</v>
      </c>
      <c r="FK168">
        <f>FM$149</f>
        <v>456.62507176211642</v>
      </c>
      <c r="FL168">
        <f>FM$163</f>
        <v>902.45781045238914</v>
      </c>
      <c r="FN168">
        <f>FJ168+FK168+FL168</f>
        <v>15072.187837570498</v>
      </c>
    </row>
    <row r="169" spans="1:170" x14ac:dyDescent="0.25">
      <c r="J169">
        <v>6</v>
      </c>
      <c r="K169">
        <f t="shared" ref="K169:K173" si="129">M$142/J169</f>
        <v>154.78431119485293</v>
      </c>
      <c r="L169">
        <f t="shared" ref="L169:L172" si="130">N$149</f>
        <v>456.62507176211642</v>
      </c>
      <c r="M169">
        <f t="shared" ref="M169:M172" si="131">N$163</f>
        <v>96.464781339207178</v>
      </c>
      <c r="O169">
        <f t="shared" ref="O169:O173" si="132">K169+L169+M169</f>
        <v>707.87416429617656</v>
      </c>
      <c r="V169">
        <v>6</v>
      </c>
      <c r="W169">
        <f t="shared" ref="W169:W173" si="133">Y$142/V169</f>
        <v>230.83712274189034</v>
      </c>
      <c r="X169">
        <f t="shared" ref="X169:X172" si="134">Z$149</f>
        <v>456.62507176211642</v>
      </c>
      <c r="Y169">
        <f t="shared" ref="Y169:Y172" si="135">Z$163</f>
        <v>105.82955826228408</v>
      </c>
      <c r="AA169">
        <f t="shared" ref="AA169:AA173" si="136">W169+X169+Y169</f>
        <v>793.29175276629087</v>
      </c>
      <c r="AG169">
        <v>6</v>
      </c>
      <c r="AH169">
        <f t="shared" ref="AH169:AH173" si="137">AJ$142/AG169</f>
        <v>380.01025735499542</v>
      </c>
      <c r="AI169">
        <f t="shared" ref="AI169:AI172" si="138">AK$149</f>
        <v>456.62507176211642</v>
      </c>
      <c r="AJ169">
        <f t="shared" ref="AJ169:AJ172" si="139">AK$163</f>
        <v>223.26641814469676</v>
      </c>
      <c r="AL169">
        <f t="shared" ref="AL169:AL173" si="140">AH169+AI169+AJ169</f>
        <v>1059.9017472618086</v>
      </c>
      <c r="AR169">
        <v>6</v>
      </c>
      <c r="AS169">
        <f t="shared" ref="AS169:AS173" si="141">AU$142/AR169</f>
        <v>512.64991051807499</v>
      </c>
      <c r="AT169">
        <f t="shared" ref="AT169:AT172" si="142">AV$149</f>
        <v>456.62507176211642</v>
      </c>
      <c r="AU169">
        <f t="shared" ref="AU169:AU172" si="143">AV$163</f>
        <v>223.26641814469676</v>
      </c>
      <c r="AW169">
        <f t="shared" ref="AW169:AW173" si="144">AS169+AT169+AU169</f>
        <v>1192.541400424888</v>
      </c>
      <c r="BC169">
        <v>6</v>
      </c>
      <c r="BD169">
        <f t="shared" ref="BD169:BD173" si="145">BF$142/BC169</f>
        <v>759.99328854075429</v>
      </c>
      <c r="BE169">
        <f t="shared" ref="BE169:BE172" si="146">BG$149</f>
        <v>456.62507176211642</v>
      </c>
      <c r="BF169">
        <f t="shared" ref="BF169:BF172" si="147">BG$163</f>
        <v>223.26641814469676</v>
      </c>
      <c r="BH169">
        <f t="shared" ref="BH169:BH173" si="148">BD169+BE169+BF169</f>
        <v>1439.8847784475674</v>
      </c>
      <c r="BN169">
        <v>6</v>
      </c>
      <c r="BO169">
        <f t="shared" ref="BO169:BO173" si="149">BQ$142/BN169</f>
        <v>1302.0785990547322</v>
      </c>
      <c r="BP169">
        <f t="shared" ref="BP169:BP172" si="150">BR$149</f>
        <v>456.62507176211642</v>
      </c>
      <c r="BQ169">
        <f t="shared" ref="BQ169:BQ172" si="151">BR$163</f>
        <v>223.26641814469676</v>
      </c>
      <c r="BS169">
        <f t="shared" ref="BS169:BS173" si="152">BO169+BP169+BQ169</f>
        <v>1981.9700889615453</v>
      </c>
      <c r="BY169">
        <v>6</v>
      </c>
      <c r="BZ169">
        <f t="shared" ref="BZ169:BZ173" si="153">CB$142/BY169</f>
        <v>1634.7537271650554</v>
      </c>
      <c r="CA169">
        <f t="shared" ref="CA169:CA172" si="154">CC$149</f>
        <v>456.62507176211642</v>
      </c>
      <c r="CB169">
        <f t="shared" ref="CB169:CB172" si="155">CC$163</f>
        <v>223.26641814469676</v>
      </c>
      <c r="CD169">
        <f t="shared" ref="CD169:CD173" si="156">BZ169+CA169+CB169</f>
        <v>2314.6452170718685</v>
      </c>
      <c r="CJ169">
        <v>6</v>
      </c>
      <c r="CK169">
        <f t="shared" ref="CK169:CK173" si="157">CM$142/CJ169</f>
        <v>2162.4172977316202</v>
      </c>
      <c r="CL169">
        <f t="shared" ref="CL169:CL172" si="158">CN$149</f>
        <v>456.62507176211642</v>
      </c>
      <c r="CM169">
        <f t="shared" ref="CM169:CM172" si="159">CN$163</f>
        <v>276.29619506777374</v>
      </c>
      <c r="CO169">
        <f t="shared" ref="CO169:CO173" si="160">CK169+CL169+CM169</f>
        <v>2895.3385645615103</v>
      </c>
      <c r="CU169">
        <v>6</v>
      </c>
      <c r="CV169">
        <f t="shared" ref="CV169:CV173" si="161">CX$142/CU169</f>
        <v>2950.8517698143428</v>
      </c>
      <c r="CW169">
        <f t="shared" ref="CW169:CW172" si="162">CY$149</f>
        <v>456.62507176211642</v>
      </c>
      <c r="CX169">
        <f t="shared" ref="CX169:CX172" si="163">CY$163</f>
        <v>276.29619506777374</v>
      </c>
      <c r="CZ169">
        <f t="shared" ref="CZ169:CZ173" si="164">CV169+CW169+CX169</f>
        <v>3683.7730366442329</v>
      </c>
      <c r="DF169">
        <v>6</v>
      </c>
      <c r="DG169">
        <f t="shared" ref="DG169:DG173" si="165">DI$142/DF169</f>
        <v>4275.7389447965734</v>
      </c>
      <c r="DH169">
        <f t="shared" ref="DH169:DH172" si="166">DJ$149</f>
        <v>456.62507176211642</v>
      </c>
      <c r="DI169">
        <f t="shared" ref="DI169:DI172" si="167">DJ$163</f>
        <v>403.00304122161992</v>
      </c>
      <c r="DK169">
        <f t="shared" ref="DK169:DK173" si="168">DG169+DH169+DI169</f>
        <v>5135.3670577803096</v>
      </c>
      <c r="DQ169">
        <v>6</v>
      </c>
      <c r="DR169">
        <f t="shared" ref="DR169:DR173" si="169">DT$142/DQ169</f>
        <v>5875.4916756286866</v>
      </c>
      <c r="DS169">
        <f t="shared" ref="DS169:DS172" si="170">DU$149</f>
        <v>456.62507176211642</v>
      </c>
      <c r="DT169">
        <f t="shared" ref="DT169:DT172" si="171">DU$163</f>
        <v>403.00304122161992</v>
      </c>
      <c r="DV169">
        <f t="shared" ref="DV169:DV173" si="172">DR169+DS169+DT169</f>
        <v>6735.1197886124228</v>
      </c>
      <c r="EB169">
        <v>6</v>
      </c>
      <c r="EC169">
        <f t="shared" ref="EC169:EC173" si="173">EE$142/EB169</f>
        <v>7187.4769399442494</v>
      </c>
      <c r="ED169">
        <f t="shared" ref="ED169:ED172" si="174">EF$149</f>
        <v>456.62507176211642</v>
      </c>
      <c r="EE169">
        <f t="shared" ref="EE169:EE172" si="175">EF$163</f>
        <v>403.00304122161992</v>
      </c>
      <c r="EG169">
        <f t="shared" ref="EG169:EG173" si="176">EC169+ED169+EE169</f>
        <v>8047.1050529279855</v>
      </c>
      <c r="EM169">
        <v>6</v>
      </c>
      <c r="EN169">
        <f t="shared" ref="EN169:EN173" si="177">EP$142/EM169</f>
        <v>8458.4168402598134</v>
      </c>
      <c r="EO169">
        <f t="shared" ref="EO169:EO172" si="178">EQ$149</f>
        <v>456.62507176211642</v>
      </c>
      <c r="EP169">
        <f>EQ$163</f>
        <v>403.00304122161992</v>
      </c>
      <c r="ER169">
        <f t="shared" ref="ER169:ER173" si="179">EN169+EO169+EP169</f>
        <v>9318.0449532435505</v>
      </c>
      <c r="EX169">
        <v>6</v>
      </c>
      <c r="EY169">
        <f t="shared" ref="EY169:EY173" si="180">FA$142/EX169</f>
        <v>10146.988824313588</v>
      </c>
      <c r="EZ169">
        <f t="shared" ref="EZ169:EZ172" si="181">FB$149</f>
        <v>456.62507176211642</v>
      </c>
      <c r="FA169">
        <f t="shared" ref="FA169:FA172" si="182">FB$163</f>
        <v>902.45781045238914</v>
      </c>
      <c r="FC169">
        <f t="shared" ref="FC169:FC173" si="183">EY169+EZ169+FA169</f>
        <v>11506.071706528095</v>
      </c>
      <c r="FI169">
        <v>6</v>
      </c>
      <c r="FJ169">
        <f t="shared" ref="FJ169:FJ173" si="184">FL$142/FI169</f>
        <v>11427.58746279666</v>
      </c>
      <c r="FK169">
        <f t="shared" ref="FK169:FK172" si="185">FM$149</f>
        <v>456.62507176211642</v>
      </c>
      <c r="FL169">
        <f t="shared" ref="FL169:FL172" si="186">FM$163</f>
        <v>902.45781045238914</v>
      </c>
      <c r="FN169">
        <f t="shared" ref="FN169:FN173" si="187">FJ169+FK169+FL169</f>
        <v>12786.670345011167</v>
      </c>
    </row>
    <row r="170" spans="1:170" x14ac:dyDescent="0.25">
      <c r="J170">
        <v>7</v>
      </c>
      <c r="K170">
        <f>M$142/J170</f>
        <v>132.67226673844536</v>
      </c>
      <c r="L170">
        <f t="shared" si="130"/>
        <v>456.62507176211642</v>
      </c>
      <c r="M170">
        <f t="shared" si="131"/>
        <v>96.464781339207178</v>
      </c>
      <c r="O170">
        <f>K170+L170+M170</f>
        <v>685.76211983976896</v>
      </c>
      <c r="V170">
        <v>7</v>
      </c>
      <c r="W170">
        <f t="shared" si="133"/>
        <v>197.86039092162031</v>
      </c>
      <c r="X170">
        <f t="shared" si="134"/>
        <v>456.62507176211642</v>
      </c>
      <c r="Y170">
        <f>Z$163</f>
        <v>105.82955826228408</v>
      </c>
      <c r="AA170">
        <f t="shared" si="136"/>
        <v>760.31502094602081</v>
      </c>
      <c r="AG170">
        <v>7</v>
      </c>
      <c r="AH170">
        <f t="shared" si="137"/>
        <v>325.7230777328532</v>
      </c>
      <c r="AI170">
        <f t="shared" si="138"/>
        <v>456.62507176211642</v>
      </c>
      <c r="AJ170">
        <f t="shared" si="139"/>
        <v>223.26641814469676</v>
      </c>
      <c r="AL170">
        <f>AH170+AI170+AJ170</f>
        <v>1005.6145676396665</v>
      </c>
      <c r="AR170">
        <v>7</v>
      </c>
      <c r="AS170">
        <f t="shared" si="141"/>
        <v>439.41420901549282</v>
      </c>
      <c r="AT170">
        <f t="shared" si="142"/>
        <v>456.62507176211642</v>
      </c>
      <c r="AU170">
        <f t="shared" si="143"/>
        <v>223.26641814469676</v>
      </c>
      <c r="AW170">
        <f t="shared" si="144"/>
        <v>1119.305698922306</v>
      </c>
      <c r="BC170">
        <v>7</v>
      </c>
      <c r="BD170">
        <f t="shared" si="145"/>
        <v>651.42281874921798</v>
      </c>
      <c r="BE170">
        <f t="shared" si="146"/>
        <v>456.62507176211642</v>
      </c>
      <c r="BF170">
        <f t="shared" si="147"/>
        <v>223.26641814469676</v>
      </c>
      <c r="BH170">
        <f t="shared" si="148"/>
        <v>1331.314308656031</v>
      </c>
      <c r="BN170">
        <v>7</v>
      </c>
      <c r="BO170">
        <f t="shared" si="149"/>
        <v>1116.067370618342</v>
      </c>
      <c r="BP170">
        <f t="shared" si="150"/>
        <v>456.62507176211642</v>
      </c>
      <c r="BQ170">
        <f t="shared" si="151"/>
        <v>223.26641814469676</v>
      </c>
      <c r="BS170">
        <f t="shared" si="152"/>
        <v>1795.9588605251552</v>
      </c>
      <c r="BY170">
        <v>7</v>
      </c>
      <c r="BZ170">
        <f t="shared" si="153"/>
        <v>1401.2174804271904</v>
      </c>
      <c r="CA170">
        <f t="shared" si="154"/>
        <v>456.62507176211642</v>
      </c>
      <c r="CB170">
        <f t="shared" si="155"/>
        <v>223.26641814469676</v>
      </c>
      <c r="CD170">
        <f t="shared" si="156"/>
        <v>2081.1089703340035</v>
      </c>
      <c r="CJ170">
        <v>7</v>
      </c>
      <c r="CK170">
        <f t="shared" si="157"/>
        <v>1853.5005409128173</v>
      </c>
      <c r="CL170">
        <f t="shared" si="158"/>
        <v>456.62507176211642</v>
      </c>
      <c r="CM170">
        <f t="shared" si="159"/>
        <v>276.29619506777374</v>
      </c>
      <c r="CO170">
        <f t="shared" si="160"/>
        <v>2586.4218077427072</v>
      </c>
      <c r="CU170">
        <v>7</v>
      </c>
      <c r="CV170">
        <f t="shared" si="161"/>
        <v>2529.3015169837226</v>
      </c>
      <c r="CW170">
        <f t="shared" si="162"/>
        <v>456.62507176211642</v>
      </c>
      <c r="CX170">
        <f t="shared" si="163"/>
        <v>276.29619506777374</v>
      </c>
      <c r="CZ170">
        <f t="shared" si="164"/>
        <v>3262.2227838136128</v>
      </c>
      <c r="DF170">
        <v>7</v>
      </c>
      <c r="DG170">
        <f t="shared" si="165"/>
        <v>3664.9190955399204</v>
      </c>
      <c r="DH170">
        <f t="shared" si="166"/>
        <v>456.62507176211642</v>
      </c>
      <c r="DI170">
        <f t="shared" si="167"/>
        <v>403.00304122161992</v>
      </c>
      <c r="DK170">
        <f t="shared" si="168"/>
        <v>4524.547208523657</v>
      </c>
      <c r="DQ170">
        <v>7</v>
      </c>
      <c r="DR170">
        <f t="shared" si="169"/>
        <v>5036.1357219674455</v>
      </c>
      <c r="DS170">
        <f t="shared" si="170"/>
        <v>456.62507176211642</v>
      </c>
      <c r="DT170">
        <f t="shared" si="171"/>
        <v>403.00304122161992</v>
      </c>
      <c r="DV170">
        <f t="shared" si="172"/>
        <v>5895.7638349511817</v>
      </c>
      <c r="EB170">
        <v>7</v>
      </c>
      <c r="EC170">
        <f t="shared" si="173"/>
        <v>6160.6945199522143</v>
      </c>
      <c r="ED170">
        <f t="shared" si="174"/>
        <v>456.62507176211642</v>
      </c>
      <c r="EE170">
        <f t="shared" si="175"/>
        <v>403.00304122161992</v>
      </c>
      <c r="EG170">
        <f t="shared" si="176"/>
        <v>7020.3226329359504</v>
      </c>
      <c r="EM170">
        <v>7</v>
      </c>
      <c r="EN170">
        <f t="shared" si="177"/>
        <v>7250.0715773655547</v>
      </c>
      <c r="EO170">
        <f t="shared" si="178"/>
        <v>456.62507176211642</v>
      </c>
      <c r="EP170">
        <f t="shared" ref="EP170:EP172" si="188">EQ$163</f>
        <v>403.00304122161992</v>
      </c>
      <c r="ER170">
        <f t="shared" si="179"/>
        <v>8109.6996903492909</v>
      </c>
      <c r="EX170">
        <v>7</v>
      </c>
      <c r="EY170">
        <f t="shared" si="180"/>
        <v>8697.4189922687892</v>
      </c>
      <c r="EZ170">
        <f t="shared" si="181"/>
        <v>456.62507176211642</v>
      </c>
      <c r="FA170">
        <f t="shared" si="182"/>
        <v>902.45781045238914</v>
      </c>
      <c r="FC170">
        <f t="shared" si="183"/>
        <v>10056.501874483296</v>
      </c>
      <c r="FI170">
        <v>7</v>
      </c>
      <c r="FJ170">
        <f t="shared" si="184"/>
        <v>9795.074968111423</v>
      </c>
      <c r="FK170">
        <f t="shared" si="185"/>
        <v>456.62507176211642</v>
      </c>
      <c r="FL170">
        <f t="shared" si="186"/>
        <v>902.45781045238914</v>
      </c>
      <c r="FN170">
        <f>FJ170+FK170+FL170</f>
        <v>11154.15785032593</v>
      </c>
    </row>
    <row r="171" spans="1:170" x14ac:dyDescent="0.25">
      <c r="B171" t="str">
        <f t="shared" ref="B171:B186" si="189">B100</f>
        <v>PE</v>
      </c>
      <c r="C171" t="s">
        <v>990</v>
      </c>
      <c r="D171" t="s">
        <v>1320</v>
      </c>
      <c r="J171">
        <v>8</v>
      </c>
      <c r="K171">
        <f t="shared" si="129"/>
        <v>116.0882333961397</v>
      </c>
      <c r="L171">
        <f t="shared" si="130"/>
        <v>456.62507176211642</v>
      </c>
      <c r="M171">
        <f t="shared" si="131"/>
        <v>96.464781339207178</v>
      </c>
      <c r="O171">
        <f t="shared" si="132"/>
        <v>669.17808649746337</v>
      </c>
      <c r="V171">
        <v>8</v>
      </c>
      <c r="W171">
        <f t="shared" si="133"/>
        <v>173.12784205641776</v>
      </c>
      <c r="X171">
        <f t="shared" si="134"/>
        <v>456.62507176211642</v>
      </c>
      <c r="Y171">
        <f t="shared" si="135"/>
        <v>105.82955826228408</v>
      </c>
      <c r="AA171">
        <f t="shared" si="136"/>
        <v>735.58247208081821</v>
      </c>
      <c r="AG171">
        <v>8</v>
      </c>
      <c r="AH171">
        <f t="shared" si="137"/>
        <v>285.00769301624655</v>
      </c>
      <c r="AI171">
        <f t="shared" si="138"/>
        <v>456.62507176211642</v>
      </c>
      <c r="AJ171">
        <f t="shared" si="139"/>
        <v>223.26641814469676</v>
      </c>
      <c r="AL171">
        <f t="shared" si="140"/>
        <v>964.89918292305981</v>
      </c>
      <c r="AR171">
        <v>8</v>
      </c>
      <c r="AS171">
        <f t="shared" si="141"/>
        <v>384.48743288855621</v>
      </c>
      <c r="AT171">
        <f t="shared" si="142"/>
        <v>456.62507176211642</v>
      </c>
      <c r="AU171">
        <f t="shared" si="143"/>
        <v>223.26641814469676</v>
      </c>
      <c r="AW171">
        <f t="shared" si="144"/>
        <v>1064.3789227953694</v>
      </c>
      <c r="BC171">
        <v>8</v>
      </c>
      <c r="BD171">
        <f t="shared" si="145"/>
        <v>569.99496640556572</v>
      </c>
      <c r="BE171">
        <f t="shared" si="146"/>
        <v>456.62507176211642</v>
      </c>
      <c r="BF171">
        <f t="shared" si="147"/>
        <v>223.26641814469676</v>
      </c>
      <c r="BH171">
        <f t="shared" si="148"/>
        <v>1249.8864563123789</v>
      </c>
      <c r="BN171">
        <v>8</v>
      </c>
      <c r="BO171">
        <f t="shared" si="149"/>
        <v>976.5589492910492</v>
      </c>
      <c r="BP171">
        <f t="shared" si="150"/>
        <v>456.62507176211642</v>
      </c>
      <c r="BQ171">
        <f t="shared" si="151"/>
        <v>223.26641814469676</v>
      </c>
      <c r="BS171">
        <f t="shared" si="152"/>
        <v>1656.4504391978624</v>
      </c>
      <c r="BY171">
        <v>8</v>
      </c>
      <c r="BZ171">
        <f t="shared" si="153"/>
        <v>1226.0652953737915</v>
      </c>
      <c r="CA171">
        <f t="shared" si="154"/>
        <v>456.62507176211642</v>
      </c>
      <c r="CB171">
        <f t="shared" si="155"/>
        <v>223.26641814469676</v>
      </c>
      <c r="CD171">
        <f t="shared" si="156"/>
        <v>1905.9567852806047</v>
      </c>
      <c r="CJ171">
        <v>8</v>
      </c>
      <c r="CK171">
        <f t="shared" si="157"/>
        <v>1621.8129732987152</v>
      </c>
      <c r="CL171">
        <f t="shared" si="158"/>
        <v>456.62507176211642</v>
      </c>
      <c r="CM171">
        <f t="shared" si="159"/>
        <v>276.29619506777374</v>
      </c>
      <c r="CO171">
        <f t="shared" si="160"/>
        <v>2354.7342401286051</v>
      </c>
      <c r="CU171">
        <v>8</v>
      </c>
      <c r="CV171">
        <f t="shared" si="161"/>
        <v>2213.1388273607572</v>
      </c>
      <c r="CW171">
        <f t="shared" si="162"/>
        <v>456.62507176211642</v>
      </c>
      <c r="CX171">
        <f t="shared" si="163"/>
        <v>276.29619506777374</v>
      </c>
      <c r="CZ171">
        <f t="shared" si="164"/>
        <v>2946.0600941906473</v>
      </c>
      <c r="DF171">
        <v>8</v>
      </c>
      <c r="DG171">
        <f t="shared" si="165"/>
        <v>3206.8042085974303</v>
      </c>
      <c r="DH171">
        <f t="shared" si="166"/>
        <v>456.62507176211642</v>
      </c>
      <c r="DI171">
        <f t="shared" si="167"/>
        <v>403.00304122161992</v>
      </c>
      <c r="DK171">
        <f t="shared" si="168"/>
        <v>4066.4323215811664</v>
      </c>
      <c r="DQ171">
        <v>8</v>
      </c>
      <c r="DR171">
        <f t="shared" si="169"/>
        <v>4406.6187567215147</v>
      </c>
      <c r="DS171">
        <f t="shared" si="170"/>
        <v>456.62507176211642</v>
      </c>
      <c r="DT171">
        <f t="shared" si="171"/>
        <v>403.00304122161992</v>
      </c>
      <c r="DV171">
        <f t="shared" si="172"/>
        <v>5266.2468697052509</v>
      </c>
      <c r="EB171">
        <v>8</v>
      </c>
      <c r="EC171">
        <f t="shared" si="173"/>
        <v>5390.6077049581872</v>
      </c>
      <c r="ED171">
        <f t="shared" si="174"/>
        <v>456.62507176211642</v>
      </c>
      <c r="EE171">
        <f t="shared" si="175"/>
        <v>403.00304122161992</v>
      </c>
      <c r="EG171">
        <f t="shared" si="176"/>
        <v>6250.2358179419234</v>
      </c>
      <c r="EM171">
        <v>8</v>
      </c>
      <c r="EN171">
        <f t="shared" si="177"/>
        <v>6343.8126301948605</v>
      </c>
      <c r="EO171">
        <f t="shared" si="178"/>
        <v>456.62507176211642</v>
      </c>
      <c r="EP171">
        <f t="shared" si="188"/>
        <v>403.00304122161992</v>
      </c>
      <c r="ER171">
        <f t="shared" si="179"/>
        <v>7203.4407431785967</v>
      </c>
      <c r="EX171">
        <v>8</v>
      </c>
      <c r="EY171">
        <f t="shared" si="180"/>
        <v>7610.2416182351908</v>
      </c>
      <c r="EZ171">
        <f t="shared" si="181"/>
        <v>456.62507176211642</v>
      </c>
      <c r="FA171">
        <f t="shared" si="182"/>
        <v>902.45781045238914</v>
      </c>
      <c r="FC171">
        <f t="shared" si="183"/>
        <v>8969.3245004496966</v>
      </c>
      <c r="FI171">
        <v>8</v>
      </c>
      <c r="FJ171">
        <f t="shared" si="184"/>
        <v>8570.6905970974949</v>
      </c>
      <c r="FK171">
        <f t="shared" si="185"/>
        <v>456.62507176211642</v>
      </c>
      <c r="FL171">
        <f t="shared" si="186"/>
        <v>902.45781045238914</v>
      </c>
      <c r="FN171">
        <f t="shared" si="187"/>
        <v>9929.7734793120017</v>
      </c>
    </row>
    <row r="172" spans="1:170" x14ac:dyDescent="0.25">
      <c r="B172">
        <f t="shared" si="189"/>
        <v>5</v>
      </c>
      <c r="C172">
        <f>'Wetland Operation'!R46</f>
        <v>262.8</v>
      </c>
      <c r="D172">
        <f>C172/1000</f>
        <v>0.26280000000000003</v>
      </c>
      <c r="J172">
        <v>9</v>
      </c>
      <c r="K172">
        <f t="shared" si="129"/>
        <v>103.18954079656862</v>
      </c>
      <c r="L172">
        <f t="shared" si="130"/>
        <v>456.62507176211642</v>
      </c>
      <c r="M172">
        <f t="shared" si="131"/>
        <v>96.464781339207178</v>
      </c>
      <c r="O172">
        <f t="shared" si="132"/>
        <v>656.27939389789219</v>
      </c>
      <c r="V172">
        <v>9</v>
      </c>
      <c r="W172">
        <f t="shared" si="133"/>
        <v>153.89141516126023</v>
      </c>
      <c r="X172">
        <f t="shared" si="134"/>
        <v>456.62507176211642</v>
      </c>
      <c r="Y172">
        <f t="shared" si="135"/>
        <v>105.82955826228408</v>
      </c>
      <c r="AA172">
        <f t="shared" si="136"/>
        <v>716.34604518566073</v>
      </c>
      <c r="AG172">
        <v>9</v>
      </c>
      <c r="AH172">
        <f t="shared" si="137"/>
        <v>253.34017156999693</v>
      </c>
      <c r="AI172">
        <f t="shared" si="138"/>
        <v>456.62507176211642</v>
      </c>
      <c r="AJ172">
        <f t="shared" si="139"/>
        <v>223.26641814469676</v>
      </c>
      <c r="AL172">
        <f t="shared" si="140"/>
        <v>933.23166147681013</v>
      </c>
      <c r="AR172">
        <v>9</v>
      </c>
      <c r="AS172">
        <f t="shared" si="141"/>
        <v>341.76660701204997</v>
      </c>
      <c r="AT172">
        <f t="shared" si="142"/>
        <v>456.62507176211642</v>
      </c>
      <c r="AU172">
        <f t="shared" si="143"/>
        <v>223.26641814469676</v>
      </c>
      <c r="AW172">
        <f t="shared" si="144"/>
        <v>1021.6580969188632</v>
      </c>
      <c r="BC172">
        <v>9</v>
      </c>
      <c r="BD172">
        <f t="shared" si="145"/>
        <v>506.66219236050284</v>
      </c>
      <c r="BE172">
        <f t="shared" si="146"/>
        <v>456.62507176211642</v>
      </c>
      <c r="BF172">
        <f t="shared" si="147"/>
        <v>223.26641814469676</v>
      </c>
      <c r="BH172">
        <f t="shared" si="148"/>
        <v>1186.5536822673159</v>
      </c>
      <c r="BN172">
        <v>9</v>
      </c>
      <c r="BO172">
        <f t="shared" si="149"/>
        <v>868.0523993698215</v>
      </c>
      <c r="BP172">
        <f t="shared" si="150"/>
        <v>456.62507176211642</v>
      </c>
      <c r="BQ172">
        <f t="shared" si="151"/>
        <v>223.26641814469676</v>
      </c>
      <c r="BS172">
        <f t="shared" si="152"/>
        <v>1547.9438892766345</v>
      </c>
      <c r="BY172">
        <v>9</v>
      </c>
      <c r="BZ172">
        <f t="shared" si="153"/>
        <v>1089.8358181100368</v>
      </c>
      <c r="CA172">
        <f t="shared" si="154"/>
        <v>456.62507176211642</v>
      </c>
      <c r="CB172">
        <f t="shared" si="155"/>
        <v>223.26641814469676</v>
      </c>
      <c r="CD172">
        <f t="shared" si="156"/>
        <v>1769.72730801685</v>
      </c>
      <c r="CJ172">
        <v>9</v>
      </c>
      <c r="CK172">
        <f t="shared" si="157"/>
        <v>1441.6115318210802</v>
      </c>
      <c r="CL172">
        <f t="shared" si="158"/>
        <v>456.62507176211642</v>
      </c>
      <c r="CM172">
        <f t="shared" si="159"/>
        <v>276.29619506777374</v>
      </c>
      <c r="CO172">
        <f t="shared" si="160"/>
        <v>2174.5327986509706</v>
      </c>
      <c r="CU172">
        <v>9</v>
      </c>
      <c r="CV172">
        <f t="shared" si="161"/>
        <v>1967.234513209562</v>
      </c>
      <c r="CW172">
        <f t="shared" si="162"/>
        <v>456.62507176211642</v>
      </c>
      <c r="CX172">
        <f t="shared" si="163"/>
        <v>276.29619506777374</v>
      </c>
      <c r="CZ172">
        <f t="shared" si="164"/>
        <v>2700.1557800394521</v>
      </c>
      <c r="DF172">
        <v>9</v>
      </c>
      <c r="DG172">
        <f t="shared" si="165"/>
        <v>2850.4926298643823</v>
      </c>
      <c r="DH172">
        <f t="shared" si="166"/>
        <v>456.62507176211642</v>
      </c>
      <c r="DI172">
        <f t="shared" si="167"/>
        <v>403.00304122161992</v>
      </c>
      <c r="DK172">
        <f t="shared" si="168"/>
        <v>3710.1207428481184</v>
      </c>
      <c r="DQ172">
        <v>9</v>
      </c>
      <c r="DR172">
        <f t="shared" si="169"/>
        <v>3916.9944504191244</v>
      </c>
      <c r="DS172">
        <f t="shared" si="170"/>
        <v>456.62507176211642</v>
      </c>
      <c r="DT172">
        <f t="shared" si="171"/>
        <v>403.00304122161992</v>
      </c>
      <c r="DV172">
        <f t="shared" si="172"/>
        <v>4776.6225634028606</v>
      </c>
      <c r="EB172">
        <v>9</v>
      </c>
      <c r="EC172">
        <f t="shared" si="173"/>
        <v>4791.6512932961668</v>
      </c>
      <c r="ED172">
        <f t="shared" si="174"/>
        <v>456.62507176211642</v>
      </c>
      <c r="EE172">
        <f t="shared" si="175"/>
        <v>403.00304122161992</v>
      </c>
      <c r="EG172">
        <f t="shared" si="176"/>
        <v>5651.279406279903</v>
      </c>
      <c r="EM172">
        <v>9</v>
      </c>
      <c r="EN172">
        <f t="shared" si="177"/>
        <v>5638.9445601732095</v>
      </c>
      <c r="EO172">
        <f t="shared" si="178"/>
        <v>456.62507176211642</v>
      </c>
      <c r="EP172">
        <f t="shared" si="188"/>
        <v>403.00304122161992</v>
      </c>
      <c r="ER172">
        <f t="shared" si="179"/>
        <v>6498.5726731569457</v>
      </c>
      <c r="EX172">
        <v>9</v>
      </c>
      <c r="EY172">
        <f t="shared" si="180"/>
        <v>6764.6592162090583</v>
      </c>
      <c r="EZ172">
        <f t="shared" si="181"/>
        <v>456.62507176211642</v>
      </c>
      <c r="FA172">
        <f t="shared" si="182"/>
        <v>902.45781045238914</v>
      </c>
      <c r="FC172">
        <f t="shared" si="183"/>
        <v>8123.7420984235632</v>
      </c>
      <c r="FI172">
        <v>9</v>
      </c>
      <c r="FJ172">
        <f t="shared" si="184"/>
        <v>7618.3916418644403</v>
      </c>
      <c r="FK172">
        <f t="shared" si="185"/>
        <v>456.62507176211642</v>
      </c>
      <c r="FL172">
        <f t="shared" si="186"/>
        <v>902.45781045238914</v>
      </c>
      <c r="FN172">
        <f t="shared" si="187"/>
        <v>8977.4745240789453</v>
      </c>
    </row>
    <row r="173" spans="1:170" x14ac:dyDescent="0.25">
      <c r="B173">
        <f t="shared" si="189"/>
        <v>10</v>
      </c>
      <c r="C173">
        <f>'Wetland Operation'!R47</f>
        <v>525.6</v>
      </c>
      <c r="D173">
        <f t="shared" ref="D173:D186" si="190">C173/1000</f>
        <v>0.52560000000000007</v>
      </c>
      <c r="J173">
        <v>10</v>
      </c>
      <c r="K173">
        <f t="shared" si="129"/>
        <v>92.87058671691176</v>
      </c>
      <c r="L173">
        <f>N$149</f>
        <v>456.62507176211642</v>
      </c>
      <c r="M173">
        <f>N$163</f>
        <v>96.464781339207178</v>
      </c>
      <c r="O173">
        <f t="shared" si="132"/>
        <v>645.96043981823539</v>
      </c>
      <c r="V173">
        <v>10</v>
      </c>
      <c r="W173">
        <f t="shared" si="133"/>
        <v>138.50227364513421</v>
      </c>
      <c r="X173">
        <f>Z$149</f>
        <v>456.62507176211642</v>
      </c>
      <c r="Y173">
        <f>Z$163</f>
        <v>105.82955826228408</v>
      </c>
      <c r="AA173">
        <f t="shared" si="136"/>
        <v>700.95690366953477</v>
      </c>
      <c r="AG173">
        <v>10</v>
      </c>
      <c r="AH173">
        <f t="shared" si="137"/>
        <v>228.00615441299723</v>
      </c>
      <c r="AI173">
        <f>AK$149</f>
        <v>456.62507176211642</v>
      </c>
      <c r="AJ173">
        <f>AK$163</f>
        <v>223.26641814469676</v>
      </c>
      <c r="AL173">
        <f t="shared" si="140"/>
        <v>907.89764431981041</v>
      </c>
      <c r="AR173">
        <v>10</v>
      </c>
      <c r="AS173">
        <f t="shared" si="141"/>
        <v>307.58994631084499</v>
      </c>
      <c r="AT173">
        <f>AV$149</f>
        <v>456.62507176211642</v>
      </c>
      <c r="AU173">
        <f>AV$163</f>
        <v>223.26641814469676</v>
      </c>
      <c r="AW173">
        <f t="shared" si="144"/>
        <v>987.48143621765814</v>
      </c>
      <c r="BC173">
        <v>10</v>
      </c>
      <c r="BD173">
        <f t="shared" si="145"/>
        <v>455.99597312445258</v>
      </c>
      <c r="BE173">
        <f>BG$149</f>
        <v>456.62507176211642</v>
      </c>
      <c r="BF173">
        <f>BG$163</f>
        <v>223.26641814469676</v>
      </c>
      <c r="BH173">
        <f t="shared" si="148"/>
        <v>1135.8874630312657</v>
      </c>
      <c r="BN173">
        <v>10</v>
      </c>
      <c r="BO173">
        <f t="shared" si="149"/>
        <v>781.24715943283934</v>
      </c>
      <c r="BP173">
        <f>BR$149</f>
        <v>456.62507176211642</v>
      </c>
      <c r="BQ173">
        <f>BR$163</f>
        <v>223.26641814469676</v>
      </c>
      <c r="BS173">
        <f t="shared" si="152"/>
        <v>1461.1386493396524</v>
      </c>
      <c r="BY173">
        <v>10</v>
      </c>
      <c r="BZ173">
        <f t="shared" si="153"/>
        <v>980.85223629903317</v>
      </c>
      <c r="CA173">
        <f>CC$149</f>
        <v>456.62507176211642</v>
      </c>
      <c r="CB173">
        <f>CC$163</f>
        <v>223.26641814469676</v>
      </c>
      <c r="CD173">
        <f t="shared" si="156"/>
        <v>1660.7437262058463</v>
      </c>
      <c r="CJ173">
        <v>10</v>
      </c>
      <c r="CK173">
        <f t="shared" si="157"/>
        <v>1297.4503786389721</v>
      </c>
      <c r="CL173">
        <f>CN$149</f>
        <v>456.62507176211642</v>
      </c>
      <c r="CM173">
        <f>CN$163</f>
        <v>276.29619506777374</v>
      </c>
      <c r="CO173">
        <f t="shared" si="160"/>
        <v>2030.3716454688624</v>
      </c>
      <c r="CU173">
        <v>10</v>
      </c>
      <c r="CV173">
        <f t="shared" si="161"/>
        <v>1770.5110618886058</v>
      </c>
      <c r="CW173">
        <f>CY$149</f>
        <v>456.62507176211642</v>
      </c>
      <c r="CX173">
        <f>CY$163</f>
        <v>276.29619506777374</v>
      </c>
      <c r="CZ173">
        <f t="shared" si="164"/>
        <v>2503.4323287184957</v>
      </c>
      <c r="DF173">
        <v>10</v>
      </c>
      <c r="DG173">
        <f t="shared" si="165"/>
        <v>2565.4433668779443</v>
      </c>
      <c r="DH173">
        <f>DJ$149</f>
        <v>456.62507176211642</v>
      </c>
      <c r="DI173">
        <f>DJ$163</f>
        <v>403.00304122161992</v>
      </c>
      <c r="DK173">
        <f t="shared" si="168"/>
        <v>3425.0714798616809</v>
      </c>
      <c r="DQ173">
        <v>10</v>
      </c>
      <c r="DR173">
        <f t="shared" si="169"/>
        <v>3525.295005377212</v>
      </c>
      <c r="DS173">
        <f>DU$149</f>
        <v>456.62507176211642</v>
      </c>
      <c r="DT173">
        <f>DU$163</f>
        <v>403.00304122161992</v>
      </c>
      <c r="DV173">
        <f t="shared" si="172"/>
        <v>4384.9231183609481</v>
      </c>
      <c r="EB173">
        <v>10</v>
      </c>
      <c r="EC173">
        <f t="shared" si="173"/>
        <v>4312.4861639665496</v>
      </c>
      <c r="ED173">
        <f>EF$149</f>
        <v>456.62507176211642</v>
      </c>
      <c r="EE173">
        <f>EF$163</f>
        <v>403.00304122161992</v>
      </c>
      <c r="EG173">
        <f t="shared" si="176"/>
        <v>5172.1142769502858</v>
      </c>
      <c r="EM173">
        <v>10</v>
      </c>
      <c r="EN173">
        <f t="shared" si="177"/>
        <v>5075.0501041558882</v>
      </c>
      <c r="EO173">
        <f>EQ$149</f>
        <v>456.62507176211642</v>
      </c>
      <c r="EP173">
        <f>EQ$163</f>
        <v>403.00304122161992</v>
      </c>
      <c r="ER173">
        <f t="shared" si="179"/>
        <v>5934.6782171396244</v>
      </c>
      <c r="EX173">
        <v>10</v>
      </c>
      <c r="EY173">
        <f t="shared" si="180"/>
        <v>6088.1932945881526</v>
      </c>
      <c r="EZ173">
        <f>FB$149</f>
        <v>456.62507176211642</v>
      </c>
      <c r="FA173">
        <f>FB$163</f>
        <v>902.45781045238914</v>
      </c>
      <c r="FC173">
        <f t="shared" si="183"/>
        <v>7447.2761768026576</v>
      </c>
      <c r="FI173">
        <v>10</v>
      </c>
      <c r="FJ173">
        <f t="shared" si="184"/>
        <v>6856.5524776779957</v>
      </c>
      <c r="FK173">
        <f>FM$149</f>
        <v>456.62507176211642</v>
      </c>
      <c r="FL173">
        <f>FM$163</f>
        <v>902.45781045238914</v>
      </c>
      <c r="FN173">
        <f t="shared" si="187"/>
        <v>8215.6353598925016</v>
      </c>
    </row>
    <row r="174" spans="1:170" x14ac:dyDescent="0.25">
      <c r="B174">
        <f t="shared" si="189"/>
        <v>20</v>
      </c>
      <c r="C174">
        <f>'Wetland Operation'!$R$48</f>
        <v>3241.2</v>
      </c>
      <c r="D174">
        <f t="shared" si="190"/>
        <v>3.2411999999999996</v>
      </c>
    </row>
    <row r="175" spans="1:170" x14ac:dyDescent="0.25">
      <c r="B175">
        <f t="shared" si="189"/>
        <v>30</v>
      </c>
      <c r="C175">
        <f>'Wetland Operation'!$R$48</f>
        <v>3241.2</v>
      </c>
      <c r="D175">
        <f t="shared" si="190"/>
        <v>3.2411999999999996</v>
      </c>
    </row>
    <row r="176" spans="1:170" x14ac:dyDescent="0.25">
      <c r="B176">
        <f t="shared" si="189"/>
        <v>50</v>
      </c>
      <c r="C176">
        <f>'Wetland Operation'!$R$48</f>
        <v>3241.2</v>
      </c>
      <c r="D176">
        <f t="shared" si="190"/>
        <v>3.2411999999999996</v>
      </c>
    </row>
    <row r="177" spans="2:5" x14ac:dyDescent="0.25">
      <c r="B177">
        <f t="shared" si="189"/>
        <v>75</v>
      </c>
      <c r="C177">
        <f>'Wetland Operation'!$R$48</f>
        <v>3241.2</v>
      </c>
      <c r="D177">
        <f t="shared" si="190"/>
        <v>3.2411999999999996</v>
      </c>
    </row>
    <row r="178" spans="2:5" x14ac:dyDescent="0.25">
      <c r="B178">
        <f t="shared" si="189"/>
        <v>100</v>
      </c>
      <c r="C178">
        <f>'Wetland Operation'!$R$48</f>
        <v>3241.2</v>
      </c>
      <c r="D178">
        <f t="shared" si="190"/>
        <v>3.2411999999999996</v>
      </c>
    </row>
    <row r="179" spans="2:5" x14ac:dyDescent="0.25">
      <c r="B179">
        <f t="shared" si="189"/>
        <v>150</v>
      </c>
      <c r="C179">
        <f>'Wetland Operation'!$R$49</f>
        <v>3504</v>
      </c>
      <c r="D179">
        <f t="shared" si="190"/>
        <v>3.504</v>
      </c>
    </row>
    <row r="180" spans="2:5" x14ac:dyDescent="0.25">
      <c r="B180">
        <f t="shared" si="189"/>
        <v>200</v>
      </c>
      <c r="C180">
        <f>'Wetland Operation'!$R$49</f>
        <v>3504</v>
      </c>
      <c r="D180">
        <f t="shared" si="190"/>
        <v>3.504</v>
      </c>
    </row>
    <row r="181" spans="2:5" x14ac:dyDescent="0.25">
      <c r="B181">
        <f t="shared" si="189"/>
        <v>300</v>
      </c>
      <c r="C181">
        <f>'Wetland Operation'!$R$50</f>
        <v>5256</v>
      </c>
      <c r="D181">
        <f t="shared" si="190"/>
        <v>5.2560000000000002</v>
      </c>
    </row>
    <row r="182" spans="2:5" x14ac:dyDescent="0.25">
      <c r="B182">
        <f t="shared" si="189"/>
        <v>400</v>
      </c>
      <c r="C182">
        <f>'Wetland Operation'!$R$50</f>
        <v>5256</v>
      </c>
      <c r="D182">
        <f t="shared" si="190"/>
        <v>5.2560000000000002</v>
      </c>
    </row>
    <row r="183" spans="2:5" x14ac:dyDescent="0.25">
      <c r="B183">
        <f t="shared" si="189"/>
        <v>500</v>
      </c>
      <c r="C183">
        <f>'Wetland Operation'!$R$50</f>
        <v>5256</v>
      </c>
      <c r="D183">
        <f t="shared" si="190"/>
        <v>5.2560000000000002</v>
      </c>
    </row>
    <row r="184" spans="2:5" x14ac:dyDescent="0.25">
      <c r="B184">
        <f t="shared" si="189"/>
        <v>600</v>
      </c>
      <c r="C184">
        <v>9636</v>
      </c>
      <c r="D184">
        <f t="shared" si="190"/>
        <v>9.6359999999999992</v>
      </c>
    </row>
    <row r="185" spans="2:5" x14ac:dyDescent="0.25">
      <c r="B185">
        <f t="shared" si="189"/>
        <v>800</v>
      </c>
      <c r="C185">
        <v>19272</v>
      </c>
      <c r="D185">
        <f t="shared" si="190"/>
        <v>19.271999999999998</v>
      </c>
    </row>
    <row r="186" spans="2:5" x14ac:dyDescent="0.25">
      <c r="B186">
        <f t="shared" si="189"/>
        <v>1000</v>
      </c>
      <c r="C186">
        <v>19272</v>
      </c>
      <c r="D186">
        <f t="shared" si="190"/>
        <v>19.271999999999998</v>
      </c>
    </row>
    <row r="190" spans="2:5" x14ac:dyDescent="0.25">
      <c r="B190" s="122" t="str">
        <f>B171</f>
        <v>PE</v>
      </c>
      <c r="C190" s="122" t="str">
        <f>D171</f>
        <v>Power (MWh yr-1)</v>
      </c>
      <c r="D190" s="122"/>
      <c r="E190" s="122"/>
    </row>
    <row r="191" spans="2:5" x14ac:dyDescent="0.25">
      <c r="B191" s="122"/>
      <c r="C191" t="s">
        <v>1321</v>
      </c>
      <c r="D191" t="s">
        <v>1322</v>
      </c>
      <c r="E191" t="s">
        <v>1323</v>
      </c>
    </row>
    <row r="192" spans="2:5" x14ac:dyDescent="0.25">
      <c r="B192">
        <f t="shared" ref="B192:B206" si="191">B172</f>
        <v>5</v>
      </c>
      <c r="C192">
        <f>ROUND(D172,1)</f>
        <v>0.3</v>
      </c>
      <c r="D192" s="7">
        <f>ROUND(C192+'Wet Well'!Y11,1)</f>
        <v>1.6</v>
      </c>
      <c r="E192" s="7">
        <f>ROUND('Wetland Design'!S233+'Wet Well'!Y11,1)</f>
        <v>1.4</v>
      </c>
    </row>
    <row r="193" spans="1:174" x14ac:dyDescent="0.25">
      <c r="B193">
        <f t="shared" si="191"/>
        <v>10</v>
      </c>
      <c r="C193">
        <f>ROUND(D173,1)</f>
        <v>0.5</v>
      </c>
      <c r="D193" s="7">
        <f>ROUND(C193+'Wet Well'!Y12,1)</f>
        <v>1.8</v>
      </c>
      <c r="E193" s="7">
        <f>ROUND('Wetland Design'!S234+'Wet Well'!Y12,1)</f>
        <v>1.4</v>
      </c>
    </row>
    <row r="194" spans="1:174" x14ac:dyDescent="0.25">
      <c r="B194">
        <f t="shared" si="191"/>
        <v>20</v>
      </c>
      <c r="C194">
        <f t="shared" ref="C194:C206" si="192">ROUND(D174,1)</f>
        <v>3.2</v>
      </c>
      <c r="D194" s="7">
        <f>ROUND(C194+'Wet Well'!Y13,1)</f>
        <v>4.5</v>
      </c>
      <c r="E194" s="7">
        <f>ROUND('Wetland Design'!S235+'Wet Well'!Y13,1)</f>
        <v>1.4</v>
      </c>
    </row>
    <row r="195" spans="1:174" x14ac:dyDescent="0.25">
      <c r="B195">
        <f t="shared" si="191"/>
        <v>30</v>
      </c>
      <c r="C195">
        <f t="shared" si="192"/>
        <v>3.2</v>
      </c>
      <c r="D195" s="7">
        <f>ROUND(C195+'Wet Well'!Y14,1)</f>
        <v>4.5</v>
      </c>
      <c r="E195" s="7">
        <f>ROUND('Wetland Design'!S236+'Wet Well'!Y14,1)</f>
        <v>1.5</v>
      </c>
    </row>
    <row r="196" spans="1:174" x14ac:dyDescent="0.25">
      <c r="B196">
        <f t="shared" si="191"/>
        <v>50</v>
      </c>
      <c r="C196">
        <f t="shared" si="192"/>
        <v>3.2</v>
      </c>
      <c r="D196" s="7">
        <f>ROUND(C196+'Wet Well'!Y15,1)</f>
        <v>4.5</v>
      </c>
      <c r="E196" s="7">
        <f>ROUND('Wetland Design'!S237+'Wet Well'!Y15,1)</f>
        <v>1.5</v>
      </c>
    </row>
    <row r="197" spans="1:174" x14ac:dyDescent="0.25">
      <c r="B197">
        <f t="shared" si="191"/>
        <v>75</v>
      </c>
      <c r="C197">
        <f t="shared" si="192"/>
        <v>3.2</v>
      </c>
      <c r="D197" s="7">
        <f>ROUND(C197+'Wet Well'!Y16,1)</f>
        <v>4.5</v>
      </c>
      <c r="E197" s="7">
        <f>ROUND('Wetland Design'!S238+'Wet Well'!Y16,1)</f>
        <v>1.7</v>
      </c>
    </row>
    <row r="198" spans="1:174" x14ac:dyDescent="0.25">
      <c r="B198">
        <f t="shared" si="191"/>
        <v>100</v>
      </c>
      <c r="C198">
        <f t="shared" si="192"/>
        <v>3.2</v>
      </c>
      <c r="D198" s="7">
        <f>ROUND(C198+'Wet Well'!Y17,1)</f>
        <v>4.5</v>
      </c>
      <c r="E198" s="7">
        <f>ROUND('Wetland Design'!S239+'Wet Well'!Y17,1)</f>
        <v>1.7</v>
      </c>
    </row>
    <row r="199" spans="1:174" x14ac:dyDescent="0.25">
      <c r="B199">
        <f t="shared" si="191"/>
        <v>150</v>
      </c>
      <c r="C199">
        <f t="shared" si="192"/>
        <v>3.5</v>
      </c>
      <c r="D199" s="7">
        <f>ROUND(C199+'Wet Well'!Y18,1)</f>
        <v>4.8</v>
      </c>
      <c r="E199" s="7">
        <f>ROUND('Wetland Design'!S240+'Wet Well'!Y18,1)</f>
        <v>2</v>
      </c>
    </row>
    <row r="200" spans="1:174" x14ac:dyDescent="0.25">
      <c r="B200">
        <f t="shared" si="191"/>
        <v>200</v>
      </c>
      <c r="C200">
        <f t="shared" si="192"/>
        <v>3.5</v>
      </c>
      <c r="D200" s="7">
        <f>ROUND(C200+'Wet Well'!Y19,1)</f>
        <v>4.8</v>
      </c>
      <c r="E200" s="7">
        <f>ROUND('Wetland Design'!S241+'Wet Well'!Y19,1)</f>
        <v>2.1</v>
      </c>
    </row>
    <row r="201" spans="1:174" x14ac:dyDescent="0.25">
      <c r="B201">
        <f t="shared" si="191"/>
        <v>300</v>
      </c>
      <c r="C201">
        <f t="shared" si="192"/>
        <v>5.3</v>
      </c>
      <c r="D201" s="7">
        <f>ROUND(C201+'Wet Well'!Y20,1)</f>
        <v>6.6</v>
      </c>
      <c r="E201" s="7">
        <f>ROUND('Wetland Design'!S242+'Wet Well'!Y20,1)</f>
        <v>2.6</v>
      </c>
    </row>
    <row r="202" spans="1:174" x14ac:dyDescent="0.25">
      <c r="B202">
        <f t="shared" si="191"/>
        <v>400</v>
      </c>
      <c r="C202">
        <f t="shared" si="192"/>
        <v>5.3</v>
      </c>
      <c r="D202" s="7">
        <f>ROUND(C202+'Wet Well'!Y21,1)</f>
        <v>6.6</v>
      </c>
      <c r="E202" s="7">
        <f>ROUND('Wetland Design'!S243+'Wet Well'!Y21,1)</f>
        <v>3</v>
      </c>
    </row>
    <row r="203" spans="1:174" x14ac:dyDescent="0.25">
      <c r="B203">
        <f t="shared" si="191"/>
        <v>500</v>
      </c>
      <c r="C203">
        <f t="shared" si="192"/>
        <v>5.3</v>
      </c>
      <c r="D203" s="7">
        <f>ROUND(C203+'Wet Well'!Y22,1)</f>
        <v>6.6</v>
      </c>
      <c r="E203" s="7">
        <f>ROUND('Wetland Design'!S244+'Wet Well'!Y22,1)</f>
        <v>2.4</v>
      </c>
    </row>
    <row r="204" spans="1:174" x14ac:dyDescent="0.25">
      <c r="B204">
        <f t="shared" si="191"/>
        <v>600</v>
      </c>
      <c r="C204">
        <f t="shared" si="192"/>
        <v>9.6</v>
      </c>
      <c r="D204" s="7">
        <f>ROUND(C204+'Wet Well'!Y23,1)</f>
        <v>10.9</v>
      </c>
      <c r="E204" s="7">
        <f>ROUND('Wetland Design'!S245+'Wet Well'!Y23,1)</f>
        <v>2.7</v>
      </c>
    </row>
    <row r="205" spans="1:174" x14ac:dyDescent="0.25">
      <c r="B205">
        <f t="shared" si="191"/>
        <v>800</v>
      </c>
      <c r="C205">
        <f t="shared" si="192"/>
        <v>19.3</v>
      </c>
      <c r="D205" s="7">
        <f>ROUND(C205+'Wet Well'!Y24,1)</f>
        <v>25.1</v>
      </c>
      <c r="E205" s="7">
        <f>ROUND('Wetland Design'!S246+'Wet Well'!Y24,1)</f>
        <v>7.7</v>
      </c>
    </row>
    <row r="206" spans="1:174" x14ac:dyDescent="0.25">
      <c r="B206">
        <f t="shared" si="191"/>
        <v>1000</v>
      </c>
      <c r="C206">
        <f t="shared" si="192"/>
        <v>19.3</v>
      </c>
      <c r="D206" s="7">
        <f>ROUND(C206+'Wet Well'!Y25,1)</f>
        <v>25.1</v>
      </c>
      <c r="E206" s="7">
        <f>ROUND('Wetland Design'!S247+'Wet Well'!Y25,1)</f>
        <v>8</v>
      </c>
    </row>
    <row r="207" spans="1:174" ht="15.75" thickBot="1" x14ac:dyDescent="0.3"/>
    <row r="208" spans="1:174" s="88" customFormat="1" ht="15.75" thickBot="1" x14ac:dyDescent="0.3">
      <c r="A208" s="129" t="s">
        <v>1612</v>
      </c>
      <c r="B208" s="130"/>
      <c r="C208" s="130"/>
      <c r="D208" s="130"/>
      <c r="E208" s="130"/>
      <c r="F208" s="130"/>
      <c r="G208" s="130"/>
      <c r="H208" s="131"/>
      <c r="T208" s="90"/>
      <c r="AE208" s="90"/>
      <c r="AP208" s="90"/>
      <c r="BA208" s="90"/>
      <c r="BL208" s="90"/>
      <c r="BW208" s="90"/>
      <c r="CH208" s="90"/>
      <c r="CS208" s="90"/>
      <c r="DD208" s="90"/>
      <c r="DO208" s="90"/>
      <c r="DZ208" s="90"/>
      <c r="EK208" s="90"/>
      <c r="EV208" s="90"/>
      <c r="FG208" s="90"/>
      <c r="FR208" s="90"/>
    </row>
    <row r="210" spans="10:171" x14ac:dyDescent="0.25">
      <c r="K210" t="s">
        <v>1614</v>
      </c>
      <c r="L210" t="s">
        <v>1614</v>
      </c>
      <c r="W210" t="s">
        <v>1614</v>
      </c>
      <c r="X210" t="s">
        <v>1614</v>
      </c>
      <c r="AH210" t="s">
        <v>1614</v>
      </c>
      <c r="AI210" t="s">
        <v>1614</v>
      </c>
      <c r="AS210" t="s">
        <v>1614</v>
      </c>
      <c r="AT210" t="s">
        <v>1614</v>
      </c>
      <c r="BD210" t="s">
        <v>1614</v>
      </c>
      <c r="BE210" t="s">
        <v>1614</v>
      </c>
      <c r="BO210" t="s">
        <v>1614</v>
      </c>
      <c r="BP210" t="s">
        <v>1614</v>
      </c>
      <c r="BZ210" t="s">
        <v>1614</v>
      </c>
      <c r="CA210" t="s">
        <v>1614</v>
      </c>
      <c r="CK210" t="s">
        <v>1614</v>
      </c>
      <c r="CL210" t="s">
        <v>1614</v>
      </c>
      <c r="CV210" t="s">
        <v>1614</v>
      </c>
      <c r="CW210" t="s">
        <v>1614</v>
      </c>
      <c r="DG210" t="s">
        <v>1614</v>
      </c>
      <c r="DH210" t="s">
        <v>1614</v>
      </c>
      <c r="DR210" t="s">
        <v>1614</v>
      </c>
      <c r="DS210" t="s">
        <v>1614</v>
      </c>
      <c r="EC210" t="s">
        <v>1614</v>
      </c>
      <c r="ED210" t="s">
        <v>1614</v>
      </c>
      <c r="EN210" t="s">
        <v>1614</v>
      </c>
      <c r="EO210" t="s">
        <v>1614</v>
      </c>
      <c r="EY210" t="s">
        <v>1614</v>
      </c>
      <c r="EZ210" t="s">
        <v>1614</v>
      </c>
      <c r="FJ210" t="s">
        <v>1614</v>
      </c>
      <c r="FK210" t="s">
        <v>1614</v>
      </c>
    </row>
    <row r="211" spans="10:171" x14ac:dyDescent="0.25">
      <c r="J211" t="s">
        <v>1613</v>
      </c>
      <c r="K211">
        <v>0</v>
      </c>
      <c r="L211">
        <v>3.5000000000000003E-2</v>
      </c>
      <c r="M211">
        <v>0.06</v>
      </c>
      <c r="V211" t="s">
        <v>1613</v>
      </c>
      <c r="W211">
        <v>0</v>
      </c>
      <c r="X211">
        <v>3.5000000000000003E-2</v>
      </c>
      <c r="Y211">
        <v>0.06</v>
      </c>
      <c r="AG211" t="s">
        <v>1613</v>
      </c>
      <c r="AH211">
        <v>0</v>
      </c>
      <c r="AI211">
        <v>3.5000000000000003E-2</v>
      </c>
      <c r="AJ211">
        <v>0.06</v>
      </c>
      <c r="AR211" t="s">
        <v>1613</v>
      </c>
      <c r="AS211">
        <v>0</v>
      </c>
      <c r="AT211">
        <v>3.5000000000000003E-2</v>
      </c>
      <c r="AU211">
        <v>0.06</v>
      </c>
      <c r="BC211" t="s">
        <v>1613</v>
      </c>
      <c r="BD211">
        <v>0</v>
      </c>
      <c r="BE211">
        <v>3.5000000000000003E-2</v>
      </c>
      <c r="BF211">
        <v>0.06</v>
      </c>
      <c r="BN211" t="s">
        <v>1613</v>
      </c>
      <c r="BO211">
        <v>0</v>
      </c>
      <c r="BP211">
        <v>3.5000000000000003E-2</v>
      </c>
      <c r="BQ211">
        <v>0.06</v>
      </c>
      <c r="BY211" t="s">
        <v>1613</v>
      </c>
      <c r="BZ211">
        <v>0</v>
      </c>
      <c r="CA211">
        <v>3.5000000000000003E-2</v>
      </c>
      <c r="CB211">
        <v>0.06</v>
      </c>
      <c r="CJ211" t="s">
        <v>1613</v>
      </c>
      <c r="CK211">
        <v>0</v>
      </c>
      <c r="CL211">
        <v>3.5000000000000003E-2</v>
      </c>
      <c r="CM211">
        <v>0.06</v>
      </c>
      <c r="CU211" t="s">
        <v>1613</v>
      </c>
      <c r="CV211">
        <v>0</v>
      </c>
      <c r="CW211">
        <v>3.5000000000000003E-2</v>
      </c>
      <c r="CX211">
        <v>0.06</v>
      </c>
      <c r="DF211" t="s">
        <v>1613</v>
      </c>
      <c r="DG211">
        <v>0</v>
      </c>
      <c r="DH211">
        <v>3.5000000000000003E-2</v>
      </c>
      <c r="DI211">
        <v>0.06</v>
      </c>
      <c r="DQ211" t="s">
        <v>1613</v>
      </c>
      <c r="DR211">
        <v>0</v>
      </c>
      <c r="DS211">
        <v>3.5000000000000003E-2</v>
      </c>
      <c r="DT211">
        <v>0.06</v>
      </c>
      <c r="EB211" t="s">
        <v>1613</v>
      </c>
      <c r="EC211">
        <v>0</v>
      </c>
      <c r="ED211">
        <v>3.5000000000000003E-2</v>
      </c>
      <c r="EE211">
        <v>0.06</v>
      </c>
      <c r="EM211" t="s">
        <v>1613</v>
      </c>
      <c r="EN211">
        <v>0</v>
      </c>
      <c r="EO211">
        <v>3.5000000000000003E-2</v>
      </c>
      <c r="EP211">
        <v>0.06</v>
      </c>
      <c r="EX211" t="s">
        <v>1613</v>
      </c>
      <c r="EY211">
        <v>0</v>
      </c>
      <c r="EZ211">
        <v>3.5000000000000003E-2</v>
      </c>
      <c r="FA211">
        <v>0.06</v>
      </c>
      <c r="FI211" t="s">
        <v>1613</v>
      </c>
      <c r="FJ211">
        <v>0</v>
      </c>
      <c r="FK211">
        <v>3.5000000000000003E-2</v>
      </c>
      <c r="FL211">
        <v>0.06</v>
      </c>
    </row>
    <row r="212" spans="10:171" x14ac:dyDescent="0.25">
      <c r="J212">
        <v>1</v>
      </c>
      <c r="K212">
        <f>N149+N163</f>
        <v>553.08985310132357</v>
      </c>
      <c r="L212">
        <f>K212/((1+L$211)^J212)</f>
        <v>534.38633149886334</v>
      </c>
      <c r="M212">
        <f>K212/((1+M$211)^J212)</f>
        <v>521.78288028426755</v>
      </c>
      <c r="V212">
        <v>1</v>
      </c>
      <c r="W212">
        <f>Z149+Z163</f>
        <v>562.45463002440056</v>
      </c>
      <c r="X212">
        <f>W212/((1+X$211)^V212)</f>
        <v>543.43442514434844</v>
      </c>
      <c r="Y212">
        <f>W212/((1+Y$211)^V212)</f>
        <v>530.61757549471747</v>
      </c>
      <c r="AA212">
        <v>0</v>
      </c>
      <c r="AG212">
        <v>1</v>
      </c>
      <c r="AH212">
        <f>AK149+AK163</f>
        <v>679.89148990681315</v>
      </c>
      <c r="AI212">
        <f>AH212/((1+AI$211)^AG212)</f>
        <v>656.89999024812869</v>
      </c>
      <c r="AJ212">
        <f>AH212/((1+AJ$211)^AG212)</f>
        <v>641.40706594982373</v>
      </c>
      <c r="AL212">
        <f>$AK$155</f>
        <v>115.49891538461537</v>
      </c>
      <c r="AM212">
        <f>AL212/((1+AI$211)^AG212)</f>
        <v>111.59315496098104</v>
      </c>
      <c r="AR212">
        <v>1</v>
      </c>
      <c r="AS212">
        <f>AV149+AV163</f>
        <v>679.89148990681315</v>
      </c>
      <c r="AT212">
        <f>AS212/((1+AT$211)^AR212)</f>
        <v>656.89999024812869</v>
      </c>
      <c r="AU212">
        <f>AS212/((1+AU$211)^AR212)</f>
        <v>641.40706594982373</v>
      </c>
      <c r="BC212">
        <v>1</v>
      </c>
      <c r="BD212">
        <f>BG149+BG163</f>
        <v>679.89148990681315</v>
      </c>
      <c r="BE212">
        <f>BD212/((1+BE$211)^BC212)</f>
        <v>656.89999024812869</v>
      </c>
      <c r="BF212">
        <f>BD212/((1+BF$211)^BC212)</f>
        <v>641.40706594982373</v>
      </c>
      <c r="BN212">
        <v>1</v>
      </c>
      <c r="BO212">
        <f>BR149+BR163</f>
        <v>679.89148990681315</v>
      </c>
      <c r="BP212">
        <f>BO212/((1+BP$211)^BN212)</f>
        <v>656.89999024812869</v>
      </c>
      <c r="BQ212">
        <f>BO212/((1+BQ$211)^BN212)</f>
        <v>641.40706594982373</v>
      </c>
      <c r="BY212">
        <v>1</v>
      </c>
      <c r="BZ212">
        <f>CC149+CC163</f>
        <v>679.89148990681315</v>
      </c>
      <c r="CA212">
        <f>BZ212/((1+CA$211)^BY212)</f>
        <v>656.89999024812869</v>
      </c>
      <c r="CB212">
        <f>BZ212/((1+CB$211)^BY212)</f>
        <v>641.40706594982373</v>
      </c>
      <c r="CJ212">
        <v>1</v>
      </c>
      <c r="CK212">
        <f>CN149+CN163</f>
        <v>732.9212668298901</v>
      </c>
      <c r="CL212">
        <f>CK212/((1+CL$211)^CJ212)</f>
        <v>708.13648969071517</v>
      </c>
      <c r="CM212">
        <f>CK212/((1+CM$211)^CJ212)</f>
        <v>691.43515738668873</v>
      </c>
      <c r="CU212">
        <v>1</v>
      </c>
      <c r="CV212">
        <f>CY149+CY163</f>
        <v>732.9212668298901</v>
      </c>
      <c r="CW212">
        <f>CV212/((1+CW$211)^CU212)</f>
        <v>708.13648969071517</v>
      </c>
      <c r="CX212">
        <f>CV212/((1+CX$211)^CU212)</f>
        <v>691.43515738668873</v>
      </c>
      <c r="DF212">
        <v>1</v>
      </c>
      <c r="DG212">
        <f>DJ149+DJ163</f>
        <v>859.6281129837364</v>
      </c>
      <c r="DH212">
        <f>DG212/((1+DH$211)^DF212)</f>
        <v>830.55856326931064</v>
      </c>
      <c r="DI212">
        <f>DG212/((1+DI$211)^DF212)</f>
        <v>810.96991790918526</v>
      </c>
      <c r="DQ212">
        <v>1</v>
      </c>
      <c r="DR212">
        <f>DU149+DU163</f>
        <v>859.6281129837364</v>
      </c>
      <c r="DS212">
        <f>DR212/((1+DS$211)^DQ212)</f>
        <v>830.55856326931064</v>
      </c>
      <c r="DT212">
        <f>DR212/((1+DT$211)^DQ212)</f>
        <v>810.96991790918526</v>
      </c>
      <c r="EB212">
        <v>1</v>
      </c>
      <c r="EC212">
        <f>EF149+EF163</f>
        <v>859.6281129837364</v>
      </c>
      <c r="ED212">
        <f>EC212/((1+ED$211)^EB212)</f>
        <v>830.55856326931064</v>
      </c>
      <c r="EE212">
        <f>EC212/((1+EE$211)^EB212)</f>
        <v>810.96991790918526</v>
      </c>
      <c r="EM212">
        <v>1</v>
      </c>
      <c r="EN212">
        <f>EQ149+EQ163</f>
        <v>859.6281129837364</v>
      </c>
      <c r="EO212">
        <f>EN212/((1+EO$211)^EM212)</f>
        <v>830.55856326931064</v>
      </c>
      <c r="EP212">
        <f>EN212/((1+EP$211)^EM212)</f>
        <v>810.96991790918526</v>
      </c>
      <c r="EX212">
        <v>1</v>
      </c>
      <c r="EY212">
        <f>FB149+FB163</f>
        <v>1359.0828822145056</v>
      </c>
      <c r="EZ212">
        <f>EY212/((1+EZ$211)^EX212)</f>
        <v>1313.1235576951747</v>
      </c>
      <c r="FA212">
        <f>EY212/((1+FA$211)^EX212)</f>
        <v>1282.1536624665146</v>
      </c>
      <c r="FI212">
        <v>1</v>
      </c>
      <c r="FJ212">
        <f>FM149+FM163</f>
        <v>1359.0828822145056</v>
      </c>
      <c r="FK212">
        <f>FJ212/((1+FK$211)^FI212)</f>
        <v>1313.1235576951747</v>
      </c>
      <c r="FL212">
        <f>FJ212/((1+FL$211)^FI212)</f>
        <v>1282.1536624665146</v>
      </c>
      <c r="FN212">
        <f>$FM$155</f>
        <v>686.75030769230773</v>
      </c>
      <c r="FO212">
        <f>FN212/((1+FK$211)^FI212)</f>
        <v>663.52686733556311</v>
      </c>
    </row>
    <row r="213" spans="10:171" x14ac:dyDescent="0.25">
      <c r="J213">
        <v>2</v>
      </c>
      <c r="K213">
        <f>K212</f>
        <v>553.08985310132357</v>
      </c>
      <c r="L213">
        <f t="shared" ref="L213:L241" si="193">K213/((1+L$211)^J213)</f>
        <v>516.31529613416751</v>
      </c>
      <c r="M213">
        <f t="shared" ref="M213:M241" si="194">K213/((1+M$211)^J213)</f>
        <v>492.24800026817684</v>
      </c>
      <c r="V213">
        <v>2</v>
      </c>
      <c r="W213">
        <f>W212</f>
        <v>562.45463002440056</v>
      </c>
      <c r="X213">
        <f t="shared" ref="X213:X241" si="195">W213/((1+X$211)^V213)</f>
        <v>525.0574155984043</v>
      </c>
      <c r="Y213">
        <f t="shared" ref="Y213:Y241" si="196">W213/((1+Y$211)^V213)</f>
        <v>500.58261839124287</v>
      </c>
      <c r="AG213">
        <v>2</v>
      </c>
      <c r="AH213">
        <f>AH212</f>
        <v>679.89148990681315</v>
      </c>
      <c r="AI213">
        <f t="shared" ref="AI213:AI241" si="197">AH213/((1+AI$211)^AG213)</f>
        <v>634.68598091606646</v>
      </c>
      <c r="AJ213">
        <f t="shared" ref="AJ213:AJ241" si="198">AH213/((1+AJ$211)^AG213)</f>
        <v>605.10100561304114</v>
      </c>
      <c r="AL213">
        <f t="shared" ref="AL213:AL241" si="199">$AK$155</f>
        <v>115.49891538461537</v>
      </c>
      <c r="AM213">
        <f t="shared" ref="AM213:AM241" si="200">AL213/((1+AI$211)^AG213)</f>
        <v>107.81947339225222</v>
      </c>
      <c r="AR213">
        <v>2</v>
      </c>
      <c r="AS213">
        <f>AS212</f>
        <v>679.89148990681315</v>
      </c>
      <c r="AT213">
        <f t="shared" ref="AT213:AT241" si="201">AS213/((1+AT$211)^AR213)</f>
        <v>634.68598091606646</v>
      </c>
      <c r="AU213">
        <f t="shared" ref="AU213:AU241" si="202">AS213/((1+AU$211)^AR213)</f>
        <v>605.10100561304114</v>
      </c>
      <c r="BC213">
        <v>2</v>
      </c>
      <c r="BD213">
        <f>BD212</f>
        <v>679.89148990681315</v>
      </c>
      <c r="BE213">
        <f t="shared" ref="BE213:BE241" si="203">BD213/((1+BE$211)^BC213)</f>
        <v>634.68598091606646</v>
      </c>
      <c r="BF213">
        <f t="shared" ref="BF213:BF241" si="204">BD213/((1+BF$211)^BC213)</f>
        <v>605.10100561304114</v>
      </c>
      <c r="BN213">
        <v>2</v>
      </c>
      <c r="BO213">
        <f>BO212</f>
        <v>679.89148990681315</v>
      </c>
      <c r="BP213">
        <f t="shared" ref="BP213:BP241" si="205">BO213/((1+BP$211)^BN213)</f>
        <v>634.68598091606646</v>
      </c>
      <c r="BQ213">
        <f t="shared" ref="BQ213:BQ241" si="206">BO213/((1+BQ$211)^BN213)</f>
        <v>605.10100561304114</v>
      </c>
      <c r="BY213">
        <v>2</v>
      </c>
      <c r="BZ213">
        <f>BZ212</f>
        <v>679.89148990681315</v>
      </c>
      <c r="CA213">
        <f t="shared" ref="CA213:CA241" si="207">BZ213/((1+CA$211)^BY213)</f>
        <v>634.68598091606646</v>
      </c>
      <c r="CB213">
        <f t="shared" ref="CB213:CB241" si="208">BZ213/((1+CB$211)^BY213)</f>
        <v>605.10100561304114</v>
      </c>
      <c r="CJ213">
        <v>2</v>
      </c>
      <c r="CK213">
        <f>CK212</f>
        <v>732.9212668298901</v>
      </c>
      <c r="CL213">
        <f t="shared" ref="CL213:CL241" si="209">CK213/((1+CL$211)^CJ213)</f>
        <v>684.18984511180213</v>
      </c>
      <c r="CM213">
        <f t="shared" ref="CM213:CM241" si="210">CK213/((1+CM$211)^CJ213)</f>
        <v>652.29731828932893</v>
      </c>
      <c r="CU213">
        <v>2</v>
      </c>
      <c r="CV213">
        <f>CV212</f>
        <v>732.9212668298901</v>
      </c>
      <c r="CW213">
        <f t="shared" ref="CW213:CW241" si="211">CV213/((1+CW$211)^CU213)</f>
        <v>684.18984511180213</v>
      </c>
      <c r="CX213">
        <f t="shared" ref="CX213:CX241" si="212">CV213/((1+CX$211)^CU213)</f>
        <v>652.29731828932893</v>
      </c>
      <c r="DF213">
        <v>2</v>
      </c>
      <c r="DG213">
        <f>DG212</f>
        <v>859.6281129837364</v>
      </c>
      <c r="DH213">
        <f t="shared" ref="DH213:DH241" si="213">DG213/((1+DH$211)^DF213)</f>
        <v>802.4720418060972</v>
      </c>
      <c r="DI213">
        <f t="shared" ref="DI213:DI241" si="214">DG213/((1+DI$211)^DF213)</f>
        <v>765.06596029168418</v>
      </c>
      <c r="DQ213">
        <v>2</v>
      </c>
      <c r="DR213">
        <f>DR212</f>
        <v>859.6281129837364</v>
      </c>
      <c r="DS213">
        <f t="shared" ref="DS213:DS241" si="215">DR213/((1+DS$211)^DQ213)</f>
        <v>802.4720418060972</v>
      </c>
      <c r="DT213">
        <f t="shared" ref="DT213:DT241" si="216">DR213/((1+DT$211)^DQ213)</f>
        <v>765.06596029168418</v>
      </c>
      <c r="EB213">
        <v>2</v>
      </c>
      <c r="EC213">
        <f>EC212</f>
        <v>859.6281129837364</v>
      </c>
      <c r="ED213">
        <f t="shared" ref="ED213:ED241" si="217">EC213/((1+ED$211)^EB213)</f>
        <v>802.4720418060972</v>
      </c>
      <c r="EE213">
        <f t="shared" ref="EE213:EE241" si="218">EC213/((1+EE$211)^EB213)</f>
        <v>765.06596029168418</v>
      </c>
      <c r="EM213">
        <v>2</v>
      </c>
      <c r="EN213">
        <f>EN212</f>
        <v>859.6281129837364</v>
      </c>
      <c r="EO213">
        <f t="shared" ref="EO213:EO241" si="219">EN213/((1+EO$211)^EM213)</f>
        <v>802.4720418060972</v>
      </c>
      <c r="EP213">
        <f t="shared" ref="EP213:EP241" si="220">EN213/((1+EP$211)^EM213)</f>
        <v>765.06596029168418</v>
      </c>
      <c r="EX213">
        <v>2</v>
      </c>
      <c r="EY213">
        <f>EY212</f>
        <v>1359.0828822145056</v>
      </c>
      <c r="EZ213">
        <f t="shared" ref="EZ213:EZ241" si="221">EY213/((1+EZ$211)^EX213)</f>
        <v>1268.7184132320529</v>
      </c>
      <c r="FA213">
        <f t="shared" ref="FA213:FA241" si="222">EY213/((1+FA$211)^EX213)</f>
        <v>1209.5789268552023</v>
      </c>
      <c r="FI213">
        <v>2</v>
      </c>
      <c r="FJ213">
        <f>FJ212</f>
        <v>1359.0828822145056</v>
      </c>
      <c r="FK213">
        <f t="shared" ref="FK213:FK241" si="223">FJ213/((1+FK$211)^FI213)</f>
        <v>1268.7184132320529</v>
      </c>
      <c r="FL213">
        <f t="shared" ref="FL213:FL241" si="224">FJ213/((1+FL$211)^FI213)</f>
        <v>1209.5789268552023</v>
      </c>
      <c r="FN213">
        <f t="shared" ref="FN213:FN241" si="225">$FM$155</f>
        <v>686.75030769230773</v>
      </c>
      <c r="FO213">
        <f t="shared" ref="FO213:FO241" si="226">FN213/((1+FK$211)^FI213)</f>
        <v>641.08876071068903</v>
      </c>
    </row>
    <row r="214" spans="10:171" x14ac:dyDescent="0.25">
      <c r="J214">
        <v>3</v>
      </c>
      <c r="K214">
        <f t="shared" ref="K214:K217" si="227">K213</f>
        <v>553.08985310132357</v>
      </c>
      <c r="L214">
        <f t="shared" si="193"/>
        <v>498.8553585837368</v>
      </c>
      <c r="M214">
        <f t="shared" si="194"/>
        <v>464.38490591337433</v>
      </c>
      <c r="V214">
        <v>3</v>
      </c>
      <c r="W214">
        <f t="shared" ref="W214:W217" si="228">W213</f>
        <v>562.45463002440056</v>
      </c>
      <c r="X214">
        <f t="shared" si="195"/>
        <v>507.30185081971433</v>
      </c>
      <c r="Y214">
        <f t="shared" si="196"/>
        <v>472.24775319928568</v>
      </c>
      <c r="AG214">
        <v>3</v>
      </c>
      <c r="AH214">
        <f t="shared" ref="AH214:AH217" si="229">AH213</f>
        <v>679.89148990681315</v>
      </c>
      <c r="AI214">
        <f t="shared" si="197"/>
        <v>613.22316996721395</v>
      </c>
      <c r="AJ214">
        <f t="shared" si="198"/>
        <v>570.85000529532181</v>
      </c>
      <c r="AL214">
        <f t="shared" si="199"/>
        <v>115.49891538461537</v>
      </c>
      <c r="AM214">
        <f t="shared" si="200"/>
        <v>104.17340424372196</v>
      </c>
      <c r="AR214">
        <v>3</v>
      </c>
      <c r="AS214">
        <f t="shared" ref="AS214:AS217" si="230">AS213</f>
        <v>679.89148990681315</v>
      </c>
      <c r="AT214">
        <f t="shared" si="201"/>
        <v>613.22316996721395</v>
      </c>
      <c r="AU214">
        <f t="shared" si="202"/>
        <v>570.85000529532181</v>
      </c>
      <c r="BC214">
        <v>3</v>
      </c>
      <c r="BD214">
        <f t="shared" ref="BD214:BD217" si="231">BD213</f>
        <v>679.89148990681315</v>
      </c>
      <c r="BE214">
        <f t="shared" si="203"/>
        <v>613.22316996721395</v>
      </c>
      <c r="BF214">
        <f t="shared" si="204"/>
        <v>570.85000529532181</v>
      </c>
      <c r="BN214">
        <v>3</v>
      </c>
      <c r="BO214">
        <f t="shared" ref="BO214:BO217" si="232">BO213</f>
        <v>679.89148990681315</v>
      </c>
      <c r="BP214">
        <f t="shared" si="205"/>
        <v>613.22316996721395</v>
      </c>
      <c r="BQ214">
        <f t="shared" si="206"/>
        <v>570.85000529532181</v>
      </c>
      <c r="BY214">
        <v>3</v>
      </c>
      <c r="BZ214">
        <f t="shared" ref="BZ214:BZ217" si="233">BZ213</f>
        <v>679.89148990681315</v>
      </c>
      <c r="CA214">
        <f t="shared" si="207"/>
        <v>613.22316996721395</v>
      </c>
      <c r="CB214">
        <f t="shared" si="208"/>
        <v>570.85000529532181</v>
      </c>
      <c r="CJ214">
        <v>3</v>
      </c>
      <c r="CK214">
        <f t="shared" ref="CK214:CK217" si="234">CK213</f>
        <v>732.9212668298901</v>
      </c>
      <c r="CL214">
        <f t="shared" si="209"/>
        <v>661.05299044618562</v>
      </c>
      <c r="CM214">
        <f t="shared" si="210"/>
        <v>615.3748285748386</v>
      </c>
      <c r="CU214">
        <v>3</v>
      </c>
      <c r="CV214">
        <f t="shared" ref="CV214:CV217" si="235">CV213</f>
        <v>732.9212668298901</v>
      </c>
      <c r="CW214">
        <f t="shared" si="211"/>
        <v>661.05299044618562</v>
      </c>
      <c r="CX214">
        <f t="shared" si="212"/>
        <v>615.3748285748386</v>
      </c>
      <c r="DF214">
        <v>3</v>
      </c>
      <c r="DG214">
        <f t="shared" ref="DG214:DG217" si="236">DG213</f>
        <v>859.6281129837364</v>
      </c>
      <c r="DH214">
        <f t="shared" si="213"/>
        <v>775.33530609284765</v>
      </c>
      <c r="DI214">
        <f t="shared" si="214"/>
        <v>721.76033989781513</v>
      </c>
      <c r="DQ214">
        <v>3</v>
      </c>
      <c r="DR214">
        <f t="shared" ref="DR214:DR217" si="237">DR213</f>
        <v>859.6281129837364</v>
      </c>
      <c r="DS214">
        <f t="shared" si="215"/>
        <v>775.33530609284765</v>
      </c>
      <c r="DT214">
        <f t="shared" si="216"/>
        <v>721.76033989781513</v>
      </c>
      <c r="EB214">
        <v>3</v>
      </c>
      <c r="EC214">
        <f t="shared" ref="EC214:EC217" si="238">EC213</f>
        <v>859.6281129837364</v>
      </c>
      <c r="ED214">
        <f t="shared" si="217"/>
        <v>775.33530609284765</v>
      </c>
      <c r="EE214">
        <f t="shared" si="218"/>
        <v>721.76033989781513</v>
      </c>
      <c r="EM214">
        <v>3</v>
      </c>
      <c r="EN214">
        <f t="shared" ref="EN214:EN217" si="239">EN213</f>
        <v>859.6281129837364</v>
      </c>
      <c r="EO214">
        <f t="shared" si="219"/>
        <v>775.33530609284765</v>
      </c>
      <c r="EP214">
        <f t="shared" si="220"/>
        <v>721.76033989781513</v>
      </c>
      <c r="EX214">
        <v>3</v>
      </c>
      <c r="EY214">
        <f t="shared" ref="EY214:EY217" si="240">EY213</f>
        <v>1359.0828822145056</v>
      </c>
      <c r="EZ214">
        <f t="shared" si="221"/>
        <v>1225.8148920116453</v>
      </c>
      <c r="FA214">
        <f t="shared" si="222"/>
        <v>1141.1121951464172</v>
      </c>
      <c r="FI214">
        <v>3</v>
      </c>
      <c r="FJ214">
        <f t="shared" ref="FJ214:FJ217" si="241">FJ213</f>
        <v>1359.0828822145056</v>
      </c>
      <c r="FK214">
        <f t="shared" si="223"/>
        <v>1225.8148920116453</v>
      </c>
      <c r="FL214">
        <f t="shared" si="224"/>
        <v>1141.1121951464172</v>
      </c>
      <c r="FN214">
        <f t="shared" si="225"/>
        <v>686.75030769230773</v>
      </c>
      <c r="FO214">
        <f t="shared" si="226"/>
        <v>619.40943063834686</v>
      </c>
    </row>
    <row r="215" spans="10:171" x14ac:dyDescent="0.25">
      <c r="J215">
        <v>4</v>
      </c>
      <c r="K215">
        <f t="shared" si="227"/>
        <v>553.08985310132357</v>
      </c>
      <c r="L215">
        <f t="shared" si="193"/>
        <v>481.98585370409359</v>
      </c>
      <c r="M215">
        <f t="shared" si="194"/>
        <v>438.09896784280596</v>
      </c>
      <c r="V215">
        <v>4</v>
      </c>
      <c r="W215">
        <f t="shared" si="228"/>
        <v>562.45463002440056</v>
      </c>
      <c r="X215">
        <f t="shared" si="195"/>
        <v>490.14671576783996</v>
      </c>
      <c r="Y215">
        <f t="shared" si="196"/>
        <v>445.51674830121289</v>
      </c>
      <c r="AG215">
        <v>4</v>
      </c>
      <c r="AH215">
        <f t="shared" si="229"/>
        <v>679.89148990681315</v>
      </c>
      <c r="AI215">
        <f t="shared" si="197"/>
        <v>592.4861545576947</v>
      </c>
      <c r="AJ215">
        <f t="shared" si="198"/>
        <v>538.53774084464317</v>
      </c>
      <c r="AL215">
        <f t="shared" si="199"/>
        <v>115.49891538461537</v>
      </c>
      <c r="AM215">
        <f t="shared" si="200"/>
        <v>100.65063211953813</v>
      </c>
      <c r="AR215">
        <v>4</v>
      </c>
      <c r="AS215">
        <f t="shared" si="230"/>
        <v>679.89148990681315</v>
      </c>
      <c r="AT215">
        <f t="shared" si="201"/>
        <v>592.4861545576947</v>
      </c>
      <c r="AU215">
        <f t="shared" si="202"/>
        <v>538.53774084464317</v>
      </c>
      <c r="BC215">
        <v>4</v>
      </c>
      <c r="BD215">
        <f t="shared" si="231"/>
        <v>679.89148990681315</v>
      </c>
      <c r="BE215">
        <f t="shared" si="203"/>
        <v>592.4861545576947</v>
      </c>
      <c r="BF215">
        <f t="shared" si="204"/>
        <v>538.53774084464317</v>
      </c>
      <c r="BN215">
        <v>4</v>
      </c>
      <c r="BO215">
        <f t="shared" si="232"/>
        <v>679.89148990681315</v>
      </c>
      <c r="BP215">
        <f t="shared" si="205"/>
        <v>592.4861545576947</v>
      </c>
      <c r="BQ215">
        <f t="shared" si="206"/>
        <v>538.53774084464317</v>
      </c>
      <c r="BY215">
        <v>4</v>
      </c>
      <c r="BZ215">
        <f t="shared" si="233"/>
        <v>679.89148990681315</v>
      </c>
      <c r="CA215">
        <f t="shared" si="207"/>
        <v>592.4861545576947</v>
      </c>
      <c r="CB215">
        <f t="shared" si="208"/>
        <v>538.53774084464317</v>
      </c>
      <c r="CJ215">
        <v>4</v>
      </c>
      <c r="CK215">
        <f t="shared" si="234"/>
        <v>732.9212668298901</v>
      </c>
      <c r="CL215">
        <f t="shared" si="209"/>
        <v>638.69854149389926</v>
      </c>
      <c r="CM215">
        <f t="shared" si="210"/>
        <v>580.5422911083383</v>
      </c>
      <c r="CU215">
        <v>4</v>
      </c>
      <c r="CV215">
        <f t="shared" si="235"/>
        <v>732.9212668298901</v>
      </c>
      <c r="CW215">
        <f t="shared" si="211"/>
        <v>638.69854149389926</v>
      </c>
      <c r="CX215">
        <f t="shared" si="212"/>
        <v>580.5422911083383</v>
      </c>
      <c r="DF215">
        <v>4</v>
      </c>
      <c r="DG215">
        <f t="shared" si="236"/>
        <v>859.6281129837364</v>
      </c>
      <c r="DH215">
        <f t="shared" si="213"/>
        <v>749.11623777086731</v>
      </c>
      <c r="DI215">
        <f t="shared" si="214"/>
        <v>680.9059810356747</v>
      </c>
      <c r="DQ215">
        <v>4</v>
      </c>
      <c r="DR215">
        <f t="shared" si="237"/>
        <v>859.6281129837364</v>
      </c>
      <c r="DS215">
        <f t="shared" si="215"/>
        <v>749.11623777086731</v>
      </c>
      <c r="DT215">
        <f t="shared" si="216"/>
        <v>680.9059810356747</v>
      </c>
      <c r="EB215">
        <v>4</v>
      </c>
      <c r="EC215">
        <f t="shared" si="238"/>
        <v>859.6281129837364</v>
      </c>
      <c r="ED215">
        <f t="shared" si="217"/>
        <v>749.11623777086731</v>
      </c>
      <c r="EE215">
        <f t="shared" si="218"/>
        <v>680.9059810356747</v>
      </c>
      <c r="EM215">
        <v>4</v>
      </c>
      <c r="EN215">
        <f t="shared" si="239"/>
        <v>859.6281129837364</v>
      </c>
      <c r="EO215">
        <f t="shared" si="219"/>
        <v>749.11623777086731</v>
      </c>
      <c r="EP215">
        <f t="shared" si="220"/>
        <v>680.9059810356747</v>
      </c>
      <c r="EX215">
        <v>4</v>
      </c>
      <c r="EY215">
        <f t="shared" si="240"/>
        <v>1359.0828822145056</v>
      </c>
      <c r="EZ215">
        <f t="shared" si="221"/>
        <v>1184.3622145040054</v>
      </c>
      <c r="FA215">
        <f t="shared" si="222"/>
        <v>1076.5209388173748</v>
      </c>
      <c r="FI215">
        <v>4</v>
      </c>
      <c r="FJ215">
        <f t="shared" si="241"/>
        <v>1359.0828822145056</v>
      </c>
      <c r="FK215">
        <f t="shared" si="223"/>
        <v>1184.3622145040054</v>
      </c>
      <c r="FL215">
        <f t="shared" si="224"/>
        <v>1076.5209388173748</v>
      </c>
      <c r="FN215">
        <f t="shared" si="225"/>
        <v>686.75030769230773</v>
      </c>
      <c r="FO215">
        <f t="shared" si="226"/>
        <v>598.4632180080647</v>
      </c>
    </row>
    <row r="216" spans="10:171" x14ac:dyDescent="0.25">
      <c r="J216">
        <v>5</v>
      </c>
      <c r="K216">
        <f t="shared" si="227"/>
        <v>553.08985310132357</v>
      </c>
      <c r="L216">
        <f t="shared" si="193"/>
        <v>465.68681517303736</v>
      </c>
      <c r="M216">
        <f t="shared" si="194"/>
        <v>413.30091305925089</v>
      </c>
      <c r="V216">
        <v>5</v>
      </c>
      <c r="W216">
        <f t="shared" si="228"/>
        <v>562.45463002440056</v>
      </c>
      <c r="X216">
        <f t="shared" si="195"/>
        <v>473.57170605588408</v>
      </c>
      <c r="Y216">
        <f t="shared" si="196"/>
        <v>420.29881915208756</v>
      </c>
      <c r="AG216">
        <v>5</v>
      </c>
      <c r="AH216">
        <f t="shared" si="229"/>
        <v>679.89148990681315</v>
      </c>
      <c r="AI216">
        <f t="shared" si="197"/>
        <v>572.45039087699979</v>
      </c>
      <c r="AJ216">
        <f t="shared" si="198"/>
        <v>508.05447249494637</v>
      </c>
      <c r="AL216">
        <f t="shared" si="199"/>
        <v>115.49891538461537</v>
      </c>
      <c r="AM216">
        <f t="shared" si="200"/>
        <v>97.246987555109328</v>
      </c>
      <c r="AR216">
        <v>5</v>
      </c>
      <c r="AS216">
        <f t="shared" si="230"/>
        <v>679.89148990681315</v>
      </c>
      <c r="AT216">
        <f t="shared" si="201"/>
        <v>572.45039087699979</v>
      </c>
      <c r="AU216">
        <f t="shared" si="202"/>
        <v>508.05447249494637</v>
      </c>
      <c r="BC216">
        <v>5</v>
      </c>
      <c r="BD216">
        <f t="shared" si="231"/>
        <v>679.89148990681315</v>
      </c>
      <c r="BE216">
        <f t="shared" si="203"/>
        <v>572.45039087699979</v>
      </c>
      <c r="BF216">
        <f t="shared" si="204"/>
        <v>508.05447249494637</v>
      </c>
      <c r="BN216">
        <v>5</v>
      </c>
      <c r="BO216">
        <f t="shared" si="232"/>
        <v>679.89148990681315</v>
      </c>
      <c r="BP216">
        <f t="shared" si="205"/>
        <v>572.45039087699979</v>
      </c>
      <c r="BQ216">
        <f t="shared" si="206"/>
        <v>508.05447249494637</v>
      </c>
      <c r="BY216">
        <v>5</v>
      </c>
      <c r="BZ216">
        <f t="shared" si="233"/>
        <v>679.89148990681315</v>
      </c>
      <c r="CA216">
        <f t="shared" si="207"/>
        <v>572.45039087699979</v>
      </c>
      <c r="CB216">
        <f t="shared" si="208"/>
        <v>508.05447249494637</v>
      </c>
      <c r="CJ216">
        <v>5</v>
      </c>
      <c r="CK216">
        <f t="shared" si="234"/>
        <v>732.9212668298901</v>
      </c>
      <c r="CL216">
        <f t="shared" si="209"/>
        <v>617.10004009072395</v>
      </c>
      <c r="CM216">
        <f t="shared" si="210"/>
        <v>547.68140670597938</v>
      </c>
      <c r="CU216">
        <v>5</v>
      </c>
      <c r="CV216">
        <f t="shared" si="235"/>
        <v>732.9212668298901</v>
      </c>
      <c r="CW216">
        <f t="shared" si="211"/>
        <v>617.10004009072395</v>
      </c>
      <c r="CX216">
        <f t="shared" si="212"/>
        <v>547.68140670597938</v>
      </c>
      <c r="DF216">
        <v>5</v>
      </c>
      <c r="DG216">
        <f t="shared" si="236"/>
        <v>859.6281129837364</v>
      </c>
      <c r="DH216">
        <f t="shared" si="213"/>
        <v>723.78380460953372</v>
      </c>
      <c r="DI216">
        <f t="shared" si="214"/>
        <v>642.36413305252313</v>
      </c>
      <c r="DQ216">
        <v>5</v>
      </c>
      <c r="DR216">
        <f t="shared" si="237"/>
        <v>859.6281129837364</v>
      </c>
      <c r="DS216">
        <f t="shared" si="215"/>
        <v>723.78380460953372</v>
      </c>
      <c r="DT216">
        <f t="shared" si="216"/>
        <v>642.36413305252313</v>
      </c>
      <c r="EB216">
        <v>5</v>
      </c>
      <c r="EC216">
        <f t="shared" si="238"/>
        <v>859.6281129837364</v>
      </c>
      <c r="ED216">
        <f t="shared" si="217"/>
        <v>723.78380460953372</v>
      </c>
      <c r="EE216">
        <f t="shared" si="218"/>
        <v>642.36413305252313</v>
      </c>
      <c r="EM216">
        <v>5</v>
      </c>
      <c r="EN216">
        <f t="shared" si="239"/>
        <v>859.6281129837364</v>
      </c>
      <c r="EO216">
        <f t="shared" si="219"/>
        <v>723.78380460953372</v>
      </c>
      <c r="EP216">
        <f t="shared" si="220"/>
        <v>642.36413305252313</v>
      </c>
      <c r="EX216">
        <v>5</v>
      </c>
      <c r="EY216">
        <f t="shared" si="240"/>
        <v>1359.0828822145056</v>
      </c>
      <c r="EZ216">
        <f t="shared" si="221"/>
        <v>1144.311318361358</v>
      </c>
      <c r="FA216">
        <f t="shared" si="222"/>
        <v>1015.5857913371459</v>
      </c>
      <c r="FI216">
        <v>5</v>
      </c>
      <c r="FJ216">
        <f t="shared" si="241"/>
        <v>1359.0828822145056</v>
      </c>
      <c r="FK216">
        <f t="shared" si="223"/>
        <v>1144.311318361358</v>
      </c>
      <c r="FL216">
        <f t="shared" si="224"/>
        <v>1015.5857913371459</v>
      </c>
      <c r="FN216">
        <f t="shared" si="225"/>
        <v>686.75030769230773</v>
      </c>
      <c r="FO216">
        <f t="shared" si="226"/>
        <v>578.22533140875828</v>
      </c>
    </row>
    <row r="217" spans="10:171" x14ac:dyDescent="0.25">
      <c r="J217">
        <v>6</v>
      </c>
      <c r="K217">
        <f t="shared" si="227"/>
        <v>553.08985310132357</v>
      </c>
      <c r="L217">
        <f t="shared" si="193"/>
        <v>449.93895185800704</v>
      </c>
      <c r="M217">
        <f t="shared" si="194"/>
        <v>389.90652175401021</v>
      </c>
      <c r="V217">
        <v>6</v>
      </c>
      <c r="W217">
        <f t="shared" si="228"/>
        <v>562.45463002440056</v>
      </c>
      <c r="X217">
        <f t="shared" si="195"/>
        <v>457.55720391872859</v>
      </c>
      <c r="Y217">
        <f t="shared" si="196"/>
        <v>396.50831995479962</v>
      </c>
      <c r="AG217">
        <v>6</v>
      </c>
      <c r="AH217">
        <f t="shared" si="229"/>
        <v>679.89148990681315</v>
      </c>
      <c r="AI217">
        <f t="shared" si="197"/>
        <v>553.09216509855048</v>
      </c>
      <c r="AJ217">
        <f t="shared" si="198"/>
        <v>479.29667216504373</v>
      </c>
      <c r="AL217">
        <f t="shared" si="199"/>
        <v>115.49891538461537</v>
      </c>
      <c r="AM217">
        <f t="shared" si="200"/>
        <v>93.95844208223123</v>
      </c>
      <c r="AR217">
        <v>6</v>
      </c>
      <c r="AS217">
        <f t="shared" si="230"/>
        <v>679.89148990681315</v>
      </c>
      <c r="AT217">
        <f t="shared" si="201"/>
        <v>553.09216509855048</v>
      </c>
      <c r="AU217">
        <f t="shared" si="202"/>
        <v>479.29667216504373</v>
      </c>
      <c r="BC217">
        <v>6</v>
      </c>
      <c r="BD217">
        <f t="shared" si="231"/>
        <v>679.89148990681315</v>
      </c>
      <c r="BE217">
        <f t="shared" si="203"/>
        <v>553.09216509855048</v>
      </c>
      <c r="BF217">
        <f t="shared" si="204"/>
        <v>479.29667216504373</v>
      </c>
      <c r="BN217">
        <v>6</v>
      </c>
      <c r="BO217">
        <f t="shared" si="232"/>
        <v>679.89148990681315</v>
      </c>
      <c r="BP217">
        <f t="shared" si="205"/>
        <v>553.09216509855048</v>
      </c>
      <c r="BQ217">
        <f t="shared" si="206"/>
        <v>479.29667216504373</v>
      </c>
      <c r="BY217">
        <v>6</v>
      </c>
      <c r="BZ217">
        <f t="shared" si="233"/>
        <v>679.89148990681315</v>
      </c>
      <c r="CA217">
        <f t="shared" si="207"/>
        <v>553.09216509855048</v>
      </c>
      <c r="CB217">
        <f t="shared" si="208"/>
        <v>479.29667216504373</v>
      </c>
      <c r="CJ217">
        <v>6</v>
      </c>
      <c r="CK217">
        <f t="shared" si="234"/>
        <v>732.9212668298901</v>
      </c>
      <c r="CL217">
        <f t="shared" si="209"/>
        <v>596.23192279296995</v>
      </c>
      <c r="CM217">
        <f t="shared" si="210"/>
        <v>516.68057236413154</v>
      </c>
      <c r="CU217">
        <v>6</v>
      </c>
      <c r="CV217">
        <f t="shared" si="235"/>
        <v>732.9212668298901</v>
      </c>
      <c r="CW217">
        <f t="shared" si="211"/>
        <v>596.23192279296995</v>
      </c>
      <c r="CX217">
        <f t="shared" si="212"/>
        <v>516.68057236413154</v>
      </c>
      <c r="DF217">
        <v>6</v>
      </c>
      <c r="DG217">
        <f t="shared" si="236"/>
        <v>859.6281129837364</v>
      </c>
      <c r="DH217">
        <f t="shared" si="213"/>
        <v>699.30802377732721</v>
      </c>
      <c r="DI217">
        <f t="shared" si="214"/>
        <v>606.00389910615388</v>
      </c>
      <c r="DQ217">
        <v>6</v>
      </c>
      <c r="DR217">
        <f t="shared" si="237"/>
        <v>859.6281129837364</v>
      </c>
      <c r="DS217">
        <f t="shared" si="215"/>
        <v>699.30802377732721</v>
      </c>
      <c r="DT217">
        <f t="shared" si="216"/>
        <v>606.00389910615388</v>
      </c>
      <c r="EB217">
        <v>6</v>
      </c>
      <c r="EC217">
        <f t="shared" si="238"/>
        <v>859.6281129837364</v>
      </c>
      <c r="ED217">
        <f t="shared" si="217"/>
        <v>699.30802377732721</v>
      </c>
      <c r="EE217">
        <f t="shared" si="218"/>
        <v>606.00389910615388</v>
      </c>
      <c r="EM217">
        <v>6</v>
      </c>
      <c r="EN217">
        <f t="shared" si="239"/>
        <v>859.6281129837364</v>
      </c>
      <c r="EO217">
        <f t="shared" si="219"/>
        <v>699.30802377732721</v>
      </c>
      <c r="EP217">
        <f t="shared" si="220"/>
        <v>606.00389910615388</v>
      </c>
      <c r="EX217">
        <v>6</v>
      </c>
      <c r="EY217">
        <f t="shared" si="240"/>
        <v>1359.0828822145056</v>
      </c>
      <c r="EZ217">
        <f t="shared" si="221"/>
        <v>1105.614800349138</v>
      </c>
      <c r="FA217">
        <f t="shared" si="222"/>
        <v>958.09980314825077</v>
      </c>
      <c r="FI217">
        <v>6</v>
      </c>
      <c r="FJ217">
        <f t="shared" si="241"/>
        <v>1359.0828822145056</v>
      </c>
      <c r="FK217">
        <f t="shared" si="223"/>
        <v>1105.614800349138</v>
      </c>
      <c r="FL217">
        <f t="shared" si="224"/>
        <v>958.09980314825077</v>
      </c>
      <c r="FN217">
        <f t="shared" si="225"/>
        <v>686.75030769230773</v>
      </c>
      <c r="FO217">
        <f t="shared" si="226"/>
        <v>558.67181778623979</v>
      </c>
    </row>
    <row r="218" spans="10:171" x14ac:dyDescent="0.25">
      <c r="J218">
        <v>7</v>
      </c>
      <c r="K218">
        <f>K212+M142</f>
        <v>1481.7957202704411</v>
      </c>
      <c r="L218">
        <f t="shared" si="193"/>
        <v>1164.6780417125358</v>
      </c>
      <c r="M218">
        <f t="shared" si="194"/>
        <v>985.47878470098999</v>
      </c>
      <c r="V218">
        <v>7</v>
      </c>
      <c r="W218">
        <f>W212+Y142</f>
        <v>1947.4773664757427</v>
      </c>
      <c r="X218">
        <f t="shared" si="195"/>
        <v>1530.6996061862631</v>
      </c>
      <c r="Y218">
        <f t="shared" si="196"/>
        <v>1295.1836761931856</v>
      </c>
      <c r="AG218">
        <v>7</v>
      </c>
      <c r="AH218">
        <f>AH212+AJ142</f>
        <v>2959.9530340367855</v>
      </c>
      <c r="AI218">
        <f t="shared" si="197"/>
        <v>2326.4963288015583</v>
      </c>
      <c r="AJ218">
        <f t="shared" si="198"/>
        <v>1968.5378212741807</v>
      </c>
      <c r="AL218">
        <f t="shared" si="199"/>
        <v>115.49891538461537</v>
      </c>
      <c r="AM218">
        <f t="shared" si="200"/>
        <v>90.781103461092982</v>
      </c>
      <c r="AR218">
        <v>7</v>
      </c>
      <c r="AS218">
        <f>AS212+AU142</f>
        <v>3755.7909530152629</v>
      </c>
      <c r="AT218">
        <f t="shared" si="201"/>
        <v>2952.0177392880632</v>
      </c>
      <c r="AU218">
        <f t="shared" si="202"/>
        <v>2497.8154905812135</v>
      </c>
      <c r="BC218">
        <v>7</v>
      </c>
      <c r="BD218">
        <f>BD212+BF142</f>
        <v>5239.8512211513389</v>
      </c>
      <c r="BE218">
        <f t="shared" si="203"/>
        <v>4118.4756951530235</v>
      </c>
      <c r="BF218">
        <f t="shared" si="204"/>
        <v>3484.8003289493822</v>
      </c>
      <c r="BN218">
        <v>7</v>
      </c>
      <c r="BO218">
        <f>BO212+BQ142</f>
        <v>8492.3630842352068</v>
      </c>
      <c r="BP218">
        <f t="shared" si="205"/>
        <v>6674.9206190538316</v>
      </c>
      <c r="BQ218">
        <f t="shared" si="206"/>
        <v>5647.9064806343458</v>
      </c>
      <c r="BY218">
        <v>7</v>
      </c>
      <c r="BZ218">
        <f>BZ212+CB142</f>
        <v>10488.413852897145</v>
      </c>
      <c r="CA218">
        <f t="shared" si="207"/>
        <v>8243.7984802881037</v>
      </c>
      <c r="CB218">
        <f t="shared" si="208"/>
        <v>6975.3942434843002</v>
      </c>
      <c r="CJ218">
        <v>7</v>
      </c>
      <c r="CK218">
        <f>CK212+CM142</f>
        <v>13707.425053219611</v>
      </c>
      <c r="CL218">
        <f t="shared" si="209"/>
        <v>10773.912186081534</v>
      </c>
      <c r="CM218">
        <f t="shared" si="210"/>
        <v>9116.2205410887309</v>
      </c>
      <c r="CU218">
        <v>7</v>
      </c>
      <c r="CV218">
        <f>CV212+CX142</f>
        <v>18438.031885715947</v>
      </c>
      <c r="CW218">
        <f t="shared" si="211"/>
        <v>14492.126394972767</v>
      </c>
      <c r="CX218">
        <f t="shared" si="212"/>
        <v>12262.344266790846</v>
      </c>
      <c r="DF218">
        <v>7</v>
      </c>
      <c r="DG218">
        <f>DG212+DI142</f>
        <v>26514.061781763179</v>
      </c>
      <c r="DH218">
        <f t="shared" si="213"/>
        <v>20839.812891478174</v>
      </c>
      <c r="DI218">
        <f t="shared" si="214"/>
        <v>17633.365398983711</v>
      </c>
      <c r="DQ218">
        <v>7</v>
      </c>
      <c r="DR218">
        <f>DR212+DT142</f>
        <v>36112.578166755855</v>
      </c>
      <c r="DS218">
        <f t="shared" si="215"/>
        <v>28384.160006057948</v>
      </c>
      <c r="DT218">
        <f t="shared" si="216"/>
        <v>24016.927001043641</v>
      </c>
      <c r="EB218">
        <v>7</v>
      </c>
      <c r="EC218">
        <f>EC212+EE142</f>
        <v>43984.489752649235</v>
      </c>
      <c r="ED218">
        <f t="shared" si="217"/>
        <v>34571.411355872369</v>
      </c>
      <c r="EE218">
        <f t="shared" si="218"/>
        <v>29252.197799048117</v>
      </c>
      <c r="EM218">
        <v>7</v>
      </c>
      <c r="EN218">
        <f>EN212+EP142</f>
        <v>51610.129154542621</v>
      </c>
      <c r="EO218">
        <f t="shared" si="219"/>
        <v>40565.094995194937</v>
      </c>
      <c r="EP218">
        <f t="shared" si="220"/>
        <v>34323.683529196089</v>
      </c>
      <c r="EX218">
        <v>7</v>
      </c>
      <c r="EY218">
        <f>EY212+FA142</f>
        <v>62241.015828096031</v>
      </c>
      <c r="EZ218">
        <f t="shared" si="221"/>
        <v>48920.875824661991</v>
      </c>
      <c r="FA218">
        <f t="shared" si="222"/>
        <v>41393.830335555678</v>
      </c>
      <c r="FI218">
        <v>7</v>
      </c>
      <c r="FJ218">
        <f>FJ212+FL142</f>
        <v>69924.607658994471</v>
      </c>
      <c r="FK218">
        <f t="shared" si="223"/>
        <v>54960.109549332206</v>
      </c>
      <c r="FL218">
        <f t="shared" si="224"/>
        <v>46503.857740865154</v>
      </c>
      <c r="FN218">
        <f t="shared" si="225"/>
        <v>686.75030769230773</v>
      </c>
      <c r="FO218">
        <f t="shared" si="226"/>
        <v>539.77953409298539</v>
      </c>
    </row>
    <row r="219" spans="10:171" x14ac:dyDescent="0.25">
      <c r="J219">
        <v>8</v>
      </c>
      <c r="K219">
        <f>K212</f>
        <v>553.08985310132357</v>
      </c>
      <c r="L219">
        <f t="shared" si="193"/>
        <v>420.02282607109356</v>
      </c>
      <c r="M219">
        <f t="shared" si="194"/>
        <v>347.01541629940391</v>
      </c>
      <c r="V219">
        <v>8</v>
      </c>
      <c r="W219">
        <f>W212</f>
        <v>562.45463002440056</v>
      </c>
      <c r="X219">
        <f t="shared" si="195"/>
        <v>427.1345458878655</v>
      </c>
      <c r="Y219">
        <f t="shared" si="196"/>
        <v>352.89099319579884</v>
      </c>
      <c r="AG219">
        <v>8</v>
      </c>
      <c r="AH219">
        <f>AH212</f>
        <v>679.89148990681315</v>
      </c>
      <c r="AI219">
        <f t="shared" si="197"/>
        <v>516.31745440831821</v>
      </c>
      <c r="AJ219">
        <f t="shared" si="198"/>
        <v>426.57233193756116</v>
      </c>
      <c r="AL219">
        <f t="shared" si="199"/>
        <v>115.49891538461537</v>
      </c>
      <c r="AM219">
        <f t="shared" si="200"/>
        <v>87.711211073519806</v>
      </c>
      <c r="AR219">
        <v>8</v>
      </c>
      <c r="AS219">
        <f>AS212</f>
        <v>679.89148990681315</v>
      </c>
      <c r="AT219">
        <f t="shared" si="201"/>
        <v>516.31745440831821</v>
      </c>
      <c r="AU219">
        <f t="shared" si="202"/>
        <v>426.57233193756116</v>
      </c>
      <c r="BC219">
        <v>8</v>
      </c>
      <c r="BD219">
        <f>BD212</f>
        <v>679.89148990681315</v>
      </c>
      <c r="BE219">
        <f t="shared" si="203"/>
        <v>516.31745440831821</v>
      </c>
      <c r="BF219">
        <f t="shared" si="204"/>
        <v>426.57233193756116</v>
      </c>
      <c r="BN219">
        <v>8</v>
      </c>
      <c r="BO219">
        <f>BO212</f>
        <v>679.89148990681315</v>
      </c>
      <c r="BP219">
        <f t="shared" si="205"/>
        <v>516.31745440831821</v>
      </c>
      <c r="BQ219">
        <f t="shared" si="206"/>
        <v>426.57233193756116</v>
      </c>
      <c r="BY219">
        <v>8</v>
      </c>
      <c r="BZ219">
        <f>BZ212</f>
        <v>679.89148990681315</v>
      </c>
      <c r="CA219">
        <f t="shared" si="207"/>
        <v>516.31745440831821</v>
      </c>
      <c r="CB219">
        <f t="shared" si="208"/>
        <v>426.57233193756116</v>
      </c>
      <c r="CJ219">
        <v>8</v>
      </c>
      <c r="CK219">
        <f>CK212</f>
        <v>732.9212668298901</v>
      </c>
      <c r="CL219">
        <f t="shared" si="209"/>
        <v>556.58887982727265</v>
      </c>
      <c r="CM219">
        <f t="shared" si="210"/>
        <v>459.84387002859694</v>
      </c>
      <c r="CU219">
        <v>8</v>
      </c>
      <c r="CV219">
        <f>CV212</f>
        <v>732.9212668298901</v>
      </c>
      <c r="CW219">
        <f t="shared" si="211"/>
        <v>556.58887982727265</v>
      </c>
      <c r="CX219">
        <f t="shared" si="212"/>
        <v>459.84387002859694</v>
      </c>
      <c r="DF219">
        <v>8</v>
      </c>
      <c r="DG219">
        <f>DG212</f>
        <v>859.6281129837364</v>
      </c>
      <c r="DH219">
        <f t="shared" si="213"/>
        <v>652.81152304821808</v>
      </c>
      <c r="DI219">
        <f t="shared" si="214"/>
        <v>539.34131283922557</v>
      </c>
      <c r="DQ219">
        <v>8</v>
      </c>
      <c r="DR219">
        <f>DR212</f>
        <v>859.6281129837364</v>
      </c>
      <c r="DS219">
        <f t="shared" si="215"/>
        <v>652.81152304821808</v>
      </c>
      <c r="DT219">
        <f t="shared" si="216"/>
        <v>539.34131283922557</v>
      </c>
      <c r="EB219">
        <v>8</v>
      </c>
      <c r="EC219">
        <f>EC212</f>
        <v>859.6281129837364</v>
      </c>
      <c r="ED219">
        <f t="shared" si="217"/>
        <v>652.81152304821808</v>
      </c>
      <c r="EE219">
        <f t="shared" si="218"/>
        <v>539.34131283922557</v>
      </c>
      <c r="EM219">
        <v>8</v>
      </c>
      <c r="EN219">
        <f>EN212</f>
        <v>859.6281129837364</v>
      </c>
      <c r="EO219">
        <f t="shared" si="219"/>
        <v>652.81152304821808</v>
      </c>
      <c r="EP219">
        <f t="shared" si="220"/>
        <v>539.34131283922557</v>
      </c>
      <c r="EX219">
        <v>8</v>
      </c>
      <c r="EY219">
        <f>EY212</f>
        <v>1359.0828822145056</v>
      </c>
      <c r="EZ219">
        <f t="shared" si="221"/>
        <v>1032.1032466093848</v>
      </c>
      <c r="FA219">
        <f t="shared" si="222"/>
        <v>852.70541398028729</v>
      </c>
      <c r="FI219">
        <v>8</v>
      </c>
      <c r="FJ219">
        <f>FJ212</f>
        <v>1359.0828822145056</v>
      </c>
      <c r="FK219">
        <f t="shared" si="223"/>
        <v>1032.1032466093848</v>
      </c>
      <c r="FL219">
        <f t="shared" si="224"/>
        <v>852.70541398028729</v>
      </c>
      <c r="FN219">
        <f t="shared" si="225"/>
        <v>686.75030769230773</v>
      </c>
      <c r="FO219">
        <f t="shared" si="226"/>
        <v>521.52611989660431</v>
      </c>
    </row>
    <row r="220" spans="10:171" x14ac:dyDescent="0.25">
      <c r="J220">
        <v>9</v>
      </c>
      <c r="K220">
        <f>K219</f>
        <v>553.08985310132357</v>
      </c>
      <c r="L220">
        <f t="shared" si="193"/>
        <v>405.81915562424501</v>
      </c>
      <c r="M220">
        <f t="shared" si="194"/>
        <v>327.37303424472066</v>
      </c>
      <c r="V220">
        <v>9</v>
      </c>
      <c r="W220">
        <f>W219</f>
        <v>562.45463002440056</v>
      </c>
      <c r="X220">
        <f t="shared" si="195"/>
        <v>412.69038250035317</v>
      </c>
      <c r="Y220">
        <f t="shared" si="196"/>
        <v>332.91603131679136</v>
      </c>
      <c r="AG220">
        <v>9</v>
      </c>
      <c r="AH220">
        <f>AH219</f>
        <v>679.89148990681315</v>
      </c>
      <c r="AI220">
        <f t="shared" si="197"/>
        <v>498.85744387277128</v>
      </c>
      <c r="AJ220">
        <f t="shared" si="198"/>
        <v>402.42672824298222</v>
      </c>
      <c r="AL220">
        <f t="shared" si="199"/>
        <v>115.49891538461537</v>
      </c>
      <c r="AM220">
        <f t="shared" si="200"/>
        <v>84.745131471999827</v>
      </c>
      <c r="AR220">
        <v>9</v>
      </c>
      <c r="AS220">
        <f>AS219</f>
        <v>679.89148990681315</v>
      </c>
      <c r="AT220">
        <f t="shared" si="201"/>
        <v>498.85744387277128</v>
      </c>
      <c r="AU220">
        <f t="shared" si="202"/>
        <v>402.42672824298222</v>
      </c>
      <c r="BC220">
        <v>9</v>
      </c>
      <c r="BD220">
        <f>BD219</f>
        <v>679.89148990681315</v>
      </c>
      <c r="BE220">
        <f t="shared" si="203"/>
        <v>498.85744387277128</v>
      </c>
      <c r="BF220">
        <f t="shared" si="204"/>
        <v>402.42672824298222</v>
      </c>
      <c r="BN220">
        <v>9</v>
      </c>
      <c r="BO220">
        <f>BO219</f>
        <v>679.89148990681315</v>
      </c>
      <c r="BP220">
        <f t="shared" si="205"/>
        <v>498.85744387277128</v>
      </c>
      <c r="BQ220">
        <f t="shared" si="206"/>
        <v>402.42672824298222</v>
      </c>
      <c r="BY220">
        <v>9</v>
      </c>
      <c r="BZ220">
        <f>BZ219</f>
        <v>679.89148990681315</v>
      </c>
      <c r="CA220">
        <f t="shared" si="207"/>
        <v>498.85744387277128</v>
      </c>
      <c r="CB220">
        <f t="shared" si="208"/>
        <v>402.42672824298222</v>
      </c>
      <c r="CJ220">
        <v>9</v>
      </c>
      <c r="CK220">
        <f>CK219</f>
        <v>732.9212668298901</v>
      </c>
      <c r="CL220">
        <f t="shared" si="209"/>
        <v>537.76703364953892</v>
      </c>
      <c r="CM220">
        <f t="shared" si="210"/>
        <v>433.81497172509143</v>
      </c>
      <c r="CU220">
        <v>9</v>
      </c>
      <c r="CV220">
        <f>CV219</f>
        <v>732.9212668298901</v>
      </c>
      <c r="CW220">
        <f t="shared" si="211"/>
        <v>537.76703364953892</v>
      </c>
      <c r="CX220">
        <f t="shared" si="212"/>
        <v>433.81497172509143</v>
      </c>
      <c r="DF220">
        <v>9</v>
      </c>
      <c r="DG220">
        <f>DG219</f>
        <v>859.6281129837364</v>
      </c>
      <c r="DH220">
        <f t="shared" si="213"/>
        <v>630.73577106108041</v>
      </c>
      <c r="DI220">
        <f t="shared" si="214"/>
        <v>508.8125592822883</v>
      </c>
      <c r="DQ220">
        <v>9</v>
      </c>
      <c r="DR220">
        <f>DR219</f>
        <v>859.6281129837364</v>
      </c>
      <c r="DS220">
        <f t="shared" si="215"/>
        <v>630.73577106108041</v>
      </c>
      <c r="DT220">
        <f t="shared" si="216"/>
        <v>508.8125592822883</v>
      </c>
      <c r="EB220">
        <v>9</v>
      </c>
      <c r="EC220">
        <f>EC219</f>
        <v>859.6281129837364</v>
      </c>
      <c r="ED220">
        <f t="shared" si="217"/>
        <v>630.73577106108041</v>
      </c>
      <c r="EE220">
        <f t="shared" si="218"/>
        <v>508.8125592822883</v>
      </c>
      <c r="EM220">
        <v>9</v>
      </c>
      <c r="EN220">
        <f>EN219</f>
        <v>859.6281129837364</v>
      </c>
      <c r="EO220">
        <f t="shared" si="219"/>
        <v>630.73577106108041</v>
      </c>
      <c r="EP220">
        <f t="shared" si="220"/>
        <v>508.8125592822883</v>
      </c>
      <c r="EX220">
        <v>9</v>
      </c>
      <c r="EY220">
        <f>EY219</f>
        <v>1359.0828822145056</v>
      </c>
      <c r="EZ220">
        <f t="shared" si="221"/>
        <v>997.2012044535121</v>
      </c>
      <c r="FA220">
        <f t="shared" si="222"/>
        <v>804.43906979272379</v>
      </c>
      <c r="FI220">
        <v>9</v>
      </c>
      <c r="FJ220">
        <f>FJ219</f>
        <v>1359.0828822145056</v>
      </c>
      <c r="FK220">
        <f t="shared" si="223"/>
        <v>997.2012044535121</v>
      </c>
      <c r="FL220">
        <f t="shared" si="224"/>
        <v>804.43906979272379</v>
      </c>
      <c r="FN220">
        <f t="shared" si="225"/>
        <v>686.75030769230773</v>
      </c>
      <c r="FO220">
        <f t="shared" si="226"/>
        <v>503.88997091459362</v>
      </c>
    </row>
    <row r="221" spans="10:171" x14ac:dyDescent="0.25">
      <c r="J221">
        <v>10</v>
      </c>
      <c r="K221">
        <f t="shared" ref="K221:K224" si="242">K220</f>
        <v>553.08985310132357</v>
      </c>
      <c r="L221">
        <f t="shared" si="193"/>
        <v>392.09580253550246</v>
      </c>
      <c r="M221">
        <f t="shared" si="194"/>
        <v>308.84248513652886</v>
      </c>
      <c r="V221">
        <v>10</v>
      </c>
      <c r="W221">
        <f t="shared" ref="W221:W224" si="243">W220</f>
        <v>562.45463002440056</v>
      </c>
      <c r="X221">
        <f t="shared" si="195"/>
        <v>398.73466908246684</v>
      </c>
      <c r="Y221">
        <f t="shared" si="196"/>
        <v>314.07172765735032</v>
      </c>
      <c r="AG221">
        <v>10</v>
      </c>
      <c r="AH221">
        <f t="shared" ref="AH221:AH224" si="244">AH220</f>
        <v>679.89148990681315</v>
      </c>
      <c r="AI221">
        <f t="shared" si="197"/>
        <v>481.98786847610751</v>
      </c>
      <c r="AJ221">
        <f t="shared" si="198"/>
        <v>379.64785683300204</v>
      </c>
      <c r="AL221">
        <f t="shared" si="199"/>
        <v>115.49891538461537</v>
      </c>
      <c r="AM221">
        <f t="shared" si="200"/>
        <v>81.879354079226886</v>
      </c>
      <c r="AR221">
        <v>10</v>
      </c>
      <c r="AS221">
        <f t="shared" ref="AS221:AS224" si="245">AS220</f>
        <v>679.89148990681315</v>
      </c>
      <c r="AT221">
        <f t="shared" si="201"/>
        <v>481.98786847610751</v>
      </c>
      <c r="AU221">
        <f t="shared" si="202"/>
        <v>379.64785683300204</v>
      </c>
      <c r="BC221">
        <v>10</v>
      </c>
      <c r="BD221">
        <f t="shared" ref="BD221:BD224" si="246">BD220</f>
        <v>679.89148990681315</v>
      </c>
      <c r="BE221">
        <f t="shared" si="203"/>
        <v>481.98786847610751</v>
      </c>
      <c r="BF221">
        <f t="shared" si="204"/>
        <v>379.64785683300204</v>
      </c>
      <c r="BN221">
        <v>10</v>
      </c>
      <c r="BO221">
        <f t="shared" ref="BO221:BO224" si="247">BO220</f>
        <v>679.89148990681315</v>
      </c>
      <c r="BP221">
        <f t="shared" si="205"/>
        <v>481.98786847610751</v>
      </c>
      <c r="BQ221">
        <f t="shared" si="206"/>
        <v>379.64785683300204</v>
      </c>
      <c r="BY221">
        <v>10</v>
      </c>
      <c r="BZ221">
        <f t="shared" ref="BZ221:BZ224" si="248">BZ220</f>
        <v>679.89148990681315</v>
      </c>
      <c r="CA221">
        <f t="shared" si="207"/>
        <v>481.98786847610751</v>
      </c>
      <c r="CB221">
        <f t="shared" si="208"/>
        <v>379.64785683300204</v>
      </c>
      <c r="CJ221">
        <v>10</v>
      </c>
      <c r="CK221">
        <f t="shared" ref="CK221:CK224" si="249">CK220</f>
        <v>732.9212668298901</v>
      </c>
      <c r="CL221">
        <f t="shared" si="209"/>
        <v>519.58167502370907</v>
      </c>
      <c r="CM221">
        <f t="shared" si="210"/>
        <v>409.25940728782206</v>
      </c>
      <c r="CU221">
        <v>10</v>
      </c>
      <c r="CV221">
        <f t="shared" ref="CV221:CV224" si="250">CV220</f>
        <v>732.9212668298901</v>
      </c>
      <c r="CW221">
        <f t="shared" si="211"/>
        <v>519.58167502370907</v>
      </c>
      <c r="CX221">
        <f t="shared" si="212"/>
        <v>409.25940728782206</v>
      </c>
      <c r="DF221">
        <v>10</v>
      </c>
      <c r="DG221">
        <f t="shared" ref="DG221:DG224" si="251">DG220</f>
        <v>859.6281129837364</v>
      </c>
      <c r="DH221">
        <f t="shared" si="213"/>
        <v>609.40654208800038</v>
      </c>
      <c r="DI221">
        <f t="shared" si="214"/>
        <v>480.01184837951723</v>
      </c>
      <c r="DQ221">
        <v>10</v>
      </c>
      <c r="DR221">
        <f t="shared" ref="DR221:DR224" si="252">DR220</f>
        <v>859.6281129837364</v>
      </c>
      <c r="DS221">
        <f t="shared" si="215"/>
        <v>609.40654208800038</v>
      </c>
      <c r="DT221">
        <f t="shared" si="216"/>
        <v>480.01184837951723</v>
      </c>
      <c r="EB221">
        <v>10</v>
      </c>
      <c r="EC221">
        <f t="shared" ref="EC221:EC224" si="253">EC220</f>
        <v>859.6281129837364</v>
      </c>
      <c r="ED221">
        <f t="shared" si="217"/>
        <v>609.40654208800038</v>
      </c>
      <c r="EE221">
        <f t="shared" si="218"/>
        <v>480.01184837951723</v>
      </c>
      <c r="EM221">
        <v>10</v>
      </c>
      <c r="EN221">
        <f t="shared" ref="EN221:EN224" si="254">EN220</f>
        <v>859.6281129837364</v>
      </c>
      <c r="EO221">
        <f t="shared" si="219"/>
        <v>609.40654208800038</v>
      </c>
      <c r="EP221">
        <f t="shared" si="220"/>
        <v>480.01184837951723</v>
      </c>
      <c r="EX221">
        <v>10</v>
      </c>
      <c r="EY221">
        <f t="shared" ref="EY221:EY224" si="255">EY220</f>
        <v>1359.0828822145056</v>
      </c>
      <c r="EZ221">
        <f t="shared" si="221"/>
        <v>963.47942459276533</v>
      </c>
      <c r="FA221">
        <f t="shared" si="222"/>
        <v>758.90478282332424</v>
      </c>
      <c r="FI221">
        <v>10</v>
      </c>
      <c r="FJ221">
        <f t="shared" ref="FJ221:FJ224" si="256">FJ220</f>
        <v>1359.0828822145056</v>
      </c>
      <c r="FK221">
        <f t="shared" si="223"/>
        <v>963.47942459276533</v>
      </c>
      <c r="FL221">
        <f t="shared" si="224"/>
        <v>758.90478282332424</v>
      </c>
      <c r="FN221">
        <f t="shared" si="225"/>
        <v>686.75030769230773</v>
      </c>
      <c r="FO221">
        <f t="shared" si="226"/>
        <v>486.8502134440518</v>
      </c>
    </row>
    <row r="222" spans="10:171" x14ac:dyDescent="0.25">
      <c r="J222">
        <v>11</v>
      </c>
      <c r="K222">
        <f t="shared" si="242"/>
        <v>553.08985310132357</v>
      </c>
      <c r="L222">
        <f t="shared" si="193"/>
        <v>378.83652418889125</v>
      </c>
      <c r="M222">
        <f t="shared" si="194"/>
        <v>291.36083503446116</v>
      </c>
      <c r="V222">
        <v>11</v>
      </c>
      <c r="W222">
        <f t="shared" si="243"/>
        <v>562.45463002440056</v>
      </c>
      <c r="X222">
        <f t="shared" si="195"/>
        <v>385.25088800238342</v>
      </c>
      <c r="Y222">
        <f t="shared" si="196"/>
        <v>296.29408269561344</v>
      </c>
      <c r="AG222">
        <v>11</v>
      </c>
      <c r="AH222">
        <f t="shared" si="244"/>
        <v>679.89148990681315</v>
      </c>
      <c r="AI222">
        <f t="shared" si="197"/>
        <v>465.68876181266427</v>
      </c>
      <c r="AJ222">
        <f t="shared" si="198"/>
        <v>358.15835550283208</v>
      </c>
      <c r="AL222">
        <f t="shared" si="199"/>
        <v>115.49891538461537</v>
      </c>
      <c r="AM222">
        <f t="shared" si="200"/>
        <v>79.110487033069447</v>
      </c>
      <c r="AR222">
        <v>11</v>
      </c>
      <c r="AS222">
        <f t="shared" si="245"/>
        <v>679.89148990681315</v>
      </c>
      <c r="AT222">
        <f t="shared" si="201"/>
        <v>465.68876181266427</v>
      </c>
      <c r="AU222">
        <f t="shared" si="202"/>
        <v>358.15835550283208</v>
      </c>
      <c r="BC222">
        <v>11</v>
      </c>
      <c r="BD222">
        <f t="shared" si="246"/>
        <v>679.89148990681315</v>
      </c>
      <c r="BE222">
        <f t="shared" si="203"/>
        <v>465.68876181266427</v>
      </c>
      <c r="BF222">
        <f t="shared" si="204"/>
        <v>358.15835550283208</v>
      </c>
      <c r="BN222">
        <v>11</v>
      </c>
      <c r="BO222">
        <f t="shared" si="247"/>
        <v>679.89148990681315</v>
      </c>
      <c r="BP222">
        <f t="shared" si="205"/>
        <v>465.68876181266427</v>
      </c>
      <c r="BQ222">
        <f t="shared" si="206"/>
        <v>358.15835550283208</v>
      </c>
      <c r="BY222">
        <v>11</v>
      </c>
      <c r="BZ222">
        <f t="shared" si="248"/>
        <v>679.89148990681315</v>
      </c>
      <c r="CA222">
        <f t="shared" si="207"/>
        <v>465.68876181266427</v>
      </c>
      <c r="CB222">
        <f t="shared" si="208"/>
        <v>358.15835550283208</v>
      </c>
      <c r="CJ222">
        <v>11</v>
      </c>
      <c r="CK222">
        <f t="shared" si="249"/>
        <v>732.9212668298901</v>
      </c>
      <c r="CL222">
        <f t="shared" si="209"/>
        <v>502.01128021614403</v>
      </c>
      <c r="CM222">
        <f t="shared" si="210"/>
        <v>386.09378046020942</v>
      </c>
      <c r="CU222">
        <v>11</v>
      </c>
      <c r="CV222">
        <f t="shared" si="250"/>
        <v>732.9212668298901</v>
      </c>
      <c r="CW222">
        <f t="shared" si="211"/>
        <v>502.01128021614403</v>
      </c>
      <c r="CX222">
        <f t="shared" si="212"/>
        <v>386.09378046020942</v>
      </c>
      <c r="DF222">
        <v>11</v>
      </c>
      <c r="DG222">
        <f t="shared" si="251"/>
        <v>859.6281129837364</v>
      </c>
      <c r="DH222">
        <f t="shared" si="213"/>
        <v>588.7985913893724</v>
      </c>
      <c r="DI222">
        <f t="shared" si="214"/>
        <v>452.84136639577088</v>
      </c>
      <c r="DQ222">
        <v>11</v>
      </c>
      <c r="DR222">
        <f t="shared" si="252"/>
        <v>859.6281129837364</v>
      </c>
      <c r="DS222">
        <f t="shared" si="215"/>
        <v>588.7985913893724</v>
      </c>
      <c r="DT222">
        <f t="shared" si="216"/>
        <v>452.84136639577088</v>
      </c>
      <c r="EB222">
        <v>11</v>
      </c>
      <c r="EC222">
        <f t="shared" si="253"/>
        <v>859.6281129837364</v>
      </c>
      <c r="ED222">
        <f t="shared" si="217"/>
        <v>588.7985913893724</v>
      </c>
      <c r="EE222">
        <f t="shared" si="218"/>
        <v>452.84136639577088</v>
      </c>
      <c r="EM222">
        <v>11</v>
      </c>
      <c r="EN222">
        <f t="shared" si="254"/>
        <v>859.6281129837364</v>
      </c>
      <c r="EO222">
        <f t="shared" si="219"/>
        <v>588.7985913893724</v>
      </c>
      <c r="EP222">
        <f t="shared" si="220"/>
        <v>452.84136639577088</v>
      </c>
      <c r="EX222">
        <v>11</v>
      </c>
      <c r="EY222">
        <f t="shared" si="255"/>
        <v>1359.0828822145056</v>
      </c>
      <c r="EZ222">
        <f t="shared" si="221"/>
        <v>930.89799477561871</v>
      </c>
      <c r="FA222">
        <f t="shared" si="222"/>
        <v>715.94790832389072</v>
      </c>
      <c r="FI222">
        <v>11</v>
      </c>
      <c r="FJ222">
        <f t="shared" si="256"/>
        <v>1359.0828822145056</v>
      </c>
      <c r="FK222">
        <f t="shared" si="223"/>
        <v>930.89799477561871</v>
      </c>
      <c r="FL222">
        <f t="shared" si="224"/>
        <v>715.94790832389072</v>
      </c>
      <c r="FN222">
        <f t="shared" si="225"/>
        <v>686.75030769230773</v>
      </c>
      <c r="FO222">
        <f t="shared" si="226"/>
        <v>470.38667965608869</v>
      </c>
    </row>
    <row r="223" spans="10:171" x14ac:dyDescent="0.25">
      <c r="J223">
        <v>12</v>
      </c>
      <c r="K223">
        <f t="shared" si="242"/>
        <v>553.08985310132357</v>
      </c>
      <c r="L223">
        <f t="shared" si="193"/>
        <v>366.02562723564375</v>
      </c>
      <c r="M223">
        <f t="shared" si="194"/>
        <v>274.86871229666144</v>
      </c>
      <c r="V223">
        <v>12</v>
      </c>
      <c r="W223">
        <f t="shared" si="243"/>
        <v>562.45463002440056</v>
      </c>
      <c r="X223">
        <f t="shared" si="195"/>
        <v>372.22308019553958</v>
      </c>
      <c r="Y223">
        <f t="shared" si="196"/>
        <v>279.52271952416362</v>
      </c>
      <c r="AG223">
        <v>12</v>
      </c>
      <c r="AH223">
        <f t="shared" si="244"/>
        <v>679.89148990681315</v>
      </c>
      <c r="AI223">
        <f t="shared" si="197"/>
        <v>449.94083266924088</v>
      </c>
      <c r="AJ223">
        <f t="shared" si="198"/>
        <v>337.88524104040761</v>
      </c>
      <c r="AL223">
        <f t="shared" si="199"/>
        <v>115.49891538461537</v>
      </c>
      <c r="AM223">
        <f t="shared" si="200"/>
        <v>76.43525317204778</v>
      </c>
      <c r="AR223">
        <v>12</v>
      </c>
      <c r="AS223">
        <f t="shared" si="245"/>
        <v>679.89148990681315</v>
      </c>
      <c r="AT223">
        <f t="shared" si="201"/>
        <v>449.94083266924088</v>
      </c>
      <c r="AU223">
        <f t="shared" si="202"/>
        <v>337.88524104040761</v>
      </c>
      <c r="BC223">
        <v>12</v>
      </c>
      <c r="BD223">
        <f t="shared" si="246"/>
        <v>679.89148990681315</v>
      </c>
      <c r="BE223">
        <f t="shared" si="203"/>
        <v>449.94083266924088</v>
      </c>
      <c r="BF223">
        <f t="shared" si="204"/>
        <v>337.88524104040761</v>
      </c>
      <c r="BN223">
        <v>12</v>
      </c>
      <c r="BO223">
        <f t="shared" si="247"/>
        <v>679.89148990681315</v>
      </c>
      <c r="BP223">
        <f t="shared" si="205"/>
        <v>449.94083266924088</v>
      </c>
      <c r="BQ223">
        <f t="shared" si="206"/>
        <v>337.88524104040761</v>
      </c>
      <c r="BY223">
        <v>12</v>
      </c>
      <c r="BZ223">
        <f t="shared" si="248"/>
        <v>679.89148990681315</v>
      </c>
      <c r="CA223">
        <f t="shared" si="207"/>
        <v>449.94083266924088</v>
      </c>
      <c r="CB223">
        <f t="shared" si="208"/>
        <v>337.88524104040761</v>
      </c>
      <c r="CJ223">
        <v>12</v>
      </c>
      <c r="CK223">
        <f t="shared" si="249"/>
        <v>732.9212668298901</v>
      </c>
      <c r="CL223">
        <f t="shared" si="209"/>
        <v>485.03505334893146</v>
      </c>
      <c r="CM223">
        <f t="shared" si="210"/>
        <v>364.23941552849942</v>
      </c>
      <c r="CU223">
        <v>12</v>
      </c>
      <c r="CV223">
        <f t="shared" si="250"/>
        <v>732.9212668298901</v>
      </c>
      <c r="CW223">
        <f t="shared" si="211"/>
        <v>485.03505334893146</v>
      </c>
      <c r="CX223">
        <f t="shared" si="212"/>
        <v>364.23941552849942</v>
      </c>
      <c r="DF223">
        <v>12</v>
      </c>
      <c r="DG223">
        <f t="shared" si="251"/>
        <v>859.6281129837364</v>
      </c>
      <c r="DH223">
        <f t="shared" si="213"/>
        <v>568.88752791243712</v>
      </c>
      <c r="DI223">
        <f t="shared" si="214"/>
        <v>427.20883622242536</v>
      </c>
      <c r="DQ223">
        <v>12</v>
      </c>
      <c r="DR223">
        <f t="shared" si="252"/>
        <v>859.6281129837364</v>
      </c>
      <c r="DS223">
        <f t="shared" si="215"/>
        <v>568.88752791243712</v>
      </c>
      <c r="DT223">
        <f t="shared" si="216"/>
        <v>427.20883622242536</v>
      </c>
      <c r="EB223">
        <v>12</v>
      </c>
      <c r="EC223">
        <f t="shared" si="253"/>
        <v>859.6281129837364</v>
      </c>
      <c r="ED223">
        <f t="shared" si="217"/>
        <v>568.88752791243712</v>
      </c>
      <c r="EE223">
        <f t="shared" si="218"/>
        <v>427.20883622242536</v>
      </c>
      <c r="EM223">
        <v>12</v>
      </c>
      <c r="EN223">
        <f t="shared" si="254"/>
        <v>859.6281129837364</v>
      </c>
      <c r="EO223">
        <f t="shared" si="219"/>
        <v>568.88752791243712</v>
      </c>
      <c r="EP223">
        <f t="shared" si="220"/>
        <v>427.20883622242536</v>
      </c>
      <c r="EX223">
        <v>12</v>
      </c>
      <c r="EY223">
        <f t="shared" si="255"/>
        <v>1359.0828822145056</v>
      </c>
      <c r="EZ223">
        <f t="shared" si="221"/>
        <v>899.41835244021138</v>
      </c>
      <c r="FA223">
        <f t="shared" si="222"/>
        <v>675.4225550225384</v>
      </c>
      <c r="FI223">
        <v>12</v>
      </c>
      <c r="FJ223">
        <f t="shared" si="256"/>
        <v>1359.0828822145056</v>
      </c>
      <c r="FK223">
        <f t="shared" si="223"/>
        <v>899.41835244021138</v>
      </c>
      <c r="FL223">
        <f t="shared" si="224"/>
        <v>675.4225550225384</v>
      </c>
      <c r="FN223">
        <f t="shared" si="225"/>
        <v>686.75030769230773</v>
      </c>
      <c r="FO223">
        <f t="shared" si="226"/>
        <v>454.4798837256896</v>
      </c>
    </row>
    <row r="224" spans="10:171" x14ac:dyDescent="0.25">
      <c r="J224">
        <v>13</v>
      </c>
      <c r="K224">
        <f t="shared" si="242"/>
        <v>553.08985310132357</v>
      </c>
      <c r="L224">
        <f t="shared" si="193"/>
        <v>353.64794901994571</v>
      </c>
      <c r="M224">
        <f t="shared" si="194"/>
        <v>259.31010594024667</v>
      </c>
      <c r="V224">
        <v>13</v>
      </c>
      <c r="W224">
        <f t="shared" si="243"/>
        <v>562.45463002440056</v>
      </c>
      <c r="X224">
        <f t="shared" si="195"/>
        <v>359.63582627588369</v>
      </c>
      <c r="Y224">
        <f t="shared" si="196"/>
        <v>263.70067879638077</v>
      </c>
      <c r="AG224">
        <v>13</v>
      </c>
      <c r="AH224">
        <f t="shared" si="244"/>
        <v>679.89148990681315</v>
      </c>
      <c r="AI224">
        <f t="shared" si="197"/>
        <v>434.72544219250335</v>
      </c>
      <c r="AJ224">
        <f t="shared" si="198"/>
        <v>318.75966135887506</v>
      </c>
      <c r="AL224">
        <f t="shared" si="199"/>
        <v>115.49891538461537</v>
      </c>
      <c r="AM224">
        <f t="shared" si="200"/>
        <v>73.850486156567925</v>
      </c>
      <c r="AR224">
        <v>13</v>
      </c>
      <c r="AS224">
        <f t="shared" si="245"/>
        <v>679.89148990681315</v>
      </c>
      <c r="AT224">
        <f t="shared" si="201"/>
        <v>434.72544219250335</v>
      </c>
      <c r="AU224">
        <f t="shared" si="202"/>
        <v>318.75966135887506</v>
      </c>
      <c r="BC224">
        <v>13</v>
      </c>
      <c r="BD224">
        <f t="shared" si="246"/>
        <v>679.89148990681315</v>
      </c>
      <c r="BE224">
        <f t="shared" si="203"/>
        <v>434.72544219250335</v>
      </c>
      <c r="BF224">
        <f t="shared" si="204"/>
        <v>318.75966135887506</v>
      </c>
      <c r="BN224">
        <v>13</v>
      </c>
      <c r="BO224">
        <f t="shared" si="247"/>
        <v>679.89148990681315</v>
      </c>
      <c r="BP224">
        <f t="shared" si="205"/>
        <v>434.72544219250335</v>
      </c>
      <c r="BQ224">
        <f t="shared" si="206"/>
        <v>318.75966135887506</v>
      </c>
      <c r="BY224">
        <v>13</v>
      </c>
      <c r="BZ224">
        <f t="shared" si="248"/>
        <v>679.89148990681315</v>
      </c>
      <c r="CA224">
        <f t="shared" si="207"/>
        <v>434.72544219250335</v>
      </c>
      <c r="CB224">
        <f t="shared" si="208"/>
        <v>318.75966135887506</v>
      </c>
      <c r="CJ224">
        <v>13</v>
      </c>
      <c r="CK224">
        <f t="shared" si="249"/>
        <v>732.9212668298901</v>
      </c>
      <c r="CL224">
        <f t="shared" si="209"/>
        <v>468.63290178640733</v>
      </c>
      <c r="CM224">
        <f t="shared" si="210"/>
        <v>343.62209012122588</v>
      </c>
      <c r="CU224">
        <v>13</v>
      </c>
      <c r="CV224">
        <f t="shared" si="250"/>
        <v>732.9212668298901</v>
      </c>
      <c r="CW224">
        <f t="shared" si="211"/>
        <v>468.63290178640733</v>
      </c>
      <c r="CX224">
        <f t="shared" si="212"/>
        <v>343.62209012122588</v>
      </c>
      <c r="DF224">
        <v>13</v>
      </c>
      <c r="DG224">
        <f t="shared" si="251"/>
        <v>859.6281129837364</v>
      </c>
      <c r="DH224">
        <f t="shared" si="213"/>
        <v>549.64978542264464</v>
      </c>
      <c r="DI224">
        <f t="shared" si="214"/>
        <v>403.02720398342012</v>
      </c>
      <c r="DQ224">
        <v>13</v>
      </c>
      <c r="DR224">
        <f t="shared" si="252"/>
        <v>859.6281129837364</v>
      </c>
      <c r="DS224">
        <f t="shared" si="215"/>
        <v>549.64978542264464</v>
      </c>
      <c r="DT224">
        <f t="shared" si="216"/>
        <v>403.02720398342012</v>
      </c>
      <c r="EB224">
        <v>13</v>
      </c>
      <c r="EC224">
        <f t="shared" si="253"/>
        <v>859.6281129837364</v>
      </c>
      <c r="ED224">
        <f t="shared" si="217"/>
        <v>549.64978542264464</v>
      </c>
      <c r="EE224">
        <f t="shared" si="218"/>
        <v>403.02720398342012</v>
      </c>
      <c r="EM224">
        <v>13</v>
      </c>
      <c r="EN224">
        <f t="shared" si="254"/>
        <v>859.6281129837364</v>
      </c>
      <c r="EO224">
        <f t="shared" si="219"/>
        <v>549.64978542264464</v>
      </c>
      <c r="EP224">
        <f t="shared" si="220"/>
        <v>403.02720398342012</v>
      </c>
      <c r="EX224">
        <v>13</v>
      </c>
      <c r="EY224">
        <f t="shared" si="255"/>
        <v>1359.0828822145056</v>
      </c>
      <c r="EZ224">
        <f t="shared" si="221"/>
        <v>869.00323907266818</v>
      </c>
      <c r="FA224">
        <f t="shared" si="222"/>
        <v>637.19108964390409</v>
      </c>
      <c r="FI224">
        <v>13</v>
      </c>
      <c r="FJ224">
        <f t="shared" si="256"/>
        <v>1359.0828822145056</v>
      </c>
      <c r="FK224">
        <f t="shared" si="223"/>
        <v>869.00323907266818</v>
      </c>
      <c r="FL224">
        <f t="shared" si="224"/>
        <v>637.19108964390409</v>
      </c>
      <c r="FN224">
        <f t="shared" si="225"/>
        <v>686.75030769230773</v>
      </c>
      <c r="FO224">
        <f t="shared" si="226"/>
        <v>439.11099876878234</v>
      </c>
    </row>
    <row r="225" spans="10:171" x14ac:dyDescent="0.25">
      <c r="J225">
        <v>14</v>
      </c>
      <c r="K225">
        <f>K218</f>
        <v>1481.7957202704411</v>
      </c>
      <c r="L225">
        <f t="shared" si="193"/>
        <v>915.42641289298524</v>
      </c>
      <c r="M225">
        <f t="shared" si="194"/>
        <v>655.39967608928805</v>
      </c>
      <c r="V225">
        <v>14</v>
      </c>
      <c r="W225">
        <f>W218</f>
        <v>1947.4773664757427</v>
      </c>
      <c r="X225">
        <f t="shared" si="195"/>
        <v>1203.1160539846846</v>
      </c>
      <c r="Y225">
        <f t="shared" si="196"/>
        <v>861.37111729980666</v>
      </c>
      <c r="AG225">
        <v>14</v>
      </c>
      <c r="AH225">
        <f>AH218</f>
        <v>2959.9530340367855</v>
      </c>
      <c r="AI225">
        <f t="shared" si="197"/>
        <v>1828.6050845021155</v>
      </c>
      <c r="AJ225">
        <f t="shared" si="198"/>
        <v>1309.1900814730091</v>
      </c>
      <c r="AL225">
        <f t="shared" si="199"/>
        <v>115.49891538461537</v>
      </c>
      <c r="AM225">
        <f t="shared" si="200"/>
        <v>71.353126721321658</v>
      </c>
      <c r="AR225">
        <v>14</v>
      </c>
      <c r="AS225">
        <f>AS218</f>
        <v>3755.7909530152629</v>
      </c>
      <c r="AT225">
        <f t="shared" si="201"/>
        <v>2320.2592588587008</v>
      </c>
      <c r="AU225">
        <f t="shared" si="202"/>
        <v>1661.1899605271014</v>
      </c>
      <c r="BC225">
        <v>14</v>
      </c>
      <c r="BD225">
        <f>BD218</f>
        <v>5239.8512211513389</v>
      </c>
      <c r="BE225">
        <f t="shared" si="203"/>
        <v>3237.0846681862854</v>
      </c>
      <c r="BF225">
        <f t="shared" si="204"/>
        <v>2317.5912483212437</v>
      </c>
      <c r="BN225">
        <v>14</v>
      </c>
      <c r="BO225">
        <f>BO218</f>
        <v>8492.3630842352068</v>
      </c>
      <c r="BP225">
        <f t="shared" si="205"/>
        <v>5246.4272698583545</v>
      </c>
      <c r="BQ225">
        <f t="shared" si="206"/>
        <v>3756.1803820195655</v>
      </c>
      <c r="BY225">
        <v>14</v>
      </c>
      <c r="BZ225">
        <f>BZ218</f>
        <v>10488.413852897145</v>
      </c>
      <c r="CA225">
        <f t="shared" si="207"/>
        <v>6479.5510872054565</v>
      </c>
      <c r="CB225">
        <f t="shared" si="208"/>
        <v>4639.0355619495276</v>
      </c>
      <c r="CJ225">
        <v>14</v>
      </c>
      <c r="CK225">
        <f>CK218</f>
        <v>13707.425053219611</v>
      </c>
      <c r="CL225">
        <f t="shared" si="209"/>
        <v>8468.1975894613315</v>
      </c>
      <c r="CM225">
        <f t="shared" si="210"/>
        <v>6062.8073202011228</v>
      </c>
      <c r="CU225">
        <v>14</v>
      </c>
      <c r="CV225">
        <f>CV218</f>
        <v>18438.031885715947</v>
      </c>
      <c r="CW225">
        <f t="shared" si="211"/>
        <v>11390.680347535979</v>
      </c>
      <c r="CX225">
        <f t="shared" si="212"/>
        <v>8155.1592843153221</v>
      </c>
      <c r="DF225">
        <v>14</v>
      </c>
      <c r="DG225">
        <f>DG218</f>
        <v>26514.061781763179</v>
      </c>
      <c r="DH225">
        <f t="shared" si="213"/>
        <v>16379.904555043971</v>
      </c>
      <c r="DI225">
        <f t="shared" si="214"/>
        <v>11727.195095696083</v>
      </c>
      <c r="DQ225">
        <v>14</v>
      </c>
      <c r="DR225">
        <f>DR218</f>
        <v>36112.578166755855</v>
      </c>
      <c r="DS225">
        <f t="shared" si="215"/>
        <v>22309.693191364728</v>
      </c>
      <c r="DT225">
        <f t="shared" si="216"/>
        <v>15972.628149392434</v>
      </c>
      <c r="EB225">
        <v>14</v>
      </c>
      <c r="EC225">
        <f>EC218</f>
        <v>43984.489752649235</v>
      </c>
      <c r="ED225">
        <f t="shared" si="217"/>
        <v>27172.816823797624</v>
      </c>
      <c r="EE225">
        <f t="shared" si="218"/>
        <v>19454.382235344598</v>
      </c>
      <c r="EM225">
        <v>14</v>
      </c>
      <c r="EN225">
        <f>EN218</f>
        <v>51610.129154542621</v>
      </c>
      <c r="EO225">
        <f t="shared" si="219"/>
        <v>31883.797985503657</v>
      </c>
      <c r="EP225">
        <f t="shared" si="220"/>
        <v>22827.209896813674</v>
      </c>
      <c r="EX225">
        <v>14</v>
      </c>
      <c r="EY225">
        <f>EY218</f>
        <v>62241.015828096031</v>
      </c>
      <c r="EZ225">
        <f t="shared" si="221"/>
        <v>38451.366186919906</v>
      </c>
      <c r="FA225">
        <f t="shared" si="222"/>
        <v>27529.261324737359</v>
      </c>
      <c r="FI225">
        <v>14</v>
      </c>
      <c r="FJ225">
        <f>FJ218</f>
        <v>69924.607658994471</v>
      </c>
      <c r="FK225">
        <f t="shared" si="223"/>
        <v>43198.14930396757</v>
      </c>
      <c r="FL225">
        <f t="shared" si="224"/>
        <v>30927.721401443516</v>
      </c>
      <c r="FN225">
        <f t="shared" si="225"/>
        <v>686.75030769230773</v>
      </c>
      <c r="FO225">
        <f t="shared" si="226"/>
        <v>424.26183455920994</v>
      </c>
    </row>
    <row r="226" spans="10:171" x14ac:dyDescent="0.25">
      <c r="J226">
        <v>15</v>
      </c>
      <c r="K226">
        <f>K212</f>
        <v>553.08985310132357</v>
      </c>
      <c r="L226">
        <f t="shared" si="193"/>
        <v>330.1341445727515</v>
      </c>
      <c r="M226">
        <f t="shared" si="194"/>
        <v>230.78507114653488</v>
      </c>
      <c r="V226">
        <v>15</v>
      </c>
      <c r="W226">
        <f>W212</f>
        <v>562.45463002440056</v>
      </c>
      <c r="X226">
        <f t="shared" si="195"/>
        <v>335.72389206365023</v>
      </c>
      <c r="Y226">
        <f t="shared" si="196"/>
        <v>234.69266535811738</v>
      </c>
      <c r="AG226">
        <v>15</v>
      </c>
      <c r="AH226">
        <f>AH212</f>
        <v>679.89148990681315</v>
      </c>
      <c r="AI226">
        <f t="shared" si="197"/>
        <v>405.82085200821803</v>
      </c>
      <c r="AJ226">
        <f t="shared" si="198"/>
        <v>283.69496382954338</v>
      </c>
      <c r="AL226">
        <f t="shared" si="199"/>
        <v>115.49891538461537</v>
      </c>
      <c r="AM226">
        <f t="shared" si="200"/>
        <v>68.940219054417071</v>
      </c>
      <c r="AR226">
        <v>15</v>
      </c>
      <c r="AS226">
        <f>AS212</f>
        <v>679.89148990681315</v>
      </c>
      <c r="AT226">
        <f t="shared" si="201"/>
        <v>405.82085200821803</v>
      </c>
      <c r="AU226">
        <f t="shared" si="202"/>
        <v>283.69496382954338</v>
      </c>
      <c r="BC226">
        <v>15</v>
      </c>
      <c r="BD226">
        <f>BD212</f>
        <v>679.89148990681315</v>
      </c>
      <c r="BE226">
        <f t="shared" si="203"/>
        <v>405.82085200821803</v>
      </c>
      <c r="BF226">
        <f t="shared" si="204"/>
        <v>283.69496382954338</v>
      </c>
      <c r="BN226">
        <v>15</v>
      </c>
      <c r="BO226">
        <f>BO212</f>
        <v>679.89148990681315</v>
      </c>
      <c r="BP226">
        <f t="shared" si="205"/>
        <v>405.82085200821803</v>
      </c>
      <c r="BQ226">
        <f t="shared" si="206"/>
        <v>283.69496382954338</v>
      </c>
      <c r="BY226">
        <v>15</v>
      </c>
      <c r="BZ226">
        <f>BZ212</f>
        <v>679.89148990681315</v>
      </c>
      <c r="CA226">
        <f t="shared" si="207"/>
        <v>405.82085200821803</v>
      </c>
      <c r="CB226">
        <f t="shared" si="208"/>
        <v>283.69496382954338</v>
      </c>
      <c r="CJ226">
        <v>15</v>
      </c>
      <c r="CK226">
        <f>CK212</f>
        <v>732.9212668298901</v>
      </c>
      <c r="CL226">
        <f t="shared" si="209"/>
        <v>437.47382836136882</v>
      </c>
      <c r="CM226">
        <f t="shared" si="210"/>
        <v>305.8224369181433</v>
      </c>
      <c r="CU226">
        <v>15</v>
      </c>
      <c r="CV226">
        <f>CV212</f>
        <v>732.9212668298901</v>
      </c>
      <c r="CW226">
        <f t="shared" si="211"/>
        <v>437.47382836136882</v>
      </c>
      <c r="CX226">
        <f t="shared" si="212"/>
        <v>305.8224369181433</v>
      </c>
      <c r="DF226">
        <v>15</v>
      </c>
      <c r="DG226">
        <f>DG212</f>
        <v>859.6281129837364</v>
      </c>
      <c r="DH226">
        <f t="shared" si="213"/>
        <v>513.10395614613617</v>
      </c>
      <c r="DI226">
        <f t="shared" si="214"/>
        <v>358.69277677413669</v>
      </c>
      <c r="DQ226">
        <v>15</v>
      </c>
      <c r="DR226">
        <f>DR212</f>
        <v>859.6281129837364</v>
      </c>
      <c r="DS226">
        <f t="shared" si="215"/>
        <v>513.10395614613617</v>
      </c>
      <c r="DT226">
        <f t="shared" si="216"/>
        <v>358.69277677413669</v>
      </c>
      <c r="EB226">
        <v>15</v>
      </c>
      <c r="EC226">
        <f>EC212</f>
        <v>859.6281129837364</v>
      </c>
      <c r="ED226">
        <f t="shared" si="217"/>
        <v>513.10395614613617</v>
      </c>
      <c r="EE226">
        <f t="shared" si="218"/>
        <v>358.69277677413669</v>
      </c>
      <c r="EM226">
        <v>15</v>
      </c>
      <c r="EN226">
        <f>EN212</f>
        <v>859.6281129837364</v>
      </c>
      <c r="EO226">
        <f t="shared" si="219"/>
        <v>513.10395614613617</v>
      </c>
      <c r="EP226">
        <f t="shared" si="220"/>
        <v>358.69277677413669</v>
      </c>
      <c r="EX226">
        <v>15</v>
      </c>
      <c r="EY226">
        <f>EY212</f>
        <v>1359.0828822145056</v>
      </c>
      <c r="EZ226">
        <f t="shared" si="221"/>
        <v>811.22382232739915</v>
      </c>
      <c r="FA226">
        <f t="shared" si="222"/>
        <v>567.09780139186887</v>
      </c>
      <c r="FI226">
        <v>15</v>
      </c>
      <c r="FJ226">
        <f>FJ212</f>
        <v>1359.0828822145056</v>
      </c>
      <c r="FK226">
        <f t="shared" si="223"/>
        <v>811.22382232739915</v>
      </c>
      <c r="FL226">
        <f t="shared" si="224"/>
        <v>567.09780139186887</v>
      </c>
      <c r="FN226">
        <f t="shared" si="225"/>
        <v>686.75030769230773</v>
      </c>
      <c r="FO226">
        <f t="shared" si="226"/>
        <v>409.91481599923668</v>
      </c>
    </row>
    <row r="227" spans="10:171" x14ac:dyDescent="0.25">
      <c r="J227">
        <v>16</v>
      </c>
      <c r="K227">
        <f>K226</f>
        <v>553.08985310132357</v>
      </c>
      <c r="L227">
        <f t="shared" si="193"/>
        <v>318.97018799299667</v>
      </c>
      <c r="M227">
        <f t="shared" si="194"/>
        <v>217.72176523258011</v>
      </c>
      <c r="V227">
        <v>16</v>
      </c>
      <c r="W227">
        <f>W226</f>
        <v>562.45463002440056</v>
      </c>
      <c r="X227">
        <f t="shared" si="195"/>
        <v>324.37091020642544</v>
      </c>
      <c r="Y227">
        <f t="shared" si="196"/>
        <v>221.40817486614853</v>
      </c>
      <c r="AG227">
        <v>16</v>
      </c>
      <c r="AH227">
        <f>AH226</f>
        <v>679.89148990681315</v>
      </c>
      <c r="AI227">
        <f t="shared" si="197"/>
        <v>392.0974415538339</v>
      </c>
      <c r="AJ227">
        <f t="shared" si="198"/>
        <v>267.63675832975798</v>
      </c>
      <c r="AL227">
        <f t="shared" si="199"/>
        <v>115.49891538461537</v>
      </c>
      <c r="AM227">
        <f t="shared" si="200"/>
        <v>66.60890729895371</v>
      </c>
      <c r="AR227">
        <v>16</v>
      </c>
      <c r="AS227">
        <f>AS226</f>
        <v>679.89148990681315</v>
      </c>
      <c r="AT227">
        <f t="shared" si="201"/>
        <v>392.0974415538339</v>
      </c>
      <c r="AU227">
        <f t="shared" si="202"/>
        <v>267.63675832975798</v>
      </c>
      <c r="BC227">
        <v>16</v>
      </c>
      <c r="BD227">
        <f>BD226</f>
        <v>679.89148990681315</v>
      </c>
      <c r="BE227">
        <f t="shared" si="203"/>
        <v>392.0974415538339</v>
      </c>
      <c r="BF227">
        <f t="shared" si="204"/>
        <v>267.63675832975798</v>
      </c>
      <c r="BN227">
        <v>16</v>
      </c>
      <c r="BO227">
        <f>BO226</f>
        <v>679.89148990681315</v>
      </c>
      <c r="BP227">
        <f t="shared" si="205"/>
        <v>392.0974415538339</v>
      </c>
      <c r="BQ227">
        <f t="shared" si="206"/>
        <v>267.63675832975798</v>
      </c>
      <c r="BY227">
        <v>16</v>
      </c>
      <c r="BZ227">
        <f>BZ226</f>
        <v>679.89148990681315</v>
      </c>
      <c r="CA227">
        <f t="shared" si="207"/>
        <v>392.0974415538339</v>
      </c>
      <c r="CB227">
        <f t="shared" si="208"/>
        <v>267.63675832975798</v>
      </c>
      <c r="CJ227">
        <v>16</v>
      </c>
      <c r="CK227">
        <f>CK226</f>
        <v>732.9212668298901</v>
      </c>
      <c r="CL227">
        <f t="shared" si="209"/>
        <v>422.68002740228883</v>
      </c>
      <c r="CM227">
        <f t="shared" si="210"/>
        <v>288.51173294164465</v>
      </c>
      <c r="CU227">
        <v>16</v>
      </c>
      <c r="CV227">
        <f>CV226</f>
        <v>732.9212668298901</v>
      </c>
      <c r="CW227">
        <f t="shared" si="211"/>
        <v>422.68002740228883</v>
      </c>
      <c r="CX227">
        <f t="shared" si="212"/>
        <v>288.51173294164465</v>
      </c>
      <c r="DF227">
        <v>16</v>
      </c>
      <c r="DG227">
        <f>DG226</f>
        <v>859.6281129837364</v>
      </c>
      <c r="DH227">
        <f t="shared" si="213"/>
        <v>495.75261463394804</v>
      </c>
      <c r="DI227">
        <f t="shared" si="214"/>
        <v>338.38941205107244</v>
      </c>
      <c r="DQ227">
        <v>16</v>
      </c>
      <c r="DR227">
        <f>DR226</f>
        <v>859.6281129837364</v>
      </c>
      <c r="DS227">
        <f t="shared" si="215"/>
        <v>495.75261463394804</v>
      </c>
      <c r="DT227">
        <f t="shared" si="216"/>
        <v>338.38941205107244</v>
      </c>
      <c r="EB227">
        <v>16</v>
      </c>
      <c r="EC227">
        <f>EC226</f>
        <v>859.6281129837364</v>
      </c>
      <c r="ED227">
        <f t="shared" si="217"/>
        <v>495.75261463394804</v>
      </c>
      <c r="EE227">
        <f t="shared" si="218"/>
        <v>338.38941205107244</v>
      </c>
      <c r="EM227">
        <v>16</v>
      </c>
      <c r="EN227">
        <f>EN226</f>
        <v>859.6281129837364</v>
      </c>
      <c r="EO227">
        <f t="shared" si="219"/>
        <v>495.75261463394804</v>
      </c>
      <c r="EP227">
        <f t="shared" si="220"/>
        <v>338.38941205107244</v>
      </c>
      <c r="EX227">
        <v>16</v>
      </c>
      <c r="EY227">
        <f>EY226</f>
        <v>1359.0828822145056</v>
      </c>
      <c r="EZ227">
        <f t="shared" si="221"/>
        <v>783.7911326834776</v>
      </c>
      <c r="FA227">
        <f t="shared" si="222"/>
        <v>534.99792584138595</v>
      </c>
      <c r="FI227">
        <v>16</v>
      </c>
      <c r="FJ227">
        <f>FJ226</f>
        <v>1359.0828822145056</v>
      </c>
      <c r="FK227">
        <f t="shared" si="223"/>
        <v>783.7911326834776</v>
      </c>
      <c r="FL227">
        <f t="shared" si="224"/>
        <v>534.99792584138595</v>
      </c>
      <c r="FN227">
        <f t="shared" si="225"/>
        <v>686.75030769230773</v>
      </c>
      <c r="FO227">
        <f t="shared" si="226"/>
        <v>396.0529623181032</v>
      </c>
    </row>
    <row r="228" spans="10:171" x14ac:dyDescent="0.25">
      <c r="J228">
        <v>17</v>
      </c>
      <c r="K228">
        <f t="shared" ref="K228:K231" si="257">K227</f>
        <v>553.08985310132357</v>
      </c>
      <c r="L228">
        <f t="shared" si="193"/>
        <v>308.18375651497269</v>
      </c>
      <c r="M228">
        <f t="shared" si="194"/>
        <v>205.39789172884915</v>
      </c>
      <c r="V228">
        <v>17</v>
      </c>
      <c r="W228">
        <f t="shared" ref="W228:W231" si="258">W227</f>
        <v>562.45463002440056</v>
      </c>
      <c r="X228">
        <f t="shared" si="195"/>
        <v>313.40184561007288</v>
      </c>
      <c r="Y228">
        <f t="shared" si="196"/>
        <v>208.87563666617783</v>
      </c>
      <c r="AG228">
        <v>17</v>
      </c>
      <c r="AH228">
        <f t="shared" ref="AH228:AH231" si="259">AH227</f>
        <v>679.89148990681315</v>
      </c>
      <c r="AI228">
        <f t="shared" si="197"/>
        <v>378.83810778148205</v>
      </c>
      <c r="AJ228">
        <f t="shared" si="198"/>
        <v>252.48750785826223</v>
      </c>
      <c r="AL228">
        <f t="shared" si="199"/>
        <v>115.49891538461537</v>
      </c>
      <c r="AM228">
        <f t="shared" si="200"/>
        <v>64.356432172902132</v>
      </c>
      <c r="AR228">
        <v>17</v>
      </c>
      <c r="AS228">
        <f t="shared" ref="AS228:AS231" si="260">AS227</f>
        <v>679.89148990681315</v>
      </c>
      <c r="AT228">
        <f t="shared" si="201"/>
        <v>378.83810778148205</v>
      </c>
      <c r="AU228">
        <f t="shared" si="202"/>
        <v>252.48750785826223</v>
      </c>
      <c r="BC228">
        <v>17</v>
      </c>
      <c r="BD228">
        <f t="shared" ref="BD228:BD231" si="261">BD227</f>
        <v>679.89148990681315</v>
      </c>
      <c r="BE228">
        <f t="shared" si="203"/>
        <v>378.83810778148205</v>
      </c>
      <c r="BF228">
        <f t="shared" si="204"/>
        <v>252.48750785826223</v>
      </c>
      <c r="BN228">
        <v>17</v>
      </c>
      <c r="BO228">
        <f t="shared" ref="BO228:BO231" si="262">BO227</f>
        <v>679.89148990681315</v>
      </c>
      <c r="BP228">
        <f t="shared" si="205"/>
        <v>378.83810778148205</v>
      </c>
      <c r="BQ228">
        <f t="shared" si="206"/>
        <v>252.48750785826223</v>
      </c>
      <c r="BY228">
        <v>17</v>
      </c>
      <c r="BZ228">
        <f t="shared" ref="BZ228:BZ231" si="263">BZ227</f>
        <v>679.89148990681315</v>
      </c>
      <c r="CA228">
        <f t="shared" si="207"/>
        <v>378.83810778148205</v>
      </c>
      <c r="CB228">
        <f t="shared" si="208"/>
        <v>252.48750785826223</v>
      </c>
      <c r="CJ228">
        <v>17</v>
      </c>
      <c r="CK228">
        <f t="shared" ref="CK228:CK231" si="264">CK227</f>
        <v>732.9212668298901</v>
      </c>
      <c r="CL228">
        <f t="shared" si="209"/>
        <v>408.38649990559304</v>
      </c>
      <c r="CM228">
        <f t="shared" si="210"/>
        <v>272.180880133627</v>
      </c>
      <c r="CU228">
        <v>17</v>
      </c>
      <c r="CV228">
        <f t="shared" ref="CV228:CV231" si="265">CV227</f>
        <v>732.9212668298901</v>
      </c>
      <c r="CW228">
        <f t="shared" si="211"/>
        <v>408.38649990559304</v>
      </c>
      <c r="CX228">
        <f t="shared" si="212"/>
        <v>272.180880133627</v>
      </c>
      <c r="DF228">
        <v>17</v>
      </c>
      <c r="DG228">
        <f t="shared" ref="DG228:DG231" si="266">DG227</f>
        <v>859.6281129837364</v>
      </c>
      <c r="DH228">
        <f t="shared" si="213"/>
        <v>478.98803346275173</v>
      </c>
      <c r="DI228">
        <f t="shared" si="214"/>
        <v>319.23529438780417</v>
      </c>
      <c r="DQ228">
        <v>17</v>
      </c>
      <c r="DR228">
        <f t="shared" ref="DR228:DR231" si="267">DR227</f>
        <v>859.6281129837364</v>
      </c>
      <c r="DS228">
        <f t="shared" si="215"/>
        <v>478.98803346275173</v>
      </c>
      <c r="DT228">
        <f t="shared" si="216"/>
        <v>319.23529438780417</v>
      </c>
      <c r="EB228">
        <v>17</v>
      </c>
      <c r="EC228">
        <f t="shared" ref="EC228:EC231" si="268">EC227</f>
        <v>859.6281129837364</v>
      </c>
      <c r="ED228">
        <f t="shared" si="217"/>
        <v>478.98803346275173</v>
      </c>
      <c r="EE228">
        <f t="shared" si="218"/>
        <v>319.23529438780417</v>
      </c>
      <c r="EM228">
        <v>17</v>
      </c>
      <c r="EN228">
        <f t="shared" ref="EN228:EN231" si="269">EN227</f>
        <v>859.6281129837364</v>
      </c>
      <c r="EO228">
        <f t="shared" si="219"/>
        <v>478.98803346275173</v>
      </c>
      <c r="EP228">
        <f t="shared" si="220"/>
        <v>319.23529438780417</v>
      </c>
      <c r="EX228">
        <v>17</v>
      </c>
      <c r="EY228">
        <f t="shared" ref="EY228:EY231" si="270">EY227</f>
        <v>1359.0828822145056</v>
      </c>
      <c r="EZ228">
        <f t="shared" si="221"/>
        <v>757.28611853476104</v>
      </c>
      <c r="FA228">
        <f t="shared" si="222"/>
        <v>504.71502437866587</v>
      </c>
      <c r="FI228">
        <v>17</v>
      </c>
      <c r="FJ228">
        <f t="shared" ref="FJ228:FJ231" si="271">FJ227</f>
        <v>1359.0828822145056</v>
      </c>
      <c r="FK228">
        <f t="shared" si="223"/>
        <v>757.28611853476104</v>
      </c>
      <c r="FL228">
        <f t="shared" si="224"/>
        <v>504.71502437866587</v>
      </c>
      <c r="FN228">
        <f t="shared" si="225"/>
        <v>686.75030769230773</v>
      </c>
      <c r="FO228">
        <f t="shared" si="226"/>
        <v>382.65986697401274</v>
      </c>
    </row>
    <row r="229" spans="10:171" x14ac:dyDescent="0.25">
      <c r="J229">
        <v>18</v>
      </c>
      <c r="K229">
        <f t="shared" si="257"/>
        <v>553.08985310132357</v>
      </c>
      <c r="L229">
        <f t="shared" si="193"/>
        <v>297.76208358934559</v>
      </c>
      <c r="M229">
        <f t="shared" si="194"/>
        <v>193.7715959706124</v>
      </c>
      <c r="V229">
        <v>18</v>
      </c>
      <c r="W229">
        <f t="shared" si="258"/>
        <v>562.45463002440056</v>
      </c>
      <c r="X229">
        <f t="shared" si="195"/>
        <v>302.8037155652878</v>
      </c>
      <c r="Y229">
        <f t="shared" si="196"/>
        <v>197.05248742092249</v>
      </c>
      <c r="AG229">
        <v>18</v>
      </c>
      <c r="AH229">
        <f t="shared" si="259"/>
        <v>679.89148990681315</v>
      </c>
      <c r="AI229">
        <f t="shared" si="197"/>
        <v>366.0271572767943</v>
      </c>
      <c r="AJ229">
        <f t="shared" si="198"/>
        <v>238.19576213043607</v>
      </c>
      <c r="AL229">
        <f t="shared" si="199"/>
        <v>115.49891538461537</v>
      </c>
      <c r="AM229">
        <f t="shared" si="200"/>
        <v>62.180127703287091</v>
      </c>
      <c r="AR229">
        <v>18</v>
      </c>
      <c r="AS229">
        <f t="shared" si="260"/>
        <v>679.89148990681315</v>
      </c>
      <c r="AT229">
        <f t="shared" si="201"/>
        <v>366.0271572767943</v>
      </c>
      <c r="AU229">
        <f t="shared" si="202"/>
        <v>238.19576213043607</v>
      </c>
      <c r="BC229">
        <v>18</v>
      </c>
      <c r="BD229">
        <f t="shared" si="261"/>
        <v>679.89148990681315</v>
      </c>
      <c r="BE229">
        <f t="shared" si="203"/>
        <v>366.0271572767943</v>
      </c>
      <c r="BF229">
        <f t="shared" si="204"/>
        <v>238.19576213043607</v>
      </c>
      <c r="BN229">
        <v>18</v>
      </c>
      <c r="BO229">
        <f t="shared" si="262"/>
        <v>679.89148990681315</v>
      </c>
      <c r="BP229">
        <f t="shared" si="205"/>
        <v>366.0271572767943</v>
      </c>
      <c r="BQ229">
        <f t="shared" si="206"/>
        <v>238.19576213043607</v>
      </c>
      <c r="BY229">
        <v>18</v>
      </c>
      <c r="BZ229">
        <f t="shared" si="263"/>
        <v>679.89148990681315</v>
      </c>
      <c r="CA229">
        <f t="shared" si="207"/>
        <v>366.0271572767943</v>
      </c>
      <c r="CB229">
        <f t="shared" si="208"/>
        <v>238.19576213043607</v>
      </c>
      <c r="CJ229">
        <v>18</v>
      </c>
      <c r="CK229">
        <f t="shared" si="264"/>
        <v>732.9212668298901</v>
      </c>
      <c r="CL229">
        <f t="shared" si="209"/>
        <v>394.57632841120108</v>
      </c>
      <c r="CM229">
        <f t="shared" si="210"/>
        <v>256.77441522040283</v>
      </c>
      <c r="CU229">
        <v>18</v>
      </c>
      <c r="CV229">
        <f t="shared" si="265"/>
        <v>732.9212668298901</v>
      </c>
      <c r="CW229">
        <f t="shared" si="211"/>
        <v>394.57632841120108</v>
      </c>
      <c r="CX229">
        <f t="shared" si="212"/>
        <v>256.77441522040283</v>
      </c>
      <c r="DF229">
        <v>18</v>
      </c>
      <c r="DG229">
        <f t="shared" si="266"/>
        <v>859.6281129837364</v>
      </c>
      <c r="DH229">
        <f t="shared" si="213"/>
        <v>462.79037049541239</v>
      </c>
      <c r="DI229">
        <f t="shared" si="214"/>
        <v>301.16537206396617</v>
      </c>
      <c r="DQ229">
        <v>18</v>
      </c>
      <c r="DR229">
        <f t="shared" si="267"/>
        <v>859.6281129837364</v>
      </c>
      <c r="DS229">
        <f t="shared" si="215"/>
        <v>462.79037049541239</v>
      </c>
      <c r="DT229">
        <f t="shared" si="216"/>
        <v>301.16537206396617</v>
      </c>
      <c r="EB229">
        <v>18</v>
      </c>
      <c r="EC229">
        <f t="shared" si="268"/>
        <v>859.6281129837364</v>
      </c>
      <c r="ED229">
        <f t="shared" si="217"/>
        <v>462.79037049541239</v>
      </c>
      <c r="EE229">
        <f t="shared" si="218"/>
        <v>301.16537206396617</v>
      </c>
      <c r="EM229">
        <v>18</v>
      </c>
      <c r="EN229">
        <f t="shared" si="269"/>
        <v>859.6281129837364</v>
      </c>
      <c r="EO229">
        <f t="shared" si="219"/>
        <v>462.79037049541239</v>
      </c>
      <c r="EP229">
        <f t="shared" si="220"/>
        <v>301.16537206396617</v>
      </c>
      <c r="EX229">
        <v>18</v>
      </c>
      <c r="EY229">
        <f t="shared" si="270"/>
        <v>1359.0828822145056</v>
      </c>
      <c r="EZ229">
        <f t="shared" si="221"/>
        <v>731.67740921232951</v>
      </c>
      <c r="FA229">
        <f t="shared" si="222"/>
        <v>476.14624941383573</v>
      </c>
      <c r="FI229">
        <v>18</v>
      </c>
      <c r="FJ229">
        <f t="shared" si="271"/>
        <v>1359.0828822145056</v>
      </c>
      <c r="FK229">
        <f t="shared" si="223"/>
        <v>731.67740921232951</v>
      </c>
      <c r="FL229">
        <f t="shared" si="224"/>
        <v>476.14624941383573</v>
      </c>
      <c r="FN229">
        <f t="shared" si="225"/>
        <v>686.75030769230773</v>
      </c>
      <c r="FO229">
        <f t="shared" si="226"/>
        <v>369.71967823576114</v>
      </c>
    </row>
    <row r="230" spans="10:171" x14ac:dyDescent="0.25">
      <c r="J230">
        <v>19</v>
      </c>
      <c r="K230">
        <f t="shared" si="257"/>
        <v>553.08985310132357</v>
      </c>
      <c r="L230">
        <f t="shared" si="193"/>
        <v>287.69283438584119</v>
      </c>
      <c r="M230">
        <f t="shared" si="194"/>
        <v>182.80339242510601</v>
      </c>
      <c r="V230">
        <v>19</v>
      </c>
      <c r="W230">
        <f t="shared" si="258"/>
        <v>562.45463002440056</v>
      </c>
      <c r="X230">
        <f t="shared" si="195"/>
        <v>292.56397639158246</v>
      </c>
      <c r="Y230">
        <f t="shared" si="196"/>
        <v>185.89857303860609</v>
      </c>
      <c r="AG230">
        <v>19</v>
      </c>
      <c r="AH230">
        <f t="shared" si="259"/>
        <v>679.89148990681315</v>
      </c>
      <c r="AI230">
        <f t="shared" si="197"/>
        <v>353.6494273205742</v>
      </c>
      <c r="AJ230">
        <f t="shared" si="198"/>
        <v>224.7129831419208</v>
      </c>
      <c r="AL230">
        <f t="shared" si="199"/>
        <v>115.49891538461537</v>
      </c>
      <c r="AM230">
        <f t="shared" si="200"/>
        <v>60.07741807080879</v>
      </c>
      <c r="AR230">
        <v>19</v>
      </c>
      <c r="AS230">
        <f t="shared" si="260"/>
        <v>679.89148990681315</v>
      </c>
      <c r="AT230">
        <f t="shared" si="201"/>
        <v>353.6494273205742</v>
      </c>
      <c r="AU230">
        <f t="shared" si="202"/>
        <v>224.7129831419208</v>
      </c>
      <c r="BC230">
        <v>19</v>
      </c>
      <c r="BD230">
        <f t="shared" si="261"/>
        <v>679.89148990681315</v>
      </c>
      <c r="BE230">
        <f t="shared" si="203"/>
        <v>353.6494273205742</v>
      </c>
      <c r="BF230">
        <f t="shared" si="204"/>
        <v>224.7129831419208</v>
      </c>
      <c r="BN230">
        <v>19</v>
      </c>
      <c r="BO230">
        <f t="shared" si="262"/>
        <v>679.89148990681315</v>
      </c>
      <c r="BP230">
        <f t="shared" si="205"/>
        <v>353.6494273205742</v>
      </c>
      <c r="BQ230">
        <f t="shared" si="206"/>
        <v>224.7129831419208</v>
      </c>
      <c r="BY230">
        <v>19</v>
      </c>
      <c r="BZ230">
        <f t="shared" si="263"/>
        <v>679.89148990681315</v>
      </c>
      <c r="CA230">
        <f t="shared" si="207"/>
        <v>353.6494273205742</v>
      </c>
      <c r="CB230">
        <f t="shared" si="208"/>
        <v>224.7129831419208</v>
      </c>
      <c r="CJ230">
        <v>19</v>
      </c>
      <c r="CK230">
        <f t="shared" si="264"/>
        <v>732.9212668298901</v>
      </c>
      <c r="CL230">
        <f t="shared" si="209"/>
        <v>381.23316754705422</v>
      </c>
      <c r="CM230">
        <f t="shared" si="210"/>
        <v>242.24001435887058</v>
      </c>
      <c r="CU230">
        <v>19</v>
      </c>
      <c r="CV230">
        <f t="shared" si="265"/>
        <v>732.9212668298901</v>
      </c>
      <c r="CW230">
        <f t="shared" si="211"/>
        <v>381.23316754705422</v>
      </c>
      <c r="CX230">
        <f t="shared" si="212"/>
        <v>242.24001435887058</v>
      </c>
      <c r="DF230">
        <v>19</v>
      </c>
      <c r="DG230">
        <f t="shared" si="266"/>
        <v>859.6281129837364</v>
      </c>
      <c r="DH230">
        <f t="shared" si="213"/>
        <v>447.1404545849395</v>
      </c>
      <c r="DI230">
        <f t="shared" si="214"/>
        <v>284.11827553204353</v>
      </c>
      <c r="DQ230">
        <v>19</v>
      </c>
      <c r="DR230">
        <f t="shared" si="267"/>
        <v>859.6281129837364</v>
      </c>
      <c r="DS230">
        <f t="shared" si="215"/>
        <v>447.1404545849395</v>
      </c>
      <c r="DT230">
        <f t="shared" si="216"/>
        <v>284.11827553204353</v>
      </c>
      <c r="EB230">
        <v>19</v>
      </c>
      <c r="EC230">
        <f t="shared" si="268"/>
        <v>859.6281129837364</v>
      </c>
      <c r="ED230">
        <f t="shared" si="217"/>
        <v>447.1404545849395</v>
      </c>
      <c r="EE230">
        <f t="shared" si="218"/>
        <v>284.11827553204353</v>
      </c>
      <c r="EM230">
        <v>19</v>
      </c>
      <c r="EN230">
        <f t="shared" si="269"/>
        <v>859.6281129837364</v>
      </c>
      <c r="EO230">
        <f t="shared" si="219"/>
        <v>447.1404545849395</v>
      </c>
      <c r="EP230">
        <f t="shared" si="220"/>
        <v>284.11827553204353</v>
      </c>
      <c r="EX230">
        <v>19</v>
      </c>
      <c r="EY230">
        <f t="shared" si="270"/>
        <v>1359.0828822145056</v>
      </c>
      <c r="EZ230">
        <f t="shared" si="221"/>
        <v>706.93469489113977</v>
      </c>
      <c r="FA230">
        <f t="shared" si="222"/>
        <v>449.19457491871293</v>
      </c>
      <c r="FI230">
        <v>19</v>
      </c>
      <c r="FJ230">
        <f t="shared" si="271"/>
        <v>1359.0828822145056</v>
      </c>
      <c r="FK230">
        <f t="shared" si="223"/>
        <v>706.93469489113977</v>
      </c>
      <c r="FL230">
        <f t="shared" si="224"/>
        <v>449.19457491871293</v>
      </c>
      <c r="FN230">
        <f t="shared" si="225"/>
        <v>686.75030769230773</v>
      </c>
      <c r="FO230">
        <f t="shared" si="226"/>
        <v>357.21708042102529</v>
      </c>
    </row>
    <row r="231" spans="10:171" x14ac:dyDescent="0.25">
      <c r="J231">
        <v>20</v>
      </c>
      <c r="K231">
        <f t="shared" si="257"/>
        <v>553.08985310132357</v>
      </c>
      <c r="L231">
        <f t="shared" si="193"/>
        <v>277.9640911940495</v>
      </c>
      <c r="M231">
        <f t="shared" si="194"/>
        <v>172.45603058972267</v>
      </c>
      <c r="V231">
        <v>20</v>
      </c>
      <c r="W231">
        <f t="shared" si="258"/>
        <v>562.45463002440056</v>
      </c>
      <c r="X231">
        <f t="shared" si="195"/>
        <v>282.67050859090097</v>
      </c>
      <c r="Y231">
        <f t="shared" si="196"/>
        <v>175.3760123005718</v>
      </c>
      <c r="AG231">
        <v>20</v>
      </c>
      <c r="AH231">
        <f t="shared" si="259"/>
        <v>679.89148990681315</v>
      </c>
      <c r="AI231">
        <f t="shared" si="197"/>
        <v>341.69026794258383</v>
      </c>
      <c r="AJ231">
        <f t="shared" si="198"/>
        <v>211.99338032256679</v>
      </c>
      <c r="AL231">
        <f t="shared" si="199"/>
        <v>115.49891538461537</v>
      </c>
      <c r="AM231">
        <f t="shared" si="200"/>
        <v>58.045814561167916</v>
      </c>
      <c r="AR231">
        <v>20</v>
      </c>
      <c r="AS231">
        <f t="shared" si="260"/>
        <v>679.89148990681315</v>
      </c>
      <c r="AT231">
        <f t="shared" si="201"/>
        <v>341.69026794258383</v>
      </c>
      <c r="AU231">
        <f t="shared" si="202"/>
        <v>211.99338032256679</v>
      </c>
      <c r="BC231">
        <v>20</v>
      </c>
      <c r="BD231">
        <f t="shared" si="261"/>
        <v>679.89148990681315</v>
      </c>
      <c r="BE231">
        <f t="shared" si="203"/>
        <v>341.69026794258383</v>
      </c>
      <c r="BF231">
        <f t="shared" si="204"/>
        <v>211.99338032256679</v>
      </c>
      <c r="BN231">
        <v>20</v>
      </c>
      <c r="BO231">
        <f t="shared" si="262"/>
        <v>679.89148990681315</v>
      </c>
      <c r="BP231">
        <f t="shared" si="205"/>
        <v>341.69026794258383</v>
      </c>
      <c r="BQ231">
        <f t="shared" si="206"/>
        <v>211.99338032256679</v>
      </c>
      <c r="BY231">
        <v>20</v>
      </c>
      <c r="BZ231">
        <f t="shared" si="263"/>
        <v>679.89148990681315</v>
      </c>
      <c r="CA231">
        <f t="shared" si="207"/>
        <v>341.69026794258383</v>
      </c>
      <c r="CB231">
        <f t="shared" si="208"/>
        <v>211.99338032256679</v>
      </c>
      <c r="CJ231">
        <v>20</v>
      </c>
      <c r="CK231">
        <f t="shared" si="264"/>
        <v>732.9212668298901</v>
      </c>
      <c r="CL231">
        <f t="shared" si="209"/>
        <v>368.34122468314422</v>
      </c>
      <c r="CM231">
        <f t="shared" si="210"/>
        <v>228.52831543289679</v>
      </c>
      <c r="CU231">
        <v>20</v>
      </c>
      <c r="CV231">
        <f t="shared" si="265"/>
        <v>732.9212668298901</v>
      </c>
      <c r="CW231">
        <f t="shared" si="211"/>
        <v>368.34122468314422</v>
      </c>
      <c r="CX231">
        <f t="shared" si="212"/>
        <v>228.52831543289679</v>
      </c>
      <c r="DF231">
        <v>20</v>
      </c>
      <c r="DG231">
        <f t="shared" si="266"/>
        <v>859.6281129837364</v>
      </c>
      <c r="DH231">
        <f t="shared" si="213"/>
        <v>432.01976288399959</v>
      </c>
      <c r="DI231">
        <f t="shared" si="214"/>
        <v>268.03610899249395</v>
      </c>
      <c r="DQ231">
        <v>20</v>
      </c>
      <c r="DR231">
        <f t="shared" si="267"/>
        <v>859.6281129837364</v>
      </c>
      <c r="DS231">
        <f t="shared" si="215"/>
        <v>432.01976288399959</v>
      </c>
      <c r="DT231">
        <f t="shared" si="216"/>
        <v>268.03610899249395</v>
      </c>
      <c r="EB231">
        <v>20</v>
      </c>
      <c r="EC231">
        <f t="shared" si="268"/>
        <v>859.6281129837364</v>
      </c>
      <c r="ED231">
        <f t="shared" si="217"/>
        <v>432.01976288399959</v>
      </c>
      <c r="EE231">
        <f t="shared" si="218"/>
        <v>268.03610899249395</v>
      </c>
      <c r="EM231">
        <v>20</v>
      </c>
      <c r="EN231">
        <f t="shared" si="269"/>
        <v>859.6281129837364</v>
      </c>
      <c r="EO231">
        <f t="shared" si="219"/>
        <v>432.01976288399959</v>
      </c>
      <c r="EP231">
        <f t="shared" si="220"/>
        <v>268.03610899249395</v>
      </c>
      <c r="EX231">
        <v>20</v>
      </c>
      <c r="EY231">
        <f t="shared" si="270"/>
        <v>1359.0828822145056</v>
      </c>
      <c r="EZ231">
        <f t="shared" si="221"/>
        <v>683.02869071607711</v>
      </c>
      <c r="FA231">
        <f t="shared" si="222"/>
        <v>423.76846690444614</v>
      </c>
      <c r="FI231">
        <v>20</v>
      </c>
      <c r="FJ231">
        <f t="shared" si="271"/>
        <v>1359.0828822145056</v>
      </c>
      <c r="FK231">
        <f t="shared" si="223"/>
        <v>683.02869071607711</v>
      </c>
      <c r="FL231">
        <f t="shared" si="224"/>
        <v>423.76846690444614</v>
      </c>
      <c r="FN231">
        <f t="shared" si="225"/>
        <v>686.75030769230773</v>
      </c>
      <c r="FO231">
        <f t="shared" si="226"/>
        <v>345.13727576910657</v>
      </c>
    </row>
    <row r="232" spans="10:171" x14ac:dyDescent="0.25">
      <c r="J232">
        <v>21</v>
      </c>
      <c r="K232">
        <f>K225</f>
        <v>1481.7957202704411</v>
      </c>
      <c r="L232">
        <f t="shared" si="193"/>
        <v>719.51688570510032</v>
      </c>
      <c r="M232">
        <f t="shared" si="194"/>
        <v>435.87821684895596</v>
      </c>
      <c r="V232">
        <v>21</v>
      </c>
      <c r="W232">
        <f>W225</f>
        <v>1947.4773664757427</v>
      </c>
      <c r="X232">
        <f t="shared" si="195"/>
        <v>945.6383430855484</v>
      </c>
      <c r="Y232">
        <f t="shared" si="196"/>
        <v>572.8609890290561</v>
      </c>
      <c r="AG232">
        <v>21</v>
      </c>
      <c r="AH232">
        <f>AH225</f>
        <v>2959.9530340367855</v>
      </c>
      <c r="AI232">
        <f t="shared" si="197"/>
        <v>1437.2670670791347</v>
      </c>
      <c r="AJ232">
        <f t="shared" si="198"/>
        <v>870.68617676743042</v>
      </c>
      <c r="AL232">
        <f t="shared" si="199"/>
        <v>115.49891538461537</v>
      </c>
      <c r="AM232">
        <f t="shared" si="200"/>
        <v>56.082912619485917</v>
      </c>
      <c r="AR232">
        <v>21</v>
      </c>
      <c r="AS232">
        <f>AS225</f>
        <v>3755.7909530152629</v>
      </c>
      <c r="AT232">
        <f t="shared" si="201"/>
        <v>1823.7028039058773</v>
      </c>
      <c r="AU232">
        <f t="shared" si="202"/>
        <v>1104.7862003265566</v>
      </c>
      <c r="BC232">
        <v>21</v>
      </c>
      <c r="BD232">
        <f>BD225</f>
        <v>5239.8512211513389</v>
      </c>
      <c r="BE232">
        <f t="shared" si="203"/>
        <v>2544.3192881626014</v>
      </c>
      <c r="BF232">
        <f t="shared" si="204"/>
        <v>1541.3305461649134</v>
      </c>
      <c r="BN232">
        <v>21</v>
      </c>
      <c r="BO232">
        <f>BO225</f>
        <v>8492.3630842352068</v>
      </c>
      <c r="BP232">
        <f t="shared" si="205"/>
        <v>4123.6444099937562</v>
      </c>
      <c r="BQ232">
        <f t="shared" si="206"/>
        <v>2498.0744831107759</v>
      </c>
      <c r="BY232">
        <v>21</v>
      </c>
      <c r="BZ232">
        <f>BZ225</f>
        <v>10488.413852897145</v>
      </c>
      <c r="CA232">
        <f t="shared" si="207"/>
        <v>5092.8685838325036</v>
      </c>
      <c r="CB232">
        <f t="shared" si="208"/>
        <v>3085.223600821525</v>
      </c>
      <c r="CJ232">
        <v>21</v>
      </c>
      <c r="CK232">
        <f>CK225</f>
        <v>13707.425053219611</v>
      </c>
      <c r="CL232">
        <f t="shared" si="209"/>
        <v>6655.9267586011165</v>
      </c>
      <c r="CM232">
        <f t="shared" si="210"/>
        <v>4032.1131368213296</v>
      </c>
      <c r="CU232">
        <v>21</v>
      </c>
      <c r="CV232">
        <f>CV225</f>
        <v>18438.031885715947</v>
      </c>
      <c r="CW232">
        <f t="shared" si="211"/>
        <v>8952.9717892021072</v>
      </c>
      <c r="CX232">
        <f t="shared" si="212"/>
        <v>5423.6466947571444</v>
      </c>
      <c r="DF232">
        <v>21</v>
      </c>
      <c r="DG232">
        <f>DG225</f>
        <v>26514.061781763179</v>
      </c>
      <c r="DH232">
        <f t="shared" si="213"/>
        <v>12874.456917128282</v>
      </c>
      <c r="DI232">
        <f t="shared" si="214"/>
        <v>7799.2545212296527</v>
      </c>
      <c r="DQ232">
        <v>21</v>
      </c>
      <c r="DR232">
        <f>DR225</f>
        <v>36112.578166755855</v>
      </c>
      <c r="DS232">
        <f t="shared" si="215"/>
        <v>17535.217184042027</v>
      </c>
      <c r="DT232">
        <f t="shared" si="216"/>
        <v>10622.709973997809</v>
      </c>
      <c r="EB232">
        <v>21</v>
      </c>
      <c r="EC232">
        <f>EC225</f>
        <v>43984.489752649235</v>
      </c>
      <c r="ED232">
        <f t="shared" si="217"/>
        <v>21357.588399822147</v>
      </c>
      <c r="EE232">
        <f t="shared" si="218"/>
        <v>12938.275296743928</v>
      </c>
      <c r="EM232">
        <v>21</v>
      </c>
      <c r="EN232">
        <f>EN225</f>
        <v>51610.129154542621</v>
      </c>
      <c r="EO232">
        <f t="shared" si="219"/>
        <v>25060.377008874846</v>
      </c>
      <c r="EP232">
        <f t="shared" si="220"/>
        <v>15181.398326026127</v>
      </c>
      <c r="EX232">
        <v>21</v>
      </c>
      <c r="EY232">
        <f>EY225</f>
        <v>62241.015828096031</v>
      </c>
      <c r="EZ232">
        <f t="shared" si="221"/>
        <v>30222.42624886251</v>
      </c>
      <c r="FA232">
        <f t="shared" si="222"/>
        <v>18308.531076784839</v>
      </c>
      <c r="FI232">
        <v>21</v>
      </c>
      <c r="FJ232">
        <f>FJ225</f>
        <v>69924.607658994471</v>
      </c>
      <c r="FK232">
        <f t="shared" si="223"/>
        <v>33953.354871188538</v>
      </c>
      <c r="FL232">
        <f t="shared" si="224"/>
        <v>20568.701126159776</v>
      </c>
      <c r="FN232">
        <f t="shared" si="225"/>
        <v>686.75030769230773</v>
      </c>
      <c r="FO232">
        <f t="shared" si="226"/>
        <v>333.4659669266731</v>
      </c>
    </row>
    <row r="233" spans="10:171" x14ac:dyDescent="0.25">
      <c r="J233">
        <v>22</v>
      </c>
      <c r="K233">
        <f>K219</f>
        <v>553.08985310132357</v>
      </c>
      <c r="L233">
        <f t="shared" si="193"/>
        <v>259.48245344726786</v>
      </c>
      <c r="M233">
        <f t="shared" si="194"/>
        <v>153.48525328384</v>
      </c>
      <c r="V233">
        <v>22</v>
      </c>
      <c r="W233">
        <f>W219</f>
        <v>562.45463002440056</v>
      </c>
      <c r="X233">
        <f t="shared" si="195"/>
        <v>263.8759444476193</v>
      </c>
      <c r="Y233">
        <f t="shared" si="196"/>
        <v>156.08402661140241</v>
      </c>
      <c r="AG233">
        <v>22</v>
      </c>
      <c r="AH233">
        <f>AH219</f>
        <v>679.89148990681315</v>
      </c>
      <c r="AI233">
        <f t="shared" si="197"/>
        <v>318.97152133546535</v>
      </c>
      <c r="AJ233">
        <f t="shared" si="198"/>
        <v>188.67335379366924</v>
      </c>
      <c r="AL233">
        <f t="shared" si="199"/>
        <v>115.49891538461537</v>
      </c>
      <c r="AM233">
        <f t="shared" si="200"/>
        <v>54.186389004334217</v>
      </c>
      <c r="AR233">
        <v>22</v>
      </c>
      <c r="AS233">
        <f>AS219</f>
        <v>679.89148990681315</v>
      </c>
      <c r="AT233">
        <f t="shared" si="201"/>
        <v>318.97152133546535</v>
      </c>
      <c r="AU233">
        <f t="shared" si="202"/>
        <v>188.67335379366924</v>
      </c>
      <c r="BC233">
        <v>22</v>
      </c>
      <c r="BD233">
        <f>BD219</f>
        <v>679.89148990681315</v>
      </c>
      <c r="BE233">
        <f t="shared" si="203"/>
        <v>318.97152133546535</v>
      </c>
      <c r="BF233">
        <f t="shared" si="204"/>
        <v>188.67335379366924</v>
      </c>
      <c r="BN233">
        <v>22</v>
      </c>
      <c r="BO233">
        <f>BO219</f>
        <v>679.89148990681315</v>
      </c>
      <c r="BP233">
        <f t="shared" si="205"/>
        <v>318.97152133546535</v>
      </c>
      <c r="BQ233">
        <f t="shared" si="206"/>
        <v>188.67335379366924</v>
      </c>
      <c r="BY233">
        <v>22</v>
      </c>
      <c r="BZ233">
        <f>BZ219</f>
        <v>679.89148990681315</v>
      </c>
      <c r="CA233">
        <f t="shared" si="207"/>
        <v>318.97152133546535</v>
      </c>
      <c r="CB233">
        <f t="shared" si="208"/>
        <v>188.67335379366924</v>
      </c>
      <c r="CJ233">
        <v>22</v>
      </c>
      <c r="CK233">
        <f>CK219</f>
        <v>732.9212668298901</v>
      </c>
      <c r="CL233">
        <f t="shared" si="209"/>
        <v>343.85047462778056</v>
      </c>
      <c r="CM233">
        <f t="shared" si="210"/>
        <v>203.38938717772936</v>
      </c>
      <c r="CU233">
        <v>22</v>
      </c>
      <c r="CV233">
        <f>CV219</f>
        <v>732.9212668298901</v>
      </c>
      <c r="CW233">
        <f t="shared" si="211"/>
        <v>343.85047462778056</v>
      </c>
      <c r="CX233">
        <f t="shared" si="212"/>
        <v>203.38938717772936</v>
      </c>
      <c r="DF233">
        <v>22</v>
      </c>
      <c r="DG233">
        <f>DG219</f>
        <v>859.6281129837364</v>
      </c>
      <c r="DH233">
        <f t="shared" si="213"/>
        <v>403.29507142196985</v>
      </c>
      <c r="DI233">
        <f t="shared" si="214"/>
        <v>238.55118279858834</v>
      </c>
      <c r="DQ233">
        <v>22</v>
      </c>
      <c r="DR233">
        <f>DR219</f>
        <v>859.6281129837364</v>
      </c>
      <c r="DS233">
        <f t="shared" si="215"/>
        <v>403.29507142196985</v>
      </c>
      <c r="DT233">
        <f t="shared" si="216"/>
        <v>238.55118279858834</v>
      </c>
      <c r="EB233">
        <v>22</v>
      </c>
      <c r="EC233">
        <f>EC219</f>
        <v>859.6281129837364</v>
      </c>
      <c r="ED233">
        <f t="shared" si="217"/>
        <v>403.29507142196985</v>
      </c>
      <c r="EE233">
        <f t="shared" si="218"/>
        <v>238.55118279858834</v>
      </c>
      <c r="EM233">
        <v>22</v>
      </c>
      <c r="EN233">
        <f>EN219</f>
        <v>859.6281129837364</v>
      </c>
      <c r="EO233">
        <f t="shared" si="219"/>
        <v>403.29507142196985</v>
      </c>
      <c r="EP233">
        <f t="shared" si="220"/>
        <v>238.55118279858834</v>
      </c>
      <c r="EX233">
        <v>22</v>
      </c>
      <c r="EY233">
        <f>EY219</f>
        <v>1359.0828822145056</v>
      </c>
      <c r="EZ233">
        <f t="shared" si="221"/>
        <v>637.61459144071239</v>
      </c>
      <c r="FA233">
        <f t="shared" si="222"/>
        <v>377.15242693524925</v>
      </c>
      <c r="FI233">
        <v>22</v>
      </c>
      <c r="FJ233">
        <f>FJ219</f>
        <v>1359.0828822145056</v>
      </c>
      <c r="FK233">
        <f t="shared" si="223"/>
        <v>637.61459144071239</v>
      </c>
      <c r="FL233">
        <f t="shared" si="224"/>
        <v>377.15242693524925</v>
      </c>
      <c r="FN233">
        <f t="shared" si="225"/>
        <v>686.75030769230773</v>
      </c>
      <c r="FO233">
        <f t="shared" si="226"/>
        <v>322.18934002577112</v>
      </c>
    </row>
    <row r="234" spans="10:171" x14ac:dyDescent="0.25">
      <c r="J234">
        <v>23</v>
      </c>
      <c r="K234">
        <f>K233</f>
        <v>553.08985310132357</v>
      </c>
      <c r="L234">
        <f t="shared" si="193"/>
        <v>250.70768449011388</v>
      </c>
      <c r="M234">
        <f t="shared" si="194"/>
        <v>144.7974087583396</v>
      </c>
      <c r="V234">
        <v>23</v>
      </c>
      <c r="W234">
        <f>W233</f>
        <v>562.45463002440056</v>
      </c>
      <c r="X234">
        <f t="shared" si="195"/>
        <v>254.95260333103315</v>
      </c>
      <c r="Y234">
        <f t="shared" si="196"/>
        <v>147.24908170887019</v>
      </c>
      <c r="AG234">
        <v>23</v>
      </c>
      <c r="AH234">
        <f>AH233</f>
        <v>679.89148990681315</v>
      </c>
      <c r="AI234">
        <f t="shared" si="197"/>
        <v>308.18504476856555</v>
      </c>
      <c r="AJ234">
        <f t="shared" si="198"/>
        <v>177.99372999402755</v>
      </c>
      <c r="AL234">
        <f t="shared" si="199"/>
        <v>115.49891538461537</v>
      </c>
      <c r="AM234">
        <f t="shared" si="200"/>
        <v>52.353999038004076</v>
      </c>
      <c r="AR234">
        <v>23</v>
      </c>
      <c r="AS234">
        <f>AS233</f>
        <v>679.89148990681315</v>
      </c>
      <c r="AT234">
        <f t="shared" si="201"/>
        <v>308.18504476856555</v>
      </c>
      <c r="AU234">
        <f t="shared" si="202"/>
        <v>177.99372999402755</v>
      </c>
      <c r="BC234">
        <v>23</v>
      </c>
      <c r="BD234">
        <f>BD233</f>
        <v>679.89148990681315</v>
      </c>
      <c r="BE234">
        <f t="shared" si="203"/>
        <v>308.18504476856555</v>
      </c>
      <c r="BF234">
        <f t="shared" si="204"/>
        <v>177.99372999402755</v>
      </c>
      <c r="BN234">
        <v>23</v>
      </c>
      <c r="BO234">
        <f>BO233</f>
        <v>679.89148990681315</v>
      </c>
      <c r="BP234">
        <f t="shared" si="205"/>
        <v>308.18504476856555</v>
      </c>
      <c r="BQ234">
        <f t="shared" si="206"/>
        <v>177.99372999402755</v>
      </c>
      <c r="BY234">
        <v>23</v>
      </c>
      <c r="BZ234">
        <f>BZ233</f>
        <v>679.89148990681315</v>
      </c>
      <c r="CA234">
        <f t="shared" si="207"/>
        <v>308.18504476856555</v>
      </c>
      <c r="CB234">
        <f t="shared" si="208"/>
        <v>177.99372999402755</v>
      </c>
      <c r="CJ234">
        <v>23</v>
      </c>
      <c r="CK234">
        <f>CK233</f>
        <v>732.9212668298901</v>
      </c>
      <c r="CL234">
        <f t="shared" si="209"/>
        <v>332.22268079978801</v>
      </c>
      <c r="CM234">
        <f t="shared" si="210"/>
        <v>191.87678035634843</v>
      </c>
      <c r="CU234">
        <v>23</v>
      </c>
      <c r="CV234">
        <f>CV233</f>
        <v>732.9212668298901</v>
      </c>
      <c r="CW234">
        <f t="shared" si="211"/>
        <v>332.22268079978801</v>
      </c>
      <c r="CX234">
        <f t="shared" si="212"/>
        <v>191.87678035634843</v>
      </c>
      <c r="DF234">
        <v>23</v>
      </c>
      <c r="DG234">
        <f>DG233</f>
        <v>859.6281129837364</v>
      </c>
      <c r="DH234">
        <f t="shared" si="213"/>
        <v>389.65707383765204</v>
      </c>
      <c r="DI234">
        <f t="shared" si="214"/>
        <v>225.04828565904558</v>
      </c>
      <c r="DQ234">
        <v>23</v>
      </c>
      <c r="DR234">
        <f>DR233</f>
        <v>859.6281129837364</v>
      </c>
      <c r="DS234">
        <f t="shared" si="215"/>
        <v>389.65707383765204</v>
      </c>
      <c r="DT234">
        <f t="shared" si="216"/>
        <v>225.04828565904558</v>
      </c>
      <c r="EB234">
        <v>23</v>
      </c>
      <c r="EC234">
        <f>EC233</f>
        <v>859.6281129837364</v>
      </c>
      <c r="ED234">
        <f t="shared" si="217"/>
        <v>389.65707383765204</v>
      </c>
      <c r="EE234">
        <f t="shared" si="218"/>
        <v>225.04828565904558</v>
      </c>
      <c r="EM234">
        <v>23</v>
      </c>
      <c r="EN234">
        <f>EN233</f>
        <v>859.6281129837364</v>
      </c>
      <c r="EO234">
        <f t="shared" si="219"/>
        <v>389.65707383765204</v>
      </c>
      <c r="EP234">
        <f t="shared" si="220"/>
        <v>225.04828565904558</v>
      </c>
      <c r="EX234">
        <v>23</v>
      </c>
      <c r="EY234">
        <f>EY233</f>
        <v>1359.0828822145056</v>
      </c>
      <c r="EZ234">
        <f t="shared" si="221"/>
        <v>616.05274535334536</v>
      </c>
      <c r="FA234">
        <f t="shared" si="222"/>
        <v>355.80417635400869</v>
      </c>
      <c r="FI234">
        <v>23</v>
      </c>
      <c r="FJ234">
        <f>FJ233</f>
        <v>1359.0828822145056</v>
      </c>
      <c r="FK234">
        <f t="shared" si="223"/>
        <v>616.05274535334536</v>
      </c>
      <c r="FL234">
        <f t="shared" si="224"/>
        <v>355.80417635400869</v>
      </c>
      <c r="FN234">
        <f t="shared" si="225"/>
        <v>686.75030769230773</v>
      </c>
      <c r="FO234">
        <f t="shared" si="226"/>
        <v>311.29404833407835</v>
      </c>
    </row>
    <row r="235" spans="10:171" x14ac:dyDescent="0.25">
      <c r="J235">
        <v>24</v>
      </c>
      <c r="K235">
        <f t="shared" ref="K235:K238" si="272">K234</f>
        <v>553.08985310132357</v>
      </c>
      <c r="L235">
        <f t="shared" si="193"/>
        <v>242.22964685035163</v>
      </c>
      <c r="M235">
        <f t="shared" si="194"/>
        <v>136.60132901730154</v>
      </c>
      <c r="V235">
        <v>24</v>
      </c>
      <c r="W235">
        <f t="shared" ref="W235:W238" si="273">W234</f>
        <v>562.45463002440056</v>
      </c>
      <c r="X235">
        <f t="shared" si="195"/>
        <v>246.3310177111432</v>
      </c>
      <c r="Y235">
        <f t="shared" si="196"/>
        <v>138.91422802723605</v>
      </c>
      <c r="AG235">
        <v>24</v>
      </c>
      <c r="AH235">
        <f t="shared" ref="AH235:AH238" si="274">AH234</f>
        <v>679.89148990681315</v>
      </c>
      <c r="AI235">
        <f t="shared" si="197"/>
        <v>297.76332827880736</v>
      </c>
      <c r="AJ235">
        <f t="shared" si="198"/>
        <v>167.91861320191282</v>
      </c>
      <c r="AL235">
        <f t="shared" si="199"/>
        <v>115.49891538461537</v>
      </c>
      <c r="AM235">
        <f t="shared" si="200"/>
        <v>50.583573949762403</v>
      </c>
      <c r="AR235">
        <v>24</v>
      </c>
      <c r="AS235">
        <f t="shared" ref="AS235:AS238" si="275">AS234</f>
        <v>679.89148990681315</v>
      </c>
      <c r="AT235">
        <f t="shared" si="201"/>
        <v>297.76332827880736</v>
      </c>
      <c r="AU235">
        <f t="shared" si="202"/>
        <v>167.91861320191282</v>
      </c>
      <c r="BC235">
        <v>24</v>
      </c>
      <c r="BD235">
        <f t="shared" ref="BD235:BD238" si="276">BD234</f>
        <v>679.89148990681315</v>
      </c>
      <c r="BE235">
        <f t="shared" si="203"/>
        <v>297.76332827880736</v>
      </c>
      <c r="BF235">
        <f t="shared" si="204"/>
        <v>167.91861320191282</v>
      </c>
      <c r="BN235">
        <v>24</v>
      </c>
      <c r="BO235">
        <f t="shared" ref="BO235:BO238" si="277">BO234</f>
        <v>679.89148990681315</v>
      </c>
      <c r="BP235">
        <f t="shared" si="205"/>
        <v>297.76332827880736</v>
      </c>
      <c r="BQ235">
        <f t="shared" si="206"/>
        <v>167.91861320191282</v>
      </c>
      <c r="BY235">
        <v>24</v>
      </c>
      <c r="BZ235">
        <f t="shared" ref="BZ235:BZ238" si="278">BZ234</f>
        <v>679.89148990681315</v>
      </c>
      <c r="CA235">
        <f t="shared" si="207"/>
        <v>297.76332827880736</v>
      </c>
      <c r="CB235">
        <f t="shared" si="208"/>
        <v>167.91861320191282</v>
      </c>
      <c r="CJ235">
        <v>24</v>
      </c>
      <c r="CK235">
        <f t="shared" ref="CK235:CK238" si="279">CK234</f>
        <v>732.9212668298901</v>
      </c>
      <c r="CL235">
        <f t="shared" si="209"/>
        <v>320.98809739109959</v>
      </c>
      <c r="CM235">
        <f t="shared" si="210"/>
        <v>181.01583052485705</v>
      </c>
      <c r="CU235">
        <v>24</v>
      </c>
      <c r="CV235">
        <f t="shared" ref="CV235:CV238" si="280">CV234</f>
        <v>732.9212668298901</v>
      </c>
      <c r="CW235">
        <f t="shared" si="211"/>
        <v>320.98809739109959</v>
      </c>
      <c r="CX235">
        <f t="shared" si="212"/>
        <v>181.01583052485705</v>
      </c>
      <c r="DF235">
        <v>24</v>
      </c>
      <c r="DG235">
        <f t="shared" ref="DG235:DG238" si="281">DG234</f>
        <v>859.6281129837364</v>
      </c>
      <c r="DH235">
        <f t="shared" si="213"/>
        <v>376.48026457744169</v>
      </c>
      <c r="DI235">
        <f t="shared" si="214"/>
        <v>212.30970345192981</v>
      </c>
      <c r="DQ235">
        <v>24</v>
      </c>
      <c r="DR235">
        <f t="shared" ref="DR235:DR238" si="282">DR234</f>
        <v>859.6281129837364</v>
      </c>
      <c r="DS235">
        <f t="shared" si="215"/>
        <v>376.48026457744169</v>
      </c>
      <c r="DT235">
        <f t="shared" si="216"/>
        <v>212.30970345192981</v>
      </c>
      <c r="EB235">
        <v>24</v>
      </c>
      <c r="EC235">
        <f t="shared" ref="EC235:EC238" si="283">EC234</f>
        <v>859.6281129837364</v>
      </c>
      <c r="ED235">
        <f t="shared" si="217"/>
        <v>376.48026457744169</v>
      </c>
      <c r="EE235">
        <f t="shared" si="218"/>
        <v>212.30970345192981</v>
      </c>
      <c r="EM235">
        <v>24</v>
      </c>
      <c r="EN235">
        <f t="shared" ref="EN235:EN238" si="284">EN234</f>
        <v>859.6281129837364</v>
      </c>
      <c r="EO235">
        <f t="shared" si="219"/>
        <v>376.48026457744169</v>
      </c>
      <c r="EP235">
        <f t="shared" si="220"/>
        <v>212.30970345192981</v>
      </c>
      <c r="EX235">
        <v>24</v>
      </c>
      <c r="EY235">
        <f t="shared" ref="EY235:EY238" si="285">EY234</f>
        <v>1359.0828822145056</v>
      </c>
      <c r="EZ235">
        <f t="shared" si="221"/>
        <v>595.22004381965746</v>
      </c>
      <c r="FA235">
        <f t="shared" si="222"/>
        <v>335.66431731510255</v>
      </c>
      <c r="FI235">
        <v>24</v>
      </c>
      <c r="FJ235">
        <f t="shared" ref="FJ235:FJ238" si="286">FJ234</f>
        <v>1359.0828822145056</v>
      </c>
      <c r="FK235">
        <f t="shared" si="223"/>
        <v>595.22004381965746</v>
      </c>
      <c r="FL235">
        <f t="shared" si="224"/>
        <v>335.66431731510255</v>
      </c>
      <c r="FN235">
        <f t="shared" si="225"/>
        <v>686.75030769230773</v>
      </c>
      <c r="FO235">
        <f t="shared" si="226"/>
        <v>300.76719645804678</v>
      </c>
    </row>
    <row r="236" spans="10:171" x14ac:dyDescent="0.25">
      <c r="J236">
        <v>25</v>
      </c>
      <c r="K236">
        <f t="shared" si="272"/>
        <v>553.08985310132357</v>
      </c>
      <c r="L236">
        <f t="shared" si="193"/>
        <v>234.03830613560547</v>
      </c>
      <c r="M236">
        <f t="shared" si="194"/>
        <v>128.86917831820901</v>
      </c>
      <c r="V236">
        <v>25</v>
      </c>
      <c r="W236">
        <f t="shared" si="273"/>
        <v>562.45463002440056</v>
      </c>
      <c r="X236">
        <f t="shared" si="195"/>
        <v>238.00098329579055</v>
      </c>
      <c r="Y236">
        <f t="shared" si="196"/>
        <v>131.05115851626041</v>
      </c>
      <c r="AG236">
        <v>25</v>
      </c>
      <c r="AH236">
        <f t="shared" si="274"/>
        <v>679.89148990681315</v>
      </c>
      <c r="AI236">
        <f t="shared" si="197"/>
        <v>287.69403698435497</v>
      </c>
      <c r="AJ236">
        <f t="shared" si="198"/>
        <v>158.41378603954038</v>
      </c>
      <c r="AL236">
        <f t="shared" si="199"/>
        <v>115.49891538461537</v>
      </c>
      <c r="AM236">
        <f t="shared" si="200"/>
        <v>48.873018308949192</v>
      </c>
      <c r="AR236">
        <v>25</v>
      </c>
      <c r="AS236">
        <f t="shared" si="275"/>
        <v>679.89148990681315</v>
      </c>
      <c r="AT236">
        <f t="shared" si="201"/>
        <v>287.69403698435497</v>
      </c>
      <c r="AU236">
        <f t="shared" si="202"/>
        <v>158.41378603954038</v>
      </c>
      <c r="BC236">
        <v>25</v>
      </c>
      <c r="BD236">
        <f t="shared" si="276"/>
        <v>679.89148990681315</v>
      </c>
      <c r="BE236">
        <f t="shared" si="203"/>
        <v>287.69403698435497</v>
      </c>
      <c r="BF236">
        <f t="shared" si="204"/>
        <v>158.41378603954038</v>
      </c>
      <c r="BN236">
        <v>25</v>
      </c>
      <c r="BO236">
        <f t="shared" si="277"/>
        <v>679.89148990681315</v>
      </c>
      <c r="BP236">
        <f t="shared" si="205"/>
        <v>287.69403698435497</v>
      </c>
      <c r="BQ236">
        <f t="shared" si="206"/>
        <v>158.41378603954038</v>
      </c>
      <c r="BY236">
        <v>25</v>
      </c>
      <c r="BZ236">
        <f t="shared" si="278"/>
        <v>679.89148990681315</v>
      </c>
      <c r="CA236">
        <f t="shared" si="207"/>
        <v>287.69403698435497</v>
      </c>
      <c r="CB236">
        <f t="shared" si="208"/>
        <v>158.41378603954038</v>
      </c>
      <c r="CJ236">
        <v>25</v>
      </c>
      <c r="CK236">
        <f t="shared" si="279"/>
        <v>732.9212668298901</v>
      </c>
      <c r="CL236">
        <f t="shared" si="209"/>
        <v>310.13342743101413</v>
      </c>
      <c r="CM236">
        <f t="shared" si="210"/>
        <v>170.76965143854437</v>
      </c>
      <c r="CU236">
        <v>25</v>
      </c>
      <c r="CV236">
        <f t="shared" si="280"/>
        <v>732.9212668298901</v>
      </c>
      <c r="CW236">
        <f t="shared" si="211"/>
        <v>310.13342743101413</v>
      </c>
      <c r="CX236">
        <f t="shared" si="212"/>
        <v>170.76965143854437</v>
      </c>
      <c r="DF236">
        <v>25</v>
      </c>
      <c r="DG236">
        <f t="shared" si="281"/>
        <v>859.6281129837364</v>
      </c>
      <c r="DH236">
        <f t="shared" si="213"/>
        <v>363.74904790090983</v>
      </c>
      <c r="DI236">
        <f t="shared" si="214"/>
        <v>200.29217306785833</v>
      </c>
      <c r="DQ236">
        <v>25</v>
      </c>
      <c r="DR236">
        <f t="shared" si="282"/>
        <v>859.6281129837364</v>
      </c>
      <c r="DS236">
        <f t="shared" si="215"/>
        <v>363.74904790090983</v>
      </c>
      <c r="DT236">
        <f t="shared" si="216"/>
        <v>200.29217306785833</v>
      </c>
      <c r="EB236">
        <v>25</v>
      </c>
      <c r="EC236">
        <f t="shared" si="283"/>
        <v>859.6281129837364</v>
      </c>
      <c r="ED236">
        <f t="shared" si="217"/>
        <v>363.74904790090983</v>
      </c>
      <c r="EE236">
        <f t="shared" si="218"/>
        <v>200.29217306785833</v>
      </c>
      <c r="EM236">
        <v>25</v>
      </c>
      <c r="EN236">
        <f t="shared" si="284"/>
        <v>859.6281129837364</v>
      </c>
      <c r="EO236">
        <f t="shared" si="219"/>
        <v>363.74904790090983</v>
      </c>
      <c r="EP236">
        <f t="shared" si="220"/>
        <v>200.29217306785833</v>
      </c>
      <c r="EX236">
        <v>25</v>
      </c>
      <c r="EY236">
        <f t="shared" si="285"/>
        <v>1359.0828822145056</v>
      </c>
      <c r="EZ236">
        <f t="shared" si="221"/>
        <v>575.09182977744695</v>
      </c>
      <c r="FA236">
        <f t="shared" si="222"/>
        <v>316.66445029726657</v>
      </c>
      <c r="FI236">
        <v>25</v>
      </c>
      <c r="FJ236">
        <f t="shared" si="286"/>
        <v>1359.0828822145056</v>
      </c>
      <c r="FK236">
        <f t="shared" si="223"/>
        <v>575.09182977744695</v>
      </c>
      <c r="FL236">
        <f t="shared" si="224"/>
        <v>316.66445029726657</v>
      </c>
      <c r="FN236">
        <f t="shared" si="225"/>
        <v>686.75030769230773</v>
      </c>
      <c r="FO236">
        <f t="shared" si="226"/>
        <v>290.59632508023844</v>
      </c>
    </row>
    <row r="237" spans="10:171" x14ac:dyDescent="0.25">
      <c r="J237">
        <v>26</v>
      </c>
      <c r="K237">
        <f t="shared" si="272"/>
        <v>553.08985310132357</v>
      </c>
      <c r="L237">
        <f t="shared" si="193"/>
        <v>226.12396728077823</v>
      </c>
      <c r="M237">
        <f t="shared" si="194"/>
        <v>121.57469652661226</v>
      </c>
      <c r="V237">
        <v>26</v>
      </c>
      <c r="W237">
        <f t="shared" si="273"/>
        <v>562.45463002440056</v>
      </c>
      <c r="X237">
        <f t="shared" si="195"/>
        <v>229.95264086549813</v>
      </c>
      <c r="Y237">
        <f t="shared" si="196"/>
        <v>123.63316841156643</v>
      </c>
      <c r="AG237">
        <v>26</v>
      </c>
      <c r="AH237">
        <f t="shared" si="274"/>
        <v>679.89148990681315</v>
      </c>
      <c r="AI237">
        <f t="shared" si="197"/>
        <v>277.96525312498068</v>
      </c>
      <c r="AJ237">
        <f t="shared" si="198"/>
        <v>149.44696796183055</v>
      </c>
      <c r="AL237">
        <f t="shared" si="199"/>
        <v>115.49891538461537</v>
      </c>
      <c r="AM237">
        <f t="shared" si="200"/>
        <v>47.220307544878445</v>
      </c>
      <c r="AR237">
        <v>26</v>
      </c>
      <c r="AS237">
        <f t="shared" si="275"/>
        <v>679.89148990681315</v>
      </c>
      <c r="AT237">
        <f t="shared" si="201"/>
        <v>277.96525312498068</v>
      </c>
      <c r="AU237">
        <f t="shared" si="202"/>
        <v>149.44696796183055</v>
      </c>
      <c r="BC237">
        <v>26</v>
      </c>
      <c r="BD237">
        <f t="shared" si="276"/>
        <v>679.89148990681315</v>
      </c>
      <c r="BE237">
        <f t="shared" si="203"/>
        <v>277.96525312498068</v>
      </c>
      <c r="BF237">
        <f t="shared" si="204"/>
        <v>149.44696796183055</v>
      </c>
      <c r="BN237">
        <v>26</v>
      </c>
      <c r="BO237">
        <f t="shared" si="277"/>
        <v>679.89148990681315</v>
      </c>
      <c r="BP237">
        <f t="shared" si="205"/>
        <v>277.96525312498068</v>
      </c>
      <c r="BQ237">
        <f t="shared" si="206"/>
        <v>149.44696796183055</v>
      </c>
      <c r="BY237">
        <v>26</v>
      </c>
      <c r="BZ237">
        <f t="shared" si="278"/>
        <v>679.89148990681315</v>
      </c>
      <c r="CA237">
        <f t="shared" si="207"/>
        <v>277.96525312498068</v>
      </c>
      <c r="CB237">
        <f t="shared" si="208"/>
        <v>149.44696796183055</v>
      </c>
      <c r="CJ237">
        <v>26</v>
      </c>
      <c r="CK237">
        <f t="shared" si="279"/>
        <v>732.9212668298901</v>
      </c>
      <c r="CL237">
        <f t="shared" si="209"/>
        <v>299.64582360484457</v>
      </c>
      <c r="CM237">
        <f t="shared" si="210"/>
        <v>161.10344475334375</v>
      </c>
      <c r="CU237">
        <v>26</v>
      </c>
      <c r="CV237">
        <f t="shared" si="280"/>
        <v>732.9212668298901</v>
      </c>
      <c r="CW237">
        <f t="shared" si="211"/>
        <v>299.64582360484457</v>
      </c>
      <c r="CX237">
        <f t="shared" si="212"/>
        <v>161.10344475334375</v>
      </c>
      <c r="DF237">
        <v>26</v>
      </c>
      <c r="DG237">
        <f t="shared" si="281"/>
        <v>859.6281129837364</v>
      </c>
      <c r="DH237">
        <f t="shared" si="213"/>
        <v>351.4483554598163</v>
      </c>
      <c r="DI237">
        <f t="shared" si="214"/>
        <v>188.95488025269651</v>
      </c>
      <c r="DQ237">
        <v>26</v>
      </c>
      <c r="DR237">
        <f t="shared" si="282"/>
        <v>859.6281129837364</v>
      </c>
      <c r="DS237">
        <f t="shared" si="215"/>
        <v>351.4483554598163</v>
      </c>
      <c r="DT237">
        <f t="shared" si="216"/>
        <v>188.95488025269651</v>
      </c>
      <c r="EB237">
        <v>26</v>
      </c>
      <c r="EC237">
        <f t="shared" si="283"/>
        <v>859.6281129837364</v>
      </c>
      <c r="ED237">
        <f t="shared" si="217"/>
        <v>351.4483554598163</v>
      </c>
      <c r="EE237">
        <f t="shared" si="218"/>
        <v>188.95488025269651</v>
      </c>
      <c r="EM237">
        <v>26</v>
      </c>
      <c r="EN237">
        <f t="shared" si="284"/>
        <v>859.6281129837364</v>
      </c>
      <c r="EO237">
        <f t="shared" si="219"/>
        <v>351.4483554598163</v>
      </c>
      <c r="EP237">
        <f t="shared" si="220"/>
        <v>188.95488025269651</v>
      </c>
      <c r="EX237">
        <v>26</v>
      </c>
      <c r="EY237">
        <f t="shared" si="285"/>
        <v>1359.0828822145056</v>
      </c>
      <c r="EZ237">
        <f t="shared" si="221"/>
        <v>555.64427997820962</v>
      </c>
      <c r="FA237">
        <f t="shared" si="222"/>
        <v>298.7400474502515</v>
      </c>
      <c r="FI237">
        <v>26</v>
      </c>
      <c r="FJ237">
        <f t="shared" si="286"/>
        <v>1359.0828822145056</v>
      </c>
      <c r="FK237">
        <f t="shared" si="223"/>
        <v>555.64427997820962</v>
      </c>
      <c r="FL237">
        <f t="shared" si="224"/>
        <v>298.7400474502515</v>
      </c>
      <c r="FN237">
        <f t="shared" si="225"/>
        <v>686.75030769230773</v>
      </c>
      <c r="FO237">
        <f t="shared" si="226"/>
        <v>280.76939621279081</v>
      </c>
    </row>
    <row r="238" spans="10:171" x14ac:dyDescent="0.25">
      <c r="J238">
        <v>27</v>
      </c>
      <c r="K238">
        <f t="shared" si="272"/>
        <v>553.08985310132357</v>
      </c>
      <c r="L238">
        <f t="shared" si="193"/>
        <v>218.47726307321568</v>
      </c>
      <c r="M238">
        <f t="shared" si="194"/>
        <v>114.69310993076625</v>
      </c>
      <c r="V238">
        <v>27</v>
      </c>
      <c r="W238">
        <f t="shared" si="273"/>
        <v>562.45463002440056</v>
      </c>
      <c r="X238">
        <f t="shared" si="195"/>
        <v>222.17646460434602</v>
      </c>
      <c r="Y238">
        <f t="shared" si="196"/>
        <v>116.63506453921359</v>
      </c>
      <c r="AG238">
        <v>27</v>
      </c>
      <c r="AH238">
        <f t="shared" si="274"/>
        <v>679.89148990681315</v>
      </c>
      <c r="AI238">
        <f t="shared" si="197"/>
        <v>268.56546195650304</v>
      </c>
      <c r="AJ238">
        <f t="shared" si="198"/>
        <v>140.9877056243684</v>
      </c>
      <c r="AL238">
        <f t="shared" si="199"/>
        <v>115.49891538461537</v>
      </c>
      <c r="AM238">
        <f t="shared" si="200"/>
        <v>45.623485550607192</v>
      </c>
      <c r="AR238">
        <v>27</v>
      </c>
      <c r="AS238">
        <f t="shared" si="275"/>
        <v>679.89148990681315</v>
      </c>
      <c r="AT238">
        <f t="shared" si="201"/>
        <v>268.56546195650304</v>
      </c>
      <c r="AU238">
        <f t="shared" si="202"/>
        <v>140.9877056243684</v>
      </c>
      <c r="BC238">
        <v>27</v>
      </c>
      <c r="BD238">
        <f t="shared" si="276"/>
        <v>679.89148990681315</v>
      </c>
      <c r="BE238">
        <f t="shared" si="203"/>
        <v>268.56546195650304</v>
      </c>
      <c r="BF238">
        <f t="shared" si="204"/>
        <v>140.9877056243684</v>
      </c>
      <c r="BN238">
        <v>27</v>
      </c>
      <c r="BO238">
        <f t="shared" si="277"/>
        <v>679.89148990681315</v>
      </c>
      <c r="BP238">
        <f t="shared" si="205"/>
        <v>268.56546195650304</v>
      </c>
      <c r="BQ238">
        <f t="shared" si="206"/>
        <v>140.9877056243684</v>
      </c>
      <c r="BY238">
        <v>27</v>
      </c>
      <c r="BZ238">
        <f t="shared" si="278"/>
        <v>679.89148990681315</v>
      </c>
      <c r="CA238">
        <f t="shared" si="207"/>
        <v>268.56546195650304</v>
      </c>
      <c r="CB238">
        <f t="shared" si="208"/>
        <v>140.9877056243684</v>
      </c>
      <c r="CJ238">
        <v>27</v>
      </c>
      <c r="CK238">
        <f t="shared" si="279"/>
        <v>732.9212668298901</v>
      </c>
      <c r="CL238">
        <f t="shared" si="209"/>
        <v>289.51287304815901</v>
      </c>
      <c r="CM238">
        <f t="shared" si="210"/>
        <v>151.98438184277708</v>
      </c>
      <c r="CU238">
        <v>27</v>
      </c>
      <c r="CV238">
        <f t="shared" si="280"/>
        <v>732.9212668298901</v>
      </c>
      <c r="CW238">
        <f t="shared" si="211"/>
        <v>289.51287304815901</v>
      </c>
      <c r="CX238">
        <f t="shared" si="212"/>
        <v>151.98438184277708</v>
      </c>
      <c r="DF238">
        <v>27</v>
      </c>
      <c r="DG238">
        <f t="shared" si="281"/>
        <v>859.6281129837364</v>
      </c>
      <c r="DH238">
        <f t="shared" si="213"/>
        <v>339.56362846359059</v>
      </c>
      <c r="DI238">
        <f t="shared" si="214"/>
        <v>178.2593209931099</v>
      </c>
      <c r="DQ238">
        <v>27</v>
      </c>
      <c r="DR238">
        <f t="shared" si="282"/>
        <v>859.6281129837364</v>
      </c>
      <c r="DS238">
        <f t="shared" si="215"/>
        <v>339.56362846359059</v>
      </c>
      <c r="DT238">
        <f t="shared" si="216"/>
        <v>178.2593209931099</v>
      </c>
      <c r="EB238">
        <v>27</v>
      </c>
      <c r="EC238">
        <f t="shared" si="283"/>
        <v>859.6281129837364</v>
      </c>
      <c r="ED238">
        <f t="shared" si="217"/>
        <v>339.56362846359059</v>
      </c>
      <c r="EE238">
        <f t="shared" si="218"/>
        <v>178.2593209931099</v>
      </c>
      <c r="EM238">
        <v>27</v>
      </c>
      <c r="EN238">
        <f t="shared" si="284"/>
        <v>859.6281129837364</v>
      </c>
      <c r="EO238">
        <f t="shared" si="219"/>
        <v>339.56362846359059</v>
      </c>
      <c r="EP238">
        <f t="shared" si="220"/>
        <v>178.2593209931099</v>
      </c>
      <c r="EX238">
        <v>27</v>
      </c>
      <c r="EY238">
        <f t="shared" si="285"/>
        <v>1359.0828822145056</v>
      </c>
      <c r="EZ238">
        <f t="shared" si="221"/>
        <v>536.85437679054064</v>
      </c>
      <c r="FA238">
        <f t="shared" si="222"/>
        <v>281.8302334436334</v>
      </c>
      <c r="FI238">
        <v>27</v>
      </c>
      <c r="FJ238">
        <f t="shared" si="286"/>
        <v>1359.0828822145056</v>
      </c>
      <c r="FK238">
        <f t="shared" si="223"/>
        <v>536.85437679054064</v>
      </c>
      <c r="FL238">
        <f t="shared" si="224"/>
        <v>281.8302334436334</v>
      </c>
      <c r="FN238">
        <f t="shared" si="225"/>
        <v>686.75030769230773</v>
      </c>
      <c r="FO238">
        <f t="shared" si="226"/>
        <v>271.27477894955632</v>
      </c>
    </row>
    <row r="239" spans="10:171" x14ac:dyDescent="0.25">
      <c r="J239">
        <v>28</v>
      </c>
      <c r="K239">
        <f>K232</f>
        <v>1481.7957202704411</v>
      </c>
      <c r="L239">
        <f t="shared" si="193"/>
        <v>565.53376822358143</v>
      </c>
      <c r="M239">
        <f t="shared" si="194"/>
        <v>289.88390878841739</v>
      </c>
      <c r="V239">
        <v>28</v>
      </c>
      <c r="W239">
        <f>W232</f>
        <v>1947.4773664757427</v>
      </c>
      <c r="X239">
        <f t="shared" si="195"/>
        <v>743.26318974126502</v>
      </c>
      <c r="Y239">
        <f t="shared" si="196"/>
        <v>380.98527587050086</v>
      </c>
      <c r="AG239">
        <v>28</v>
      </c>
      <c r="AH239">
        <f>AH232</f>
        <v>2959.9530340367855</v>
      </c>
      <c r="AI239">
        <f t="shared" si="197"/>
        <v>1129.6789228127441</v>
      </c>
      <c r="AJ239">
        <f t="shared" si="198"/>
        <v>579.05603559181452</v>
      </c>
      <c r="AL239">
        <f t="shared" si="199"/>
        <v>115.49891538461537</v>
      </c>
      <c r="AM239">
        <f t="shared" si="200"/>
        <v>44.080662367736416</v>
      </c>
      <c r="AR239">
        <v>28</v>
      </c>
      <c r="AS239">
        <f>AS232</f>
        <v>3755.7909530152629</v>
      </c>
      <c r="AT239">
        <f t="shared" si="201"/>
        <v>1433.413918843755</v>
      </c>
      <c r="AU239">
        <f t="shared" si="202"/>
        <v>734.74592155896778</v>
      </c>
      <c r="BC239">
        <v>28</v>
      </c>
      <c r="BD239">
        <f>BD232</f>
        <v>5239.8512211513389</v>
      </c>
      <c r="BE239">
        <f t="shared" si="203"/>
        <v>1999.8119615892938</v>
      </c>
      <c r="BF239">
        <f t="shared" si="204"/>
        <v>1025.0728441703761</v>
      </c>
      <c r="BN239">
        <v>28</v>
      </c>
      <c r="BO239">
        <f>BO232</f>
        <v>8492.3630842352068</v>
      </c>
      <c r="BP239">
        <f t="shared" si="205"/>
        <v>3241.147231329453</v>
      </c>
      <c r="BQ239">
        <f t="shared" si="206"/>
        <v>1661.362205351262</v>
      </c>
      <c r="BY239">
        <v>28</v>
      </c>
      <c r="BZ239">
        <f>BZ232</f>
        <v>10488.413852897145</v>
      </c>
      <c r="CA239">
        <f t="shared" si="207"/>
        <v>4002.9486708429504</v>
      </c>
      <c r="CB239">
        <f t="shared" si="208"/>
        <v>2051.8499028418742</v>
      </c>
      <c r="CJ239">
        <v>28</v>
      </c>
      <c r="CK239">
        <f>CK232</f>
        <v>13707.425053219611</v>
      </c>
      <c r="CL239">
        <f t="shared" si="209"/>
        <v>5231.4982672340293</v>
      </c>
      <c r="CM239">
        <f t="shared" si="210"/>
        <v>2681.5855245730972</v>
      </c>
      <c r="CU239">
        <v>28</v>
      </c>
      <c r="CV239">
        <f>CV232</f>
        <v>18438.031885715947</v>
      </c>
      <c r="CW239">
        <f t="shared" si="211"/>
        <v>7036.9548975700945</v>
      </c>
      <c r="CX239">
        <f t="shared" si="212"/>
        <v>3607.0348161225106</v>
      </c>
      <c r="DF239">
        <v>28</v>
      </c>
      <c r="DG239">
        <f>DG232</f>
        <v>26514.061781763179</v>
      </c>
      <c r="DH239">
        <f t="shared" si="213"/>
        <v>10119.206760576099</v>
      </c>
      <c r="DI239">
        <f t="shared" si="214"/>
        <v>5186.9497002949483</v>
      </c>
      <c r="DQ239">
        <v>28</v>
      </c>
      <c r="DR239">
        <f>DR232</f>
        <v>36112.578166755855</v>
      </c>
      <c r="DS239">
        <f t="shared" si="215"/>
        <v>13782.522200284606</v>
      </c>
      <c r="DT239">
        <f t="shared" si="216"/>
        <v>7064.7088341541848</v>
      </c>
      <c r="EB239">
        <v>28</v>
      </c>
      <c r="EC239">
        <f>EC232</f>
        <v>43984.489752649235</v>
      </c>
      <c r="ED239">
        <f t="shared" si="217"/>
        <v>16786.871424265799</v>
      </c>
      <c r="EE239">
        <f t="shared" si="218"/>
        <v>8604.6920241036933</v>
      </c>
      <c r="EM239">
        <v>28</v>
      </c>
      <c r="EN239">
        <f>EN232</f>
        <v>51610.129154542621</v>
      </c>
      <c r="EO239">
        <f t="shared" si="219"/>
        <v>19697.229800304234</v>
      </c>
      <c r="EP239">
        <f t="shared" si="220"/>
        <v>10096.496951457902</v>
      </c>
      <c r="EX239">
        <v>28</v>
      </c>
      <c r="EY239">
        <f>EY232</f>
        <v>62241.015828096031</v>
      </c>
      <c r="EZ239">
        <f t="shared" si="221"/>
        <v>23754.553841539317</v>
      </c>
      <c r="FA239">
        <f t="shared" si="222"/>
        <v>12176.218832591367</v>
      </c>
      <c r="FI239">
        <v>28</v>
      </c>
      <c r="FJ239">
        <f>FJ232</f>
        <v>69924.607658994471</v>
      </c>
      <c r="FK239">
        <f t="shared" si="223"/>
        <v>26687.030013644104</v>
      </c>
      <c r="FL239">
        <f t="shared" si="224"/>
        <v>13679.361001924317</v>
      </c>
      <c r="FN239">
        <f t="shared" si="225"/>
        <v>686.75030769230773</v>
      </c>
      <c r="FO239">
        <f t="shared" si="226"/>
        <v>262.10123570005442</v>
      </c>
    </row>
    <row r="240" spans="10:171" x14ac:dyDescent="0.25">
      <c r="J240">
        <v>29</v>
      </c>
      <c r="K240">
        <f>K212</f>
        <v>553.08985310132357</v>
      </c>
      <c r="L240">
        <f t="shared" si="193"/>
        <v>203.95086286561249</v>
      </c>
      <c r="M240">
        <f t="shared" si="194"/>
        <v>102.07645953254382</v>
      </c>
      <c r="V240">
        <v>29</v>
      </c>
      <c r="W240">
        <f>W212</f>
        <v>562.45463002440056</v>
      </c>
      <c r="X240">
        <f t="shared" si="195"/>
        <v>207.40410707773444</v>
      </c>
      <c r="Y240">
        <f t="shared" si="196"/>
        <v>103.8047922207312</v>
      </c>
      <c r="AG240">
        <v>29</v>
      </c>
      <c r="AH240">
        <f>AH212</f>
        <v>679.89148990681315</v>
      </c>
      <c r="AI240">
        <f t="shared" si="197"/>
        <v>250.70873248524177</v>
      </c>
      <c r="AJ240">
        <f t="shared" si="198"/>
        <v>125.4785560914635</v>
      </c>
      <c r="AL240">
        <f t="shared" si="199"/>
        <v>115.49891538461537</v>
      </c>
      <c r="AM240">
        <f t="shared" si="200"/>
        <v>42.590011949503797</v>
      </c>
      <c r="AR240">
        <v>29</v>
      </c>
      <c r="AS240">
        <f>AS212</f>
        <v>679.89148990681315</v>
      </c>
      <c r="AT240">
        <f t="shared" si="201"/>
        <v>250.70873248524177</v>
      </c>
      <c r="AU240">
        <f t="shared" si="202"/>
        <v>125.4785560914635</v>
      </c>
      <c r="BC240">
        <v>29</v>
      </c>
      <c r="BD240">
        <f>BD212</f>
        <v>679.89148990681315</v>
      </c>
      <c r="BE240">
        <f t="shared" si="203"/>
        <v>250.70873248524177</v>
      </c>
      <c r="BF240">
        <f t="shared" si="204"/>
        <v>125.4785560914635</v>
      </c>
      <c r="BN240">
        <v>29</v>
      </c>
      <c r="BO240">
        <f>BO212</f>
        <v>679.89148990681315</v>
      </c>
      <c r="BP240">
        <f t="shared" si="205"/>
        <v>250.70873248524177</v>
      </c>
      <c r="BQ240">
        <f t="shared" si="206"/>
        <v>125.4785560914635</v>
      </c>
      <c r="BY240">
        <v>29</v>
      </c>
      <c r="BZ240">
        <f>BZ212</f>
        <v>679.89148990681315</v>
      </c>
      <c r="CA240">
        <f t="shared" si="207"/>
        <v>250.70873248524177</v>
      </c>
      <c r="CB240">
        <f t="shared" si="208"/>
        <v>125.4785560914635</v>
      </c>
      <c r="CJ240">
        <v>29</v>
      </c>
      <c r="CK240">
        <f>CK212</f>
        <v>732.9212668298901</v>
      </c>
      <c r="CL240">
        <f t="shared" si="209"/>
        <v>270.26336488427648</v>
      </c>
      <c r="CM240">
        <f t="shared" si="210"/>
        <v>135.26555877783647</v>
      </c>
      <c r="CU240">
        <v>29</v>
      </c>
      <c r="CV240">
        <f>CV212</f>
        <v>732.9212668298901</v>
      </c>
      <c r="CW240">
        <f t="shared" si="211"/>
        <v>270.26336488427648</v>
      </c>
      <c r="CX240">
        <f t="shared" si="212"/>
        <v>135.26555877783647</v>
      </c>
      <c r="DF240">
        <v>29</v>
      </c>
      <c r="DG240">
        <f>DG212</f>
        <v>859.6281129837364</v>
      </c>
      <c r="DH240">
        <f t="shared" si="213"/>
        <v>316.98628062600358</v>
      </c>
      <c r="DI240">
        <f t="shared" si="214"/>
        <v>158.65016108322345</v>
      </c>
      <c r="DQ240">
        <v>29</v>
      </c>
      <c r="DR240">
        <f>DR212</f>
        <v>859.6281129837364</v>
      </c>
      <c r="DS240">
        <f t="shared" si="215"/>
        <v>316.98628062600358</v>
      </c>
      <c r="DT240">
        <f t="shared" si="216"/>
        <v>158.65016108322345</v>
      </c>
      <c r="EB240">
        <v>29</v>
      </c>
      <c r="EC240">
        <f>EC212</f>
        <v>859.6281129837364</v>
      </c>
      <c r="ED240">
        <f t="shared" si="217"/>
        <v>316.98628062600358</v>
      </c>
      <c r="EE240">
        <f t="shared" si="218"/>
        <v>158.65016108322345</v>
      </c>
      <c r="EM240">
        <v>29</v>
      </c>
      <c r="EN240">
        <f>EN212</f>
        <v>859.6281129837364</v>
      </c>
      <c r="EO240">
        <f t="shared" si="219"/>
        <v>316.98628062600358</v>
      </c>
      <c r="EP240">
        <f t="shared" si="220"/>
        <v>158.65016108322345</v>
      </c>
      <c r="EX240">
        <v>29</v>
      </c>
      <c r="EY240">
        <f>EY212</f>
        <v>1359.0828822145056</v>
      </c>
      <c r="EZ240">
        <f t="shared" si="221"/>
        <v>501.15930527250651</v>
      </c>
      <c r="FA240">
        <f t="shared" si="222"/>
        <v>250.82790445321589</v>
      </c>
      <c r="FI240">
        <v>29</v>
      </c>
      <c r="FJ240">
        <f>FJ212</f>
        <v>1359.0828822145056</v>
      </c>
      <c r="FK240">
        <f t="shared" si="223"/>
        <v>501.15930527250651</v>
      </c>
      <c r="FL240">
        <f t="shared" si="224"/>
        <v>250.82790445321589</v>
      </c>
      <c r="FN240">
        <f t="shared" si="225"/>
        <v>686.75030769230773</v>
      </c>
      <c r="FO240">
        <f t="shared" si="226"/>
        <v>253.23790888894152</v>
      </c>
    </row>
    <row r="241" spans="1:174" x14ac:dyDescent="0.25">
      <c r="J241">
        <v>30</v>
      </c>
      <c r="K241">
        <f>K213</f>
        <v>553.08985310132357</v>
      </c>
      <c r="L241">
        <f t="shared" si="193"/>
        <v>197.05397378320046</v>
      </c>
      <c r="M241">
        <f t="shared" si="194"/>
        <v>96.298546728814927</v>
      </c>
      <c r="V241">
        <v>30</v>
      </c>
      <c r="W241">
        <f>W213</f>
        <v>562.45463002440056</v>
      </c>
      <c r="X241">
        <f t="shared" si="195"/>
        <v>200.39044162099944</v>
      </c>
      <c r="Y241">
        <f t="shared" si="196"/>
        <v>97.929049264840756</v>
      </c>
      <c r="AG241">
        <v>30</v>
      </c>
      <c r="AH241">
        <f>AH213</f>
        <v>679.89148990681315</v>
      </c>
      <c r="AI241">
        <f t="shared" si="197"/>
        <v>242.23065940603067</v>
      </c>
      <c r="AJ241">
        <f t="shared" si="198"/>
        <v>118.37599631270142</v>
      </c>
      <c r="AL241">
        <f t="shared" si="199"/>
        <v>115.49891538461537</v>
      </c>
      <c r="AM241">
        <f t="shared" si="200"/>
        <v>41.149769999520572</v>
      </c>
      <c r="AR241">
        <v>30</v>
      </c>
      <c r="AS241">
        <f>AS213</f>
        <v>679.89148990681315</v>
      </c>
      <c r="AT241">
        <f t="shared" si="201"/>
        <v>242.23065940603067</v>
      </c>
      <c r="AU241">
        <f t="shared" si="202"/>
        <v>118.37599631270142</v>
      </c>
      <c r="BC241">
        <v>30</v>
      </c>
      <c r="BD241">
        <f>BD213</f>
        <v>679.89148990681315</v>
      </c>
      <c r="BE241">
        <f t="shared" si="203"/>
        <v>242.23065940603067</v>
      </c>
      <c r="BF241">
        <f t="shared" si="204"/>
        <v>118.37599631270142</v>
      </c>
      <c r="BN241">
        <v>30</v>
      </c>
      <c r="BO241">
        <f>BO213</f>
        <v>679.89148990681315</v>
      </c>
      <c r="BP241">
        <f t="shared" si="205"/>
        <v>242.23065940603067</v>
      </c>
      <c r="BQ241">
        <f t="shared" si="206"/>
        <v>118.37599631270142</v>
      </c>
      <c r="BY241">
        <v>30</v>
      </c>
      <c r="BZ241">
        <f>BZ213</f>
        <v>679.89148990681315</v>
      </c>
      <c r="CA241">
        <f t="shared" si="207"/>
        <v>242.23065940603067</v>
      </c>
      <c r="CB241">
        <f t="shared" si="208"/>
        <v>118.37599631270142</v>
      </c>
      <c r="CJ241">
        <v>30</v>
      </c>
      <c r="CK241">
        <f>CK213</f>
        <v>732.9212668298901</v>
      </c>
      <c r="CL241">
        <f t="shared" si="209"/>
        <v>261.12402404277918</v>
      </c>
      <c r="CM241">
        <f t="shared" si="210"/>
        <v>127.60901771494008</v>
      </c>
      <c r="CU241">
        <v>30</v>
      </c>
      <c r="CV241">
        <f>CV213</f>
        <v>732.9212668298901</v>
      </c>
      <c r="CW241">
        <f t="shared" si="211"/>
        <v>261.12402404277918</v>
      </c>
      <c r="CX241">
        <f t="shared" si="212"/>
        <v>127.60901771494008</v>
      </c>
      <c r="DF241">
        <v>30</v>
      </c>
      <c r="DG241">
        <f>DG213</f>
        <v>859.6281129837364</v>
      </c>
      <c r="DH241">
        <f t="shared" si="213"/>
        <v>306.26693780290202</v>
      </c>
      <c r="DI241">
        <f t="shared" si="214"/>
        <v>149.66996328605987</v>
      </c>
      <c r="DQ241">
        <v>30</v>
      </c>
      <c r="DR241">
        <f>DR213</f>
        <v>859.6281129837364</v>
      </c>
      <c r="DS241">
        <f t="shared" si="215"/>
        <v>306.26693780290202</v>
      </c>
      <c r="DT241">
        <f t="shared" si="216"/>
        <v>149.66996328605987</v>
      </c>
      <c r="EB241">
        <v>30</v>
      </c>
      <c r="EC241">
        <f>EC213</f>
        <v>859.6281129837364</v>
      </c>
      <c r="ED241">
        <f t="shared" si="217"/>
        <v>306.26693780290202</v>
      </c>
      <c r="EE241">
        <f t="shared" si="218"/>
        <v>149.66996328605987</v>
      </c>
      <c r="EM241">
        <v>30</v>
      </c>
      <c r="EN241">
        <f>EN213</f>
        <v>859.6281129837364</v>
      </c>
      <c r="EO241">
        <f t="shared" si="219"/>
        <v>306.26693780290202</v>
      </c>
      <c r="EP241">
        <f t="shared" si="220"/>
        <v>149.66996328605987</v>
      </c>
      <c r="EX241">
        <v>30</v>
      </c>
      <c r="EY241">
        <f>EY213</f>
        <v>1359.0828822145056</v>
      </c>
      <c r="EZ241">
        <f t="shared" si="221"/>
        <v>484.21188915218016</v>
      </c>
      <c r="FA241">
        <f t="shared" si="222"/>
        <v>236.63009854076972</v>
      </c>
      <c r="FI241">
        <v>30</v>
      </c>
      <c r="FJ241">
        <f>FJ213</f>
        <v>1359.0828822145056</v>
      </c>
      <c r="FK241">
        <f t="shared" si="223"/>
        <v>484.21188915218016</v>
      </c>
      <c r="FL241">
        <f t="shared" si="224"/>
        <v>236.63009854076972</v>
      </c>
      <c r="FN241">
        <f t="shared" si="225"/>
        <v>686.75030769230773</v>
      </c>
      <c r="FO241">
        <f t="shared" si="226"/>
        <v>244.6743081052575</v>
      </c>
      <c r="FP241">
        <f>(FN243-226152)/226152</f>
        <v>4.5165770223563481E-2</v>
      </c>
      <c r="FQ241">
        <f>FP241*100</f>
        <v>4.5165770223563477</v>
      </c>
    </row>
    <row r="242" spans="1:174" x14ac:dyDescent="0.25">
      <c r="J242" t="s">
        <v>1615</v>
      </c>
      <c r="V242" t="s">
        <v>1615</v>
      </c>
      <c r="AG242" t="s">
        <v>1615</v>
      </c>
      <c r="AR242" t="s">
        <v>1615</v>
      </c>
      <c r="BC242" t="s">
        <v>1615</v>
      </c>
      <c r="BN242" t="s">
        <v>1615</v>
      </c>
      <c r="BY242" t="s">
        <v>1615</v>
      </c>
      <c r="CJ242" t="s">
        <v>1615</v>
      </c>
      <c r="CU242" t="s">
        <v>1615</v>
      </c>
      <c r="DF242" t="s">
        <v>1615</v>
      </c>
      <c r="DQ242" t="s">
        <v>1615</v>
      </c>
      <c r="EB242" t="s">
        <v>1615</v>
      </c>
      <c r="EM242" t="s">
        <v>1615</v>
      </c>
      <c r="EX242" t="s">
        <v>1615</v>
      </c>
      <c r="FI242" t="s">
        <v>1615</v>
      </c>
    </row>
    <row r="243" spans="1:174" x14ac:dyDescent="0.25">
      <c r="K243">
        <f>SUM(K212:K241)</f>
        <v>20307.519061716168</v>
      </c>
      <c r="L243">
        <f t="shared" ref="L243:M243" si="287">SUM(L212:L241)</f>
        <v>12281.542856337534</v>
      </c>
      <c r="M243">
        <f t="shared" si="287"/>
        <v>9096.4650936913913</v>
      </c>
      <c r="W243">
        <f>SUM(W212:W241)</f>
        <v>22413.729846537375</v>
      </c>
      <c r="X243">
        <f t="shared" ref="X243:Y243" si="288">SUM(X212:X241)</f>
        <v>13490.074953629259</v>
      </c>
      <c r="Y243">
        <f t="shared" si="288"/>
        <v>9954.1732450226591</v>
      </c>
      <c r="AH243">
        <f>SUM(AH212:AH241)</f>
        <v>29516.990873724266</v>
      </c>
      <c r="AI243">
        <f t="shared" ref="AI243:AJ243" si="289">SUM(AI212:AI241)</f>
        <v>17682.610350515246</v>
      </c>
      <c r="AJ243">
        <f t="shared" si="289"/>
        <v>13000.177317016916</v>
      </c>
      <c r="AM243">
        <f>SUM(AM212:AM241)</f>
        <v>2124.2612967169994</v>
      </c>
      <c r="AS243">
        <f>SUM(AS212:AS241)</f>
        <v>32700.342549638168</v>
      </c>
      <c r="AT243">
        <f t="shared" ref="AT243:AU243" si="290">SUM(AT212:AT241)</f>
        <v>19489.956668216088</v>
      </c>
      <c r="AU243">
        <f t="shared" si="290"/>
        <v>14271.24477490432</v>
      </c>
      <c r="BD243">
        <f>SUM(BD212:BD241)</f>
        <v>38636.583622182472</v>
      </c>
      <c r="BE243">
        <f t="shared" ref="BE243:BF243" si="291">SUM(BE212:BE241)</f>
        <v>22860.254560410896</v>
      </c>
      <c r="BF243">
        <f t="shared" si="291"/>
        <v>16641.502169516396</v>
      </c>
      <c r="BO243">
        <f>SUM(BO212:BO241)</f>
        <v>51646.631074517943</v>
      </c>
      <c r="BP243">
        <f t="shared" ref="BP243:BQ243" si="292">SUM(BP212:BP241)</f>
        <v>30246.702477555093</v>
      </c>
      <c r="BQ243">
        <f t="shared" si="292"/>
        <v>21836.230753026437</v>
      </c>
      <c r="BZ243">
        <f>SUM(BZ212:BZ241)</f>
        <v>59630.83414916569</v>
      </c>
      <c r="CA243">
        <f t="shared" ref="CA243:CB243" si="293">SUM(CA212:CA241)</f>
        <v>34779.729769488709</v>
      </c>
      <c r="CB243">
        <f t="shared" si="293"/>
        <v>25024.210511007717</v>
      </c>
      <c r="CK243">
        <f>SUM(CK212:CK241)</f>
        <v>73885.653150455619</v>
      </c>
      <c r="CL243">
        <f t="shared" ref="CL243:CM243" si="294">SUM(CL212:CL241)</f>
        <v>42944.993296996705</v>
      </c>
      <c r="CM243">
        <f t="shared" si="294"/>
        <v>30810.683479856994</v>
      </c>
      <c r="CV243">
        <f>SUM(CV212:CV241)</f>
        <v>92808.080480440913</v>
      </c>
      <c r="CW243">
        <f t="shared" ref="CW243:CX243" si="295">SUM(CW212:CW241)</f>
        <v>53688.191924899649</v>
      </c>
      <c r="CX243">
        <f t="shared" si="295"/>
        <v>38366.142019158542</v>
      </c>
      <c r="DG243">
        <f>SUM(DG212:DG241)</f>
        <v>128406.57806462981</v>
      </c>
      <c r="DH243">
        <f t="shared" ref="DH243:DI243" si="296">SUM(DH212:DH241)</f>
        <v>74071.486694771724</v>
      </c>
      <c r="DI243">
        <f t="shared" si="296"/>
        <v>52806.45098499411</v>
      </c>
      <c r="DR243">
        <f>SUM(DR212:DR241)</f>
        <v>166800.64360460048</v>
      </c>
      <c r="DS243">
        <f t="shared" ref="DS243:DT243" si="297">SUM(DS212:DS241)</f>
        <v>95869.698152294499</v>
      </c>
      <c r="DT243">
        <f t="shared" si="297"/>
        <v>68136.660227377768</v>
      </c>
      <c r="EC243">
        <f>SUM(EC212:EC241)</f>
        <v>198288.28994817412</v>
      </c>
      <c r="ED243">
        <f t="shared" ref="ED243:EE243" si="298">SUM(ED212:ED241)</f>
        <v>113746.79357430316</v>
      </c>
      <c r="EE243">
        <f t="shared" si="298"/>
        <v>80709.233624030036</v>
      </c>
      <c r="EN243">
        <f>SUM(EN212:EN241)</f>
        <v>228790.84755574766</v>
      </c>
      <c r="EO243">
        <f t="shared" ref="EO243:EP243" si="299">SUM(EO212:EO241)</f>
        <v>131064.60536042288</v>
      </c>
      <c r="EP243">
        <f t="shared" si="299"/>
        <v>92888.474972283511</v>
      </c>
      <c r="EY243">
        <f>SUM(EY212:EY241)</f>
        <v>284300.21824996138</v>
      </c>
      <c r="EZ243">
        <f t="shared" ref="EZ243:FA243" si="300">SUM(EZ212:EZ241)</f>
        <v>163259.061690031</v>
      </c>
      <c r="FA243">
        <f t="shared" si="300"/>
        <v>115944.73740466521</v>
      </c>
      <c r="FJ243">
        <f>SUM(FJ212:FJ241)</f>
        <v>315034.58557355514</v>
      </c>
      <c r="FK243">
        <f t="shared" ref="FK243:FL243" si="301">SUM(FK212:FK241)</f>
        <v>180708.48332617973</v>
      </c>
      <c r="FL243">
        <f t="shared" si="301"/>
        <v>128216.53710538875</v>
      </c>
      <c r="FN243">
        <f>FK243+'ABR-Exca'!FN103</f>
        <v>236366.32926759933</v>
      </c>
      <c r="FO243">
        <f>SUM(FO212:FO241)</f>
        <v>12630.742845344321</v>
      </c>
    </row>
    <row r="244" spans="1:174" ht="15.75" thickBot="1" x14ac:dyDescent="0.3"/>
    <row r="245" spans="1:174" s="88" customFormat="1" ht="15.75" thickBot="1" x14ac:dyDescent="0.3">
      <c r="A245" s="86" t="s">
        <v>1628</v>
      </c>
      <c r="H245" s="90"/>
      <c r="T245" s="90"/>
      <c r="AE245" s="90"/>
      <c r="AP245" s="90"/>
      <c r="BA245" s="90"/>
      <c r="BL245" s="90"/>
      <c r="BW245" s="90"/>
      <c r="CH245" s="90"/>
      <c r="CS245" s="90"/>
      <c r="DD245" s="90"/>
      <c r="DO245" s="90"/>
      <c r="DZ245" s="90"/>
      <c r="EK245" s="90"/>
      <c r="EV245" s="90"/>
      <c r="FG245" s="90"/>
      <c r="FR245" s="90"/>
    </row>
    <row r="247" spans="1:174" x14ac:dyDescent="0.25">
      <c r="J247" t="s">
        <v>1626</v>
      </c>
      <c r="V247" t="s">
        <v>1626</v>
      </c>
      <c r="AG247" t="s">
        <v>1626</v>
      </c>
      <c r="AR247" t="s">
        <v>1626</v>
      </c>
      <c r="BC247" t="s">
        <v>1626</v>
      </c>
      <c r="BN247" t="s">
        <v>1626</v>
      </c>
      <c r="BY247" t="s">
        <v>1626</v>
      </c>
      <c r="CJ247" t="s">
        <v>1626</v>
      </c>
      <c r="CU247" t="s">
        <v>1626</v>
      </c>
      <c r="DF247" t="s">
        <v>1626</v>
      </c>
      <c r="DQ247" t="s">
        <v>1626</v>
      </c>
      <c r="EB247" t="s">
        <v>1626</v>
      </c>
      <c r="EM247" t="s">
        <v>1626</v>
      </c>
      <c r="EX247" t="s">
        <v>1626</v>
      </c>
      <c r="FI247" t="s">
        <v>1626</v>
      </c>
    </row>
    <row r="248" spans="1:174" x14ac:dyDescent="0.25">
      <c r="J248" t="s">
        <v>1614</v>
      </c>
      <c r="V248" t="s">
        <v>1614</v>
      </c>
      <c r="AG248" t="s">
        <v>1614</v>
      </c>
      <c r="AR248" t="s">
        <v>1614</v>
      </c>
      <c r="BC248" t="s">
        <v>1614</v>
      </c>
      <c r="BN248" t="s">
        <v>1614</v>
      </c>
      <c r="BY248" t="s">
        <v>1614</v>
      </c>
      <c r="CJ248" t="s">
        <v>1614</v>
      </c>
      <c r="CU248" t="s">
        <v>1614</v>
      </c>
      <c r="DF248" t="s">
        <v>1614</v>
      </c>
      <c r="DQ248" t="s">
        <v>1614</v>
      </c>
      <c r="EB248" t="s">
        <v>1614</v>
      </c>
      <c r="EM248" t="s">
        <v>1614</v>
      </c>
      <c r="EX248" t="s">
        <v>1614</v>
      </c>
      <c r="FI248" t="s">
        <v>1614</v>
      </c>
    </row>
    <row r="249" spans="1:174" x14ac:dyDescent="0.25">
      <c r="J249">
        <v>0</v>
      </c>
      <c r="K249" s="121">
        <f>N$40+K243</f>
        <v>21805.431750698615</v>
      </c>
      <c r="V249">
        <v>0</v>
      </c>
      <c r="W249" s="121">
        <f>Z$40+W243</f>
        <v>24647.637485975025</v>
      </c>
      <c r="AG249">
        <v>0</v>
      </c>
      <c r="AH249" s="121">
        <f>AK$40+AH243</f>
        <v>33194.509493288737</v>
      </c>
      <c r="AR249">
        <v>0</v>
      </c>
      <c r="AS249" s="121">
        <f>AV$40+AS243</f>
        <v>37661.470715942116</v>
      </c>
      <c r="BC249">
        <v>0</v>
      </c>
      <c r="BD249" s="121">
        <f>BG$40+BD243</f>
        <v>45991.357382254289</v>
      </c>
      <c r="BN249">
        <v>0</v>
      </c>
      <c r="BO249" s="121">
        <f>BR$40+BO243</f>
        <v>64247.391710531483</v>
      </c>
      <c r="BY249">
        <v>0</v>
      </c>
      <c r="BZ249" s="121">
        <f>CC$40+BZ243</f>
        <v>75451.031508827524</v>
      </c>
      <c r="CJ249">
        <v>0</v>
      </c>
      <c r="CK249" s="121">
        <f>CN$40+CK243</f>
        <v>94812.272160761626</v>
      </c>
      <c r="CU249">
        <v>0</v>
      </c>
      <c r="CV249" s="121">
        <f>CY$40+CV243</f>
        <v>121364.7105109023</v>
      </c>
      <c r="DF249">
        <v>0</v>
      </c>
      <c r="DG249" s="121">
        <f>DJ$40+DG243</f>
        <v>169784.69688524181</v>
      </c>
      <c r="DQ249">
        <v>0</v>
      </c>
      <c r="DR249" s="121">
        <f>DU$40+DR243</f>
        <v>223660.24046552327</v>
      </c>
      <c r="EB249">
        <v>0</v>
      </c>
      <c r="EC249" s="121">
        <f>EF$40+EC243</f>
        <v>267844.51839924749</v>
      </c>
      <c r="EM249">
        <v>0</v>
      </c>
      <c r="EN249" s="121">
        <f>EQ$40+EN243</f>
        <v>310646.49439697166</v>
      </c>
      <c r="EX249">
        <v>0</v>
      </c>
      <c r="EY249" s="121">
        <f>FB$40+EY243</f>
        <v>382496.88429170579</v>
      </c>
      <c r="FI249">
        <v>0</v>
      </c>
      <c r="FJ249" s="121">
        <f>FM$40+FJ243</f>
        <v>425624.14166513574</v>
      </c>
    </row>
    <row r="250" spans="1:174" x14ac:dyDescent="0.25">
      <c r="J250">
        <v>3.5000000000000003E-2</v>
      </c>
      <c r="K250" s="121">
        <f>N$40+L243</f>
        <v>13779.455545319981</v>
      </c>
      <c r="V250">
        <v>3.5000000000000003E-2</v>
      </c>
      <c r="W250" s="121">
        <f>Z$40+X243</f>
        <v>15723.982593066907</v>
      </c>
      <c r="AG250">
        <v>3.5000000000000003E-2</v>
      </c>
      <c r="AH250" s="121">
        <f>AK$40+AI243</f>
        <v>21360.128970079717</v>
      </c>
      <c r="AR250">
        <v>3.5000000000000003E-2</v>
      </c>
      <c r="AS250" s="121">
        <f>AV$40+AT243</f>
        <v>24451.084834520039</v>
      </c>
      <c r="BC250">
        <v>3.5000000000000003E-2</v>
      </c>
      <c r="BD250" s="121">
        <f>BG$40+BE243</f>
        <v>30215.028320482714</v>
      </c>
      <c r="BN250">
        <v>3.5000000000000003E-2</v>
      </c>
      <c r="BO250" s="121">
        <f>BR$40+BP243</f>
        <v>42847.463113568629</v>
      </c>
      <c r="BY250">
        <v>3.5000000000000003E-2</v>
      </c>
      <c r="BZ250" s="121">
        <f>CC$40+CA243</f>
        <v>50599.927129150536</v>
      </c>
      <c r="CJ250">
        <v>3.5000000000000003E-2</v>
      </c>
      <c r="CK250" s="121">
        <f>CN$40+CL243</f>
        <v>63871.612307302712</v>
      </c>
      <c r="CU250">
        <v>3.5000000000000003E-2</v>
      </c>
      <c r="CV250" s="121">
        <f>CY$40+CW243</f>
        <v>82244.821955361025</v>
      </c>
      <c r="DF250">
        <v>3.5000000000000003E-2</v>
      </c>
      <c r="DG250" s="121">
        <f>DJ$40+DH243</f>
        <v>115449.60551538374</v>
      </c>
      <c r="DQ250">
        <v>3.5000000000000003E-2</v>
      </c>
      <c r="DR250" s="121">
        <f>DU$40+DS243</f>
        <v>152729.29501321726</v>
      </c>
      <c r="EB250">
        <v>3.5000000000000003E-2</v>
      </c>
      <c r="EC250" s="121">
        <f>EF$40+ED243</f>
        <v>183303.02202537656</v>
      </c>
      <c r="EM250">
        <v>3.5000000000000003E-2</v>
      </c>
      <c r="EN250" s="121">
        <f>EQ$40+EO243</f>
        <v>212920.25220164689</v>
      </c>
      <c r="EX250">
        <v>3.5000000000000003E-2</v>
      </c>
      <c r="EY250" s="121">
        <f>FB$40+EZ243</f>
        <v>261455.72773177538</v>
      </c>
      <c r="FI250">
        <v>3.5000000000000003E-2</v>
      </c>
      <c r="FJ250" s="121">
        <f>FM$40+FK243</f>
        <v>291298.03941776033</v>
      </c>
    </row>
    <row r="251" spans="1:174" x14ac:dyDescent="0.25">
      <c r="J251">
        <v>0.06</v>
      </c>
      <c r="K251" s="121">
        <f>N$111+M243</f>
        <v>9096.4650936913913</v>
      </c>
      <c r="V251">
        <v>0.06</v>
      </c>
      <c r="W251" s="121">
        <f>Z$40+Y243</f>
        <v>12188.080884460307</v>
      </c>
      <c r="AG251">
        <v>0.06</v>
      </c>
      <c r="AH251" s="121">
        <f>AK$40+AJ243</f>
        <v>16677.695936581389</v>
      </c>
      <c r="AR251">
        <v>0.06</v>
      </c>
      <c r="AS251" s="121">
        <f>AV$40+AU243</f>
        <v>19232.372941208272</v>
      </c>
      <c r="BC251">
        <v>0.06</v>
      </c>
      <c r="BD251" s="121">
        <f>BG$40+BF243</f>
        <v>23996.275929588213</v>
      </c>
      <c r="BN251">
        <v>0.06</v>
      </c>
      <c r="BO251" s="121">
        <f>BR$40+BQ243</f>
        <v>34436.991389039977</v>
      </c>
      <c r="BY251">
        <v>0.06</v>
      </c>
      <c r="BZ251" s="121">
        <f>CC$40+CB243</f>
        <v>40844.407870669544</v>
      </c>
      <c r="CJ251">
        <v>0.06</v>
      </c>
      <c r="CK251" s="121">
        <f>CN$40+CM243</f>
        <v>51737.302490162998</v>
      </c>
      <c r="CU251">
        <v>0.06</v>
      </c>
      <c r="CV251" s="121">
        <f>CY$40+CX243</f>
        <v>66922.772049619933</v>
      </c>
      <c r="DF251">
        <v>0.06</v>
      </c>
      <c r="DG251" s="121">
        <f>DJ$40+DI243</f>
        <v>94184.569805606123</v>
      </c>
      <c r="DQ251">
        <v>0.06</v>
      </c>
      <c r="DR251" s="121">
        <f>DU$40+DT243</f>
        <v>124996.25708830054</v>
      </c>
      <c r="EB251">
        <v>0.06</v>
      </c>
      <c r="EC251" s="121">
        <f>EF$40+EE243</f>
        <v>150265.46207510342</v>
      </c>
      <c r="EM251">
        <v>0.06</v>
      </c>
      <c r="EN251" s="121">
        <f>EQ$40+EP243</f>
        <v>174744.12181350752</v>
      </c>
      <c r="EX251">
        <v>0.06</v>
      </c>
      <c r="EY251" s="121">
        <f>FB$40+FA243</f>
        <v>214141.40344640962</v>
      </c>
      <c r="FI251">
        <v>0.06</v>
      </c>
      <c r="FJ251" s="121">
        <f>FM$40+FL243</f>
        <v>238806.09319696933</v>
      </c>
    </row>
    <row r="258" spans="1:174" ht="15.75" thickBot="1" x14ac:dyDescent="0.3"/>
    <row r="259" spans="1:174" s="88" customFormat="1" ht="15.75" thickBot="1" x14ac:dyDescent="0.3">
      <c r="A259" s="129" t="s">
        <v>1579</v>
      </c>
      <c r="B259" s="130"/>
      <c r="C259" s="130"/>
      <c r="D259" s="130"/>
      <c r="E259" s="130"/>
      <c r="F259" s="130"/>
      <c r="G259" s="131"/>
      <c r="H259" s="90"/>
      <c r="T259" s="90"/>
      <c r="AE259" s="90"/>
      <c r="AP259" s="90"/>
      <c r="BA259" s="90"/>
      <c r="BL259" s="90"/>
      <c r="BW259" s="90"/>
      <c r="CH259" s="90"/>
      <c r="CS259" s="90"/>
      <c r="DD259" s="90"/>
      <c r="DO259" s="90"/>
      <c r="DZ259" s="90"/>
      <c r="EK259" s="90"/>
      <c r="EV259" s="90"/>
      <c r="FG259" s="90"/>
      <c r="FR259" s="90"/>
    </row>
    <row r="260" spans="1:174" x14ac:dyDescent="0.25">
      <c r="T260"/>
      <c r="AE260"/>
    </row>
    <row r="261" spans="1:174" x14ac:dyDescent="0.25">
      <c r="T261"/>
      <c r="AE261"/>
    </row>
    <row r="262" spans="1:174" x14ac:dyDescent="0.25">
      <c r="C262" t="str">
        <f>VF!B245</f>
        <v>ABR sizes</v>
      </c>
      <c r="O262" t="s">
        <v>250</v>
      </c>
      <c r="R262" t="s">
        <v>251</v>
      </c>
      <c r="T262"/>
      <c r="X262" t="s">
        <v>254</v>
      </c>
      <c r="AB262" s="143" t="s">
        <v>263</v>
      </c>
      <c r="AC262" s="143"/>
      <c r="AD262" s="143"/>
      <c r="AE262" s="143"/>
      <c r="AF262" s="143"/>
      <c r="AH262" s="10" t="s">
        <v>206</v>
      </c>
      <c r="AN262" t="s">
        <v>205</v>
      </c>
      <c r="AP262"/>
    </row>
    <row r="263" spans="1:174" x14ac:dyDescent="0.25">
      <c r="D263" t="str">
        <f>VF!C246</f>
        <v>Wet</v>
      </c>
      <c r="J263" t="str">
        <f t="shared" ref="J263:J278" si="302">B298</f>
        <v>PE</v>
      </c>
      <c r="K263" t="str">
        <f t="shared" ref="K263:K278" si="303">C298</f>
        <v>Cells</v>
      </c>
      <c r="L263" t="str">
        <f t="shared" ref="L263:L278" si="304">D298</f>
        <v>Length</v>
      </c>
      <c r="M263" t="str">
        <f t="shared" ref="M263:M278" si="305">E298</f>
        <v>Width</v>
      </c>
      <c r="O263" t="s">
        <v>245</v>
      </c>
      <c r="P263" t="s">
        <v>116</v>
      </c>
      <c r="R263" t="s">
        <v>245</v>
      </c>
      <c r="S263" t="s">
        <v>116</v>
      </c>
      <c r="T263"/>
      <c r="X263" t="s">
        <v>245</v>
      </c>
      <c r="Y263" t="s">
        <v>116</v>
      </c>
      <c r="Z263" t="s">
        <v>125</v>
      </c>
      <c r="AB263" t="s">
        <v>261</v>
      </c>
      <c r="AC263" t="s">
        <v>231</v>
      </c>
      <c r="AD263" t="s">
        <v>262</v>
      </c>
      <c r="AE263" s="7" t="s">
        <v>14</v>
      </c>
      <c r="AF263" s="7" t="s">
        <v>100</v>
      </c>
      <c r="AH263" t="s">
        <v>261</v>
      </c>
      <c r="AI263" t="s">
        <v>231</v>
      </c>
      <c r="AJ263" t="s">
        <v>262</v>
      </c>
      <c r="AK263" t="s">
        <v>14</v>
      </c>
      <c r="AL263" t="s">
        <v>100</v>
      </c>
      <c r="AN263" t="s">
        <v>261</v>
      </c>
      <c r="AO263" t="s">
        <v>231</v>
      </c>
      <c r="AP263" t="s">
        <v>262</v>
      </c>
      <c r="AQ263" t="s">
        <v>14</v>
      </c>
      <c r="AR263" t="s">
        <v>100</v>
      </c>
      <c r="AS263" t="s">
        <v>156</v>
      </c>
      <c r="AT263" t="s">
        <v>125</v>
      </c>
    </row>
    <row r="264" spans="1:174" x14ac:dyDescent="0.25">
      <c r="D264" t="str">
        <f>VF!C247</f>
        <v>Length</v>
      </c>
      <c r="E264" t="str">
        <f>VF!D247</f>
        <v>Width</v>
      </c>
      <c r="F264" t="str">
        <f>VF!E247</f>
        <v>Length</v>
      </c>
      <c r="G264" t="str">
        <f>VF!F247</f>
        <v>Width</v>
      </c>
      <c r="J264">
        <f t="shared" si="302"/>
        <v>5</v>
      </c>
      <c r="K264">
        <f t="shared" si="303"/>
        <v>1</v>
      </c>
      <c r="L264">
        <f t="shared" si="304"/>
        <v>2.9000000000000004</v>
      </c>
      <c r="M264">
        <f t="shared" si="305"/>
        <v>5.6</v>
      </c>
      <c r="O264">
        <f t="shared" ref="O264:O273" si="306">ROUNDUP((L264/2.75),0)</f>
        <v>2</v>
      </c>
      <c r="P264">
        <f t="shared" ref="P264:P273" si="307">ROUNDUP((M264/2.75),0)</f>
        <v>3</v>
      </c>
      <c r="R264">
        <f t="shared" ref="R264:R278" si="308">(O264*2.75)-L264</f>
        <v>2.5999999999999996</v>
      </c>
      <c r="S264">
        <f t="shared" ref="S264:S278" si="309">(P264*2.75)-M264</f>
        <v>2.6500000000000004</v>
      </c>
      <c r="T264"/>
      <c r="U264">
        <f t="shared" ref="U264:U273" si="310">R264/2</f>
        <v>1.2999999999999998</v>
      </c>
      <c r="V264">
        <f t="shared" ref="V264:V273" si="311">S264/2</f>
        <v>1.3250000000000002</v>
      </c>
      <c r="X264">
        <f t="shared" ref="X264:X278" si="312">IF(U264&gt;1,O264,O264+1)</f>
        <v>2</v>
      </c>
      <c r="Y264">
        <f t="shared" ref="Y264:Y278" si="313">IF(V264&gt;1,P264,P264+1)</f>
        <v>3</v>
      </c>
      <c r="Z264">
        <f t="shared" ref="Z264:Z278" si="314">(X264*2-1)+Y264*2</f>
        <v>9</v>
      </c>
      <c r="AB264">
        <f>Z264</f>
        <v>9</v>
      </c>
      <c r="AC264">
        <v>4</v>
      </c>
      <c r="AD264">
        <v>1</v>
      </c>
      <c r="AE264" s="7">
        <f>Fencing!$C$15*(AB264+AC264+2)</f>
        <v>2.7337500000000006</v>
      </c>
      <c r="AF264" s="7">
        <f>AE264</f>
        <v>2.7337500000000006</v>
      </c>
      <c r="AH264" s="5">
        <f>Fencing!$C$26</f>
        <v>112.824</v>
      </c>
      <c r="AI264" s="5">
        <f>Fencing!$C$34</f>
        <v>36.384</v>
      </c>
      <c r="AJ264" s="5">
        <f>Fencing!$C$56</f>
        <v>539.4</v>
      </c>
      <c r="AK264">
        <f>Index!$C$69</f>
        <v>11.9580460758</v>
      </c>
      <c r="AL264" s="5">
        <f>Index!$C$53</f>
        <v>99.508928571428555</v>
      </c>
      <c r="AN264">
        <f>AB264*AH264</f>
        <v>1015.4159999999999</v>
      </c>
      <c r="AO264">
        <f t="shared" ref="AO264:AR277" si="315">AC264*AI264</f>
        <v>145.536</v>
      </c>
      <c r="AP264">
        <f t="shared" si="315"/>
        <v>539.4</v>
      </c>
      <c r="AQ264">
        <f t="shared" si="315"/>
        <v>32.69030845971826</v>
      </c>
      <c r="AR264">
        <f t="shared" si="315"/>
        <v>272.03253348214287</v>
      </c>
      <c r="AS264">
        <v>5</v>
      </c>
      <c r="AT264">
        <f>SUM(AN264:AR264)</f>
        <v>2005.074841941861</v>
      </c>
    </row>
    <row r="265" spans="1:174" x14ac:dyDescent="0.25">
      <c r="C265">
        <f>VF!B248</f>
        <v>5</v>
      </c>
      <c r="D265">
        <f>VF!C248</f>
        <v>3</v>
      </c>
      <c r="E265">
        <f>VF!D248</f>
        <v>1</v>
      </c>
      <c r="F265">
        <f>VF!E248</f>
        <v>3.3</v>
      </c>
      <c r="G265">
        <f>VF!F248</f>
        <v>1.3</v>
      </c>
      <c r="J265">
        <f t="shared" si="302"/>
        <v>10</v>
      </c>
      <c r="K265">
        <f t="shared" si="303"/>
        <v>1</v>
      </c>
      <c r="L265">
        <f t="shared" si="304"/>
        <v>3.7</v>
      </c>
      <c r="M265">
        <f t="shared" si="305"/>
        <v>7.8999999999999995</v>
      </c>
      <c r="O265">
        <f t="shared" si="306"/>
        <v>2</v>
      </c>
      <c r="P265">
        <f t="shared" si="307"/>
        <v>3</v>
      </c>
      <c r="R265">
        <f t="shared" si="308"/>
        <v>1.7999999999999998</v>
      </c>
      <c r="S265">
        <f t="shared" si="309"/>
        <v>0.35000000000000053</v>
      </c>
      <c r="T265"/>
      <c r="U265">
        <f t="shared" si="310"/>
        <v>0.89999999999999991</v>
      </c>
      <c r="V265">
        <f t="shared" si="311"/>
        <v>0.17500000000000027</v>
      </c>
      <c r="X265">
        <f t="shared" si="312"/>
        <v>3</v>
      </c>
      <c r="Y265">
        <f t="shared" si="313"/>
        <v>4</v>
      </c>
      <c r="Z265">
        <f t="shared" si="314"/>
        <v>13</v>
      </c>
      <c r="AB265">
        <f t="shared" ref="AB265:AB277" si="316">Z265</f>
        <v>13</v>
      </c>
      <c r="AC265">
        <v>4</v>
      </c>
      <c r="AD265">
        <v>1</v>
      </c>
      <c r="AE265" s="7">
        <f>Fencing!$C$15*(AB265+AC265+2)</f>
        <v>3.4627500000000007</v>
      </c>
      <c r="AF265" s="7">
        <f t="shared" ref="AF265:AF278" si="317">AE265</f>
        <v>3.4627500000000007</v>
      </c>
      <c r="AH265" s="5">
        <f>Fencing!$C$26</f>
        <v>112.824</v>
      </c>
      <c r="AI265" s="5">
        <f>Fencing!$C$34</f>
        <v>36.384</v>
      </c>
      <c r="AJ265" s="5">
        <f>Fencing!$C$56</f>
        <v>539.4</v>
      </c>
      <c r="AK265">
        <f>Index!$C$69</f>
        <v>11.9580460758</v>
      </c>
      <c r="AL265" s="5">
        <f>Index!$C$53</f>
        <v>99.508928571428555</v>
      </c>
      <c r="AN265">
        <f t="shared" ref="AN265:AN277" si="318">AB265*AH265</f>
        <v>1466.712</v>
      </c>
      <c r="AO265">
        <f t="shared" si="315"/>
        <v>145.536</v>
      </c>
      <c r="AP265">
        <f t="shared" si="315"/>
        <v>539.4</v>
      </c>
      <c r="AQ265">
        <f t="shared" si="315"/>
        <v>41.407724048976462</v>
      </c>
      <c r="AR265">
        <f t="shared" si="315"/>
        <v>344.57454241071429</v>
      </c>
      <c r="AS265">
        <v>10</v>
      </c>
      <c r="AT265">
        <f t="shared" ref="AT265:AT277" si="319">SUM(AN265:AR265)</f>
        <v>2537.630266459691</v>
      </c>
    </row>
    <row r="266" spans="1:174" x14ac:dyDescent="0.25">
      <c r="C266">
        <f>VF!B249</f>
        <v>10</v>
      </c>
      <c r="D266">
        <f>VF!C249</f>
        <v>4.0451991747794525</v>
      </c>
      <c r="E266">
        <f>VF!D249</f>
        <v>1.3483997249264841</v>
      </c>
      <c r="F266">
        <f>VF!E249</f>
        <v>4.3451991747794523</v>
      </c>
      <c r="G266">
        <f>VF!F249</f>
        <v>1.6483997249264841</v>
      </c>
      <c r="J266">
        <f t="shared" si="302"/>
        <v>20</v>
      </c>
      <c r="K266">
        <f t="shared" si="303"/>
        <v>1</v>
      </c>
      <c r="L266">
        <f t="shared" si="304"/>
        <v>4.7</v>
      </c>
      <c r="M266">
        <f t="shared" si="305"/>
        <v>11.1</v>
      </c>
      <c r="O266">
        <f t="shared" si="306"/>
        <v>2</v>
      </c>
      <c r="P266">
        <f t="shared" si="307"/>
        <v>5</v>
      </c>
      <c r="R266">
        <f t="shared" si="308"/>
        <v>0.79999999999999982</v>
      </c>
      <c r="S266">
        <f t="shared" si="309"/>
        <v>2.6500000000000004</v>
      </c>
      <c r="T266"/>
      <c r="U266">
        <f t="shared" si="310"/>
        <v>0.39999999999999991</v>
      </c>
      <c r="V266">
        <f t="shared" si="311"/>
        <v>1.3250000000000002</v>
      </c>
      <c r="X266">
        <f t="shared" si="312"/>
        <v>3</v>
      </c>
      <c r="Y266">
        <f t="shared" si="313"/>
        <v>5</v>
      </c>
      <c r="Z266">
        <f t="shared" si="314"/>
        <v>15</v>
      </c>
      <c r="AB266">
        <f t="shared" si="316"/>
        <v>15</v>
      </c>
      <c r="AC266">
        <v>4</v>
      </c>
      <c r="AD266">
        <v>1</v>
      </c>
      <c r="AE266" s="7">
        <f>Fencing!$C$15*(AB266+AC266+2)</f>
        <v>3.8272500000000003</v>
      </c>
      <c r="AF266" s="7">
        <f t="shared" si="317"/>
        <v>3.8272500000000003</v>
      </c>
      <c r="AH266" s="5">
        <f>Fencing!$C$26</f>
        <v>112.824</v>
      </c>
      <c r="AI266" s="5">
        <f>Fencing!$C$34</f>
        <v>36.384</v>
      </c>
      <c r="AJ266" s="5">
        <f>Fencing!$C$56</f>
        <v>539.4</v>
      </c>
      <c r="AK266">
        <f>Index!$C$69</f>
        <v>11.9580460758</v>
      </c>
      <c r="AL266" s="5">
        <f>Index!$C$53</f>
        <v>99.508928571428555</v>
      </c>
      <c r="AN266">
        <f t="shared" si="318"/>
        <v>1692.36</v>
      </c>
      <c r="AO266">
        <f t="shared" si="315"/>
        <v>145.536</v>
      </c>
      <c r="AP266">
        <f t="shared" si="315"/>
        <v>539.4</v>
      </c>
      <c r="AQ266">
        <f t="shared" si="315"/>
        <v>45.766431843605552</v>
      </c>
      <c r="AR266">
        <f t="shared" si="315"/>
        <v>380.84554687499997</v>
      </c>
      <c r="AS266">
        <v>20</v>
      </c>
      <c r="AT266">
        <f t="shared" si="319"/>
        <v>2803.9079787186051</v>
      </c>
    </row>
    <row r="267" spans="1:174" x14ac:dyDescent="0.25">
      <c r="C267">
        <f>VF!B250</f>
        <v>20</v>
      </c>
      <c r="D267">
        <f>VF!C250</f>
        <v>5.7207755354735541</v>
      </c>
      <c r="E267">
        <f>VF!D250</f>
        <v>1.9069251784911847</v>
      </c>
      <c r="F267">
        <f>VF!E250</f>
        <v>6.0207755354735539</v>
      </c>
      <c r="G267">
        <f>VF!F250</f>
        <v>2.2069251784911845</v>
      </c>
      <c r="J267">
        <f t="shared" si="302"/>
        <v>30</v>
      </c>
      <c r="K267">
        <f t="shared" si="303"/>
        <v>1</v>
      </c>
      <c r="L267">
        <f t="shared" si="304"/>
        <v>5.6</v>
      </c>
      <c r="M267">
        <f t="shared" si="305"/>
        <v>13.6</v>
      </c>
      <c r="O267">
        <f t="shared" si="306"/>
        <v>3</v>
      </c>
      <c r="P267">
        <f t="shared" si="307"/>
        <v>5</v>
      </c>
      <c r="R267">
        <f t="shared" si="308"/>
        <v>2.6500000000000004</v>
      </c>
      <c r="S267">
        <f t="shared" si="309"/>
        <v>0.15000000000000036</v>
      </c>
      <c r="T267"/>
      <c r="U267">
        <f t="shared" si="310"/>
        <v>1.3250000000000002</v>
      </c>
      <c r="V267">
        <f t="shared" si="311"/>
        <v>7.5000000000000178E-2</v>
      </c>
      <c r="X267">
        <f t="shared" si="312"/>
        <v>3</v>
      </c>
      <c r="Y267">
        <f t="shared" si="313"/>
        <v>6</v>
      </c>
      <c r="Z267">
        <f t="shared" si="314"/>
        <v>17</v>
      </c>
      <c r="AB267">
        <f t="shared" si="316"/>
        <v>17</v>
      </c>
      <c r="AC267">
        <v>4</v>
      </c>
      <c r="AD267">
        <v>1</v>
      </c>
      <c r="AE267" s="7">
        <f>Fencing!$C$15*(AB267+AC267+2)</f>
        <v>4.1917500000000008</v>
      </c>
      <c r="AF267" s="7">
        <f t="shared" si="317"/>
        <v>4.1917500000000008</v>
      </c>
      <c r="AH267" s="5">
        <f>Fencing!$C$26</f>
        <v>112.824</v>
      </c>
      <c r="AI267" s="5">
        <f>Fencing!$C$34</f>
        <v>36.384</v>
      </c>
      <c r="AJ267" s="5">
        <f>Fencing!$C$56</f>
        <v>539.4</v>
      </c>
      <c r="AK267">
        <f>Index!$C$69</f>
        <v>11.9580460758</v>
      </c>
      <c r="AL267" s="5">
        <f>Index!$C$53</f>
        <v>99.508928571428555</v>
      </c>
      <c r="AN267">
        <f t="shared" si="318"/>
        <v>1918.008</v>
      </c>
      <c r="AO267">
        <f t="shared" si="315"/>
        <v>145.536</v>
      </c>
      <c r="AP267">
        <f t="shared" si="315"/>
        <v>539.4</v>
      </c>
      <c r="AQ267">
        <f t="shared" si="315"/>
        <v>50.125139638234664</v>
      </c>
      <c r="AR267">
        <f t="shared" si="315"/>
        <v>417.11655133928571</v>
      </c>
      <c r="AS267">
        <v>30</v>
      </c>
      <c r="AT267">
        <f t="shared" si="319"/>
        <v>3070.1856909775202</v>
      </c>
    </row>
    <row r="268" spans="1:174" x14ac:dyDescent="0.25">
      <c r="C268">
        <f>VF!B251</f>
        <v>30</v>
      </c>
      <c r="D268">
        <f>VF!C251</f>
        <v>7.0064904974537061</v>
      </c>
      <c r="E268">
        <f>VF!D251</f>
        <v>2.3354968324845689</v>
      </c>
      <c r="F268">
        <f>VF!E251</f>
        <v>7.3064904974537059</v>
      </c>
      <c r="G268">
        <f>VF!F251</f>
        <v>2.6354968324845687</v>
      </c>
      <c r="J268">
        <f t="shared" si="302"/>
        <v>50</v>
      </c>
      <c r="K268">
        <f t="shared" si="303"/>
        <v>1</v>
      </c>
      <c r="L268">
        <f t="shared" si="304"/>
        <v>6.8999999999999995</v>
      </c>
      <c r="M268">
        <f t="shared" si="305"/>
        <v>17.5</v>
      </c>
      <c r="O268">
        <f t="shared" si="306"/>
        <v>3</v>
      </c>
      <c r="P268">
        <f t="shared" si="307"/>
        <v>7</v>
      </c>
      <c r="R268">
        <f t="shared" si="308"/>
        <v>1.3500000000000005</v>
      </c>
      <c r="S268">
        <f t="shared" si="309"/>
        <v>1.75</v>
      </c>
      <c r="T268"/>
      <c r="U268">
        <f t="shared" si="310"/>
        <v>0.67500000000000027</v>
      </c>
      <c r="V268">
        <f t="shared" si="311"/>
        <v>0.875</v>
      </c>
      <c r="X268">
        <f t="shared" si="312"/>
        <v>4</v>
      </c>
      <c r="Y268">
        <f t="shared" si="313"/>
        <v>8</v>
      </c>
      <c r="Z268">
        <f t="shared" si="314"/>
        <v>23</v>
      </c>
      <c r="AB268">
        <f t="shared" si="316"/>
        <v>23</v>
      </c>
      <c r="AC268">
        <v>4</v>
      </c>
      <c r="AD268">
        <v>1</v>
      </c>
      <c r="AE268" s="7">
        <f>Fencing!$C$15*(AB268+AC268+2)</f>
        <v>5.2852500000000004</v>
      </c>
      <c r="AF268" s="7">
        <f t="shared" si="317"/>
        <v>5.2852500000000004</v>
      </c>
      <c r="AH268" s="5">
        <f>Fencing!$C$26</f>
        <v>112.824</v>
      </c>
      <c r="AI268" s="5">
        <f>Fencing!$C$34</f>
        <v>36.384</v>
      </c>
      <c r="AJ268" s="5">
        <f>Fencing!$C$56</f>
        <v>539.4</v>
      </c>
      <c r="AK268">
        <f>Index!$C$69</f>
        <v>11.9580460758</v>
      </c>
      <c r="AL268" s="5">
        <f>Index!$C$53</f>
        <v>99.508928571428555</v>
      </c>
      <c r="AN268">
        <f t="shared" si="318"/>
        <v>2594.9519999999998</v>
      </c>
      <c r="AO268">
        <f t="shared" si="315"/>
        <v>145.536</v>
      </c>
      <c r="AP268">
        <f t="shared" si="315"/>
        <v>539.4</v>
      </c>
      <c r="AQ268">
        <f t="shared" si="315"/>
        <v>63.201263022121957</v>
      </c>
      <c r="AR268">
        <f t="shared" si="315"/>
        <v>525.92956473214281</v>
      </c>
      <c r="AS268">
        <v>50</v>
      </c>
      <c r="AT268">
        <f t="shared" si="319"/>
        <v>3869.0188277542647</v>
      </c>
    </row>
    <row r="269" spans="1:174" x14ac:dyDescent="0.25">
      <c r="C269">
        <f>VF!B252</f>
        <v>50</v>
      </c>
      <c r="D269">
        <f>VF!C252</f>
        <v>9.0453403373329078</v>
      </c>
      <c r="E269">
        <f>VF!D252</f>
        <v>3.0151134457776361</v>
      </c>
      <c r="F269">
        <f>VF!E252</f>
        <v>9.3453403373329085</v>
      </c>
      <c r="G269">
        <f>VF!F252</f>
        <v>3.3151134457776359</v>
      </c>
      <c r="J269">
        <f t="shared" si="302"/>
        <v>75</v>
      </c>
      <c r="K269">
        <f t="shared" si="303"/>
        <v>2</v>
      </c>
      <c r="L269">
        <f t="shared" si="304"/>
        <v>4.5999999999999996</v>
      </c>
      <c r="M269">
        <f t="shared" si="305"/>
        <v>21.5</v>
      </c>
      <c r="O269">
        <f t="shared" si="306"/>
        <v>2</v>
      </c>
      <c r="P269">
        <f t="shared" si="307"/>
        <v>8</v>
      </c>
      <c r="R269">
        <f t="shared" si="308"/>
        <v>0.90000000000000036</v>
      </c>
      <c r="S269">
        <f t="shared" si="309"/>
        <v>0.5</v>
      </c>
      <c r="T269"/>
      <c r="U269">
        <f t="shared" si="310"/>
        <v>0.45000000000000018</v>
      </c>
      <c r="V269">
        <f t="shared" si="311"/>
        <v>0.25</v>
      </c>
      <c r="X269">
        <f t="shared" si="312"/>
        <v>3</v>
      </c>
      <c r="Y269">
        <f t="shared" si="313"/>
        <v>9</v>
      </c>
      <c r="Z269">
        <f t="shared" si="314"/>
        <v>23</v>
      </c>
      <c r="AB269">
        <f t="shared" si="316"/>
        <v>23</v>
      </c>
      <c r="AC269">
        <v>4</v>
      </c>
      <c r="AD269">
        <v>1</v>
      </c>
      <c r="AE269" s="7">
        <f>Fencing!$C$15*(AB269+AC269+2)</f>
        <v>5.2852500000000004</v>
      </c>
      <c r="AF269" s="7">
        <f t="shared" si="317"/>
        <v>5.2852500000000004</v>
      </c>
      <c r="AH269" s="5">
        <f>Fencing!$C$26</f>
        <v>112.824</v>
      </c>
      <c r="AI269" s="5">
        <f>Fencing!$C$34</f>
        <v>36.384</v>
      </c>
      <c r="AJ269" s="5">
        <f>Fencing!$C$56</f>
        <v>539.4</v>
      </c>
      <c r="AK269">
        <f>Index!$C$69</f>
        <v>11.9580460758</v>
      </c>
      <c r="AL269" s="5">
        <f>Index!$C$53</f>
        <v>99.508928571428555</v>
      </c>
      <c r="AN269">
        <f t="shared" si="318"/>
        <v>2594.9519999999998</v>
      </c>
      <c r="AO269">
        <f t="shared" si="315"/>
        <v>145.536</v>
      </c>
      <c r="AP269">
        <f t="shared" si="315"/>
        <v>539.4</v>
      </c>
      <c r="AQ269">
        <f t="shared" si="315"/>
        <v>63.201263022121957</v>
      </c>
      <c r="AR269">
        <f t="shared" si="315"/>
        <v>525.92956473214281</v>
      </c>
      <c r="AS269">
        <v>75</v>
      </c>
      <c r="AT269">
        <f t="shared" si="319"/>
        <v>3869.0188277542647</v>
      </c>
    </row>
    <row r="270" spans="1:174" x14ac:dyDescent="0.25">
      <c r="C270">
        <f>VF!B253</f>
        <v>75</v>
      </c>
      <c r="D270">
        <f>VF!C253</f>
        <v>11.078234188139946</v>
      </c>
      <c r="E270">
        <f>VF!D253</f>
        <v>3.692744729379982</v>
      </c>
      <c r="F270">
        <f>VF!E253</f>
        <v>11.378234188139947</v>
      </c>
      <c r="G270">
        <f>VF!F253</f>
        <v>3.9927447293799818</v>
      </c>
      <c r="J270">
        <f t="shared" si="302"/>
        <v>100</v>
      </c>
      <c r="K270">
        <f t="shared" si="303"/>
        <v>2</v>
      </c>
      <c r="L270">
        <f t="shared" si="304"/>
        <v>5.1999999999999993</v>
      </c>
      <c r="M270">
        <f t="shared" si="305"/>
        <v>24.8</v>
      </c>
      <c r="O270">
        <f t="shared" si="306"/>
        <v>2</v>
      </c>
      <c r="P270">
        <f t="shared" si="307"/>
        <v>10</v>
      </c>
      <c r="R270">
        <f t="shared" si="308"/>
        <v>0.30000000000000071</v>
      </c>
      <c r="S270">
        <f t="shared" si="309"/>
        <v>2.6999999999999993</v>
      </c>
      <c r="T270"/>
      <c r="U270">
        <f t="shared" si="310"/>
        <v>0.15000000000000036</v>
      </c>
      <c r="V270">
        <f t="shared" si="311"/>
        <v>1.3499999999999996</v>
      </c>
      <c r="X270">
        <f t="shared" si="312"/>
        <v>3</v>
      </c>
      <c r="Y270">
        <f t="shared" si="313"/>
        <v>10</v>
      </c>
      <c r="Z270">
        <f t="shared" si="314"/>
        <v>25</v>
      </c>
      <c r="AB270">
        <f t="shared" si="316"/>
        <v>25</v>
      </c>
      <c r="AC270">
        <v>4</v>
      </c>
      <c r="AD270">
        <v>1</v>
      </c>
      <c r="AE270" s="7">
        <f>Fencing!$C$15*(AB270+AC270+2)</f>
        <v>5.6497500000000009</v>
      </c>
      <c r="AF270" s="7">
        <f t="shared" si="317"/>
        <v>5.6497500000000009</v>
      </c>
      <c r="AH270" s="5">
        <f>Fencing!$C$26</f>
        <v>112.824</v>
      </c>
      <c r="AI270" s="5">
        <f>Fencing!$C$34</f>
        <v>36.384</v>
      </c>
      <c r="AJ270" s="5">
        <f>Fencing!$C$56</f>
        <v>539.4</v>
      </c>
      <c r="AK270">
        <f>Index!$C$69</f>
        <v>11.9580460758</v>
      </c>
      <c r="AL270" s="5">
        <f>Index!$C$53</f>
        <v>99.508928571428555</v>
      </c>
      <c r="AN270">
        <f t="shared" si="318"/>
        <v>2820.6</v>
      </c>
      <c r="AO270">
        <f t="shared" si="315"/>
        <v>145.536</v>
      </c>
      <c r="AP270">
        <f t="shared" si="315"/>
        <v>539.4</v>
      </c>
      <c r="AQ270">
        <f t="shared" si="315"/>
        <v>67.559970816751061</v>
      </c>
      <c r="AR270">
        <f t="shared" si="315"/>
        <v>562.20056919642855</v>
      </c>
      <c r="AS270">
        <v>100</v>
      </c>
      <c r="AT270">
        <f t="shared" si="319"/>
        <v>4135.2965400131798</v>
      </c>
    </row>
    <row r="271" spans="1:174" x14ac:dyDescent="0.25">
      <c r="C271">
        <f>VF!B254</f>
        <v>100</v>
      </c>
      <c r="D271">
        <f>VF!C254</f>
        <v>12.792042981336627</v>
      </c>
      <c r="E271">
        <f>VF!D254</f>
        <v>4.2640143271122088</v>
      </c>
      <c r="F271">
        <f>VF!E254</f>
        <v>13.092042981336627</v>
      </c>
      <c r="G271">
        <f>VF!F254</f>
        <v>4.5640143271122087</v>
      </c>
      <c r="J271">
        <f t="shared" si="302"/>
        <v>150</v>
      </c>
      <c r="K271">
        <f t="shared" si="303"/>
        <v>2</v>
      </c>
      <c r="L271">
        <f t="shared" si="304"/>
        <v>7.1999999999999993</v>
      </c>
      <c r="M271">
        <f t="shared" si="305"/>
        <v>25</v>
      </c>
      <c r="O271">
        <f t="shared" si="306"/>
        <v>3</v>
      </c>
      <c r="P271">
        <f t="shared" si="307"/>
        <v>10</v>
      </c>
      <c r="R271">
        <f t="shared" si="308"/>
        <v>1.0500000000000007</v>
      </c>
      <c r="S271">
        <f t="shared" si="309"/>
        <v>2.5</v>
      </c>
      <c r="T271"/>
      <c r="U271">
        <f t="shared" si="310"/>
        <v>0.52500000000000036</v>
      </c>
      <c r="V271">
        <f t="shared" si="311"/>
        <v>1.25</v>
      </c>
      <c r="X271">
        <f t="shared" si="312"/>
        <v>4</v>
      </c>
      <c r="Y271">
        <f t="shared" si="313"/>
        <v>10</v>
      </c>
      <c r="Z271">
        <f t="shared" si="314"/>
        <v>27</v>
      </c>
      <c r="AB271">
        <f t="shared" si="316"/>
        <v>27</v>
      </c>
      <c r="AC271">
        <v>4</v>
      </c>
      <c r="AD271">
        <v>1</v>
      </c>
      <c r="AE271" s="7">
        <f>Fencing!$C$15*(AB271+AC271+2)</f>
        <v>6.0142500000000005</v>
      </c>
      <c r="AF271" s="7">
        <f t="shared" si="317"/>
        <v>6.0142500000000005</v>
      </c>
      <c r="AH271" s="5">
        <f>Fencing!$C$26</f>
        <v>112.824</v>
      </c>
      <c r="AI271" s="5">
        <f>Fencing!$C$34</f>
        <v>36.384</v>
      </c>
      <c r="AJ271" s="5">
        <f>Fencing!$C$56</f>
        <v>539.4</v>
      </c>
      <c r="AK271">
        <f>Index!$C$69</f>
        <v>11.9580460758</v>
      </c>
      <c r="AL271" s="5">
        <f>Index!$C$53</f>
        <v>99.508928571428555</v>
      </c>
      <c r="AN271">
        <f t="shared" si="318"/>
        <v>3046.248</v>
      </c>
      <c r="AO271">
        <f t="shared" si="315"/>
        <v>145.536</v>
      </c>
      <c r="AP271">
        <f t="shared" si="315"/>
        <v>539.4</v>
      </c>
      <c r="AQ271">
        <f t="shared" si="315"/>
        <v>71.918678611380159</v>
      </c>
      <c r="AR271">
        <f t="shared" si="315"/>
        <v>598.47157366071428</v>
      </c>
    </row>
    <row r="272" spans="1:174" x14ac:dyDescent="0.25">
      <c r="C272">
        <f>VF!B255</f>
        <v>200</v>
      </c>
      <c r="D272">
        <f>VF!C255</f>
        <v>18.090680674665816</v>
      </c>
      <c r="E272">
        <f>VF!D255</f>
        <v>6.0302268915552721</v>
      </c>
      <c r="F272">
        <f>VF!E255</f>
        <v>18.390680674665816</v>
      </c>
      <c r="G272">
        <f>VF!F255</f>
        <v>6.330226891555272</v>
      </c>
      <c r="J272">
        <f t="shared" si="302"/>
        <v>200</v>
      </c>
      <c r="K272">
        <f t="shared" si="303"/>
        <v>3</v>
      </c>
      <c r="L272">
        <f t="shared" si="304"/>
        <v>6.5</v>
      </c>
      <c r="M272">
        <f t="shared" si="305"/>
        <v>25</v>
      </c>
      <c r="O272">
        <f t="shared" si="306"/>
        <v>3</v>
      </c>
      <c r="P272">
        <f t="shared" si="307"/>
        <v>10</v>
      </c>
      <c r="R272">
        <f t="shared" si="308"/>
        <v>1.75</v>
      </c>
      <c r="S272">
        <f t="shared" si="309"/>
        <v>2.5</v>
      </c>
      <c r="T272"/>
      <c r="U272">
        <f t="shared" si="310"/>
        <v>0.875</v>
      </c>
      <c r="V272">
        <f t="shared" si="311"/>
        <v>1.25</v>
      </c>
      <c r="X272">
        <f t="shared" si="312"/>
        <v>4</v>
      </c>
      <c r="Y272">
        <f t="shared" si="313"/>
        <v>10</v>
      </c>
      <c r="Z272">
        <f t="shared" si="314"/>
        <v>27</v>
      </c>
      <c r="AB272">
        <f t="shared" si="316"/>
        <v>27</v>
      </c>
      <c r="AC272">
        <v>4</v>
      </c>
      <c r="AD272">
        <v>1</v>
      </c>
      <c r="AE272" s="7">
        <f>Fencing!$C$15*(AB272+AC272+2)</f>
        <v>6.0142500000000005</v>
      </c>
      <c r="AF272" s="7">
        <f t="shared" si="317"/>
        <v>6.0142500000000005</v>
      </c>
      <c r="AH272" s="5">
        <f>Fencing!$C$26</f>
        <v>112.824</v>
      </c>
      <c r="AI272" s="5">
        <f>Fencing!$C$34</f>
        <v>36.384</v>
      </c>
      <c r="AJ272" s="5">
        <f>Fencing!$C$56</f>
        <v>539.4</v>
      </c>
      <c r="AK272">
        <f>Index!$C$69</f>
        <v>11.9580460758</v>
      </c>
      <c r="AL272" s="5">
        <f>Index!$C$53</f>
        <v>99.508928571428555</v>
      </c>
      <c r="AN272">
        <f t="shared" si="318"/>
        <v>3046.248</v>
      </c>
      <c r="AO272">
        <f t="shared" si="315"/>
        <v>145.536</v>
      </c>
      <c r="AP272">
        <f t="shared" si="315"/>
        <v>539.4</v>
      </c>
      <c r="AQ272">
        <f t="shared" si="315"/>
        <v>71.918678611380159</v>
      </c>
      <c r="AR272">
        <f t="shared" si="315"/>
        <v>598.47157366071428</v>
      </c>
      <c r="AS272">
        <v>200</v>
      </c>
      <c r="AT272">
        <f t="shared" si="319"/>
        <v>4401.5742522720948</v>
      </c>
    </row>
    <row r="273" spans="2:46" x14ac:dyDescent="0.25">
      <c r="C273">
        <f>VF!B256</f>
        <v>300</v>
      </c>
      <c r="D273">
        <f>VF!C256</f>
        <v>22.156468376279893</v>
      </c>
      <c r="E273">
        <f>VF!D256</f>
        <v>7.385489458759964</v>
      </c>
      <c r="F273">
        <f>VF!E256</f>
        <v>22.456468376279894</v>
      </c>
      <c r="G273">
        <f>VF!F256</f>
        <v>7.6854894587599638</v>
      </c>
      <c r="J273">
        <f t="shared" si="302"/>
        <v>300</v>
      </c>
      <c r="K273">
        <f t="shared" si="303"/>
        <v>4</v>
      </c>
      <c r="L273">
        <f t="shared" si="304"/>
        <v>7.1999999999999993</v>
      </c>
      <c r="M273">
        <f t="shared" si="305"/>
        <v>25</v>
      </c>
      <c r="O273">
        <f t="shared" si="306"/>
        <v>3</v>
      </c>
      <c r="P273">
        <f t="shared" si="307"/>
        <v>10</v>
      </c>
      <c r="R273">
        <f t="shared" si="308"/>
        <v>1.0500000000000007</v>
      </c>
      <c r="S273">
        <f t="shared" si="309"/>
        <v>2.5</v>
      </c>
      <c r="T273"/>
      <c r="U273">
        <f t="shared" si="310"/>
        <v>0.52500000000000036</v>
      </c>
      <c r="V273">
        <f t="shared" si="311"/>
        <v>1.25</v>
      </c>
      <c r="X273">
        <f t="shared" si="312"/>
        <v>4</v>
      </c>
      <c r="Y273">
        <f t="shared" si="313"/>
        <v>10</v>
      </c>
      <c r="Z273">
        <f t="shared" si="314"/>
        <v>27</v>
      </c>
      <c r="AB273">
        <f t="shared" si="316"/>
        <v>27</v>
      </c>
      <c r="AC273">
        <v>4</v>
      </c>
      <c r="AD273">
        <v>1</v>
      </c>
      <c r="AE273" s="7">
        <f>Fencing!$C$15*(AB273+AC273+2)</f>
        <v>6.0142500000000005</v>
      </c>
      <c r="AF273" s="7">
        <f t="shared" si="317"/>
        <v>6.0142500000000005</v>
      </c>
      <c r="AH273" s="5">
        <f>Fencing!$C$26</f>
        <v>112.824</v>
      </c>
      <c r="AI273" s="5">
        <f>Fencing!$C$34</f>
        <v>36.384</v>
      </c>
      <c r="AJ273" s="5">
        <f>Fencing!$C$56</f>
        <v>539.4</v>
      </c>
      <c r="AK273">
        <f>Index!$C$69</f>
        <v>11.9580460758</v>
      </c>
      <c r="AL273" s="5">
        <f>Index!$C$53</f>
        <v>99.508928571428555</v>
      </c>
      <c r="AN273">
        <f t="shared" si="318"/>
        <v>3046.248</v>
      </c>
      <c r="AO273">
        <f t="shared" si="315"/>
        <v>145.536</v>
      </c>
      <c r="AP273">
        <f t="shared" si="315"/>
        <v>539.4</v>
      </c>
      <c r="AQ273">
        <f t="shared" si="315"/>
        <v>71.918678611380159</v>
      </c>
      <c r="AR273">
        <f t="shared" si="315"/>
        <v>598.47157366071428</v>
      </c>
      <c r="AS273">
        <v>300</v>
      </c>
      <c r="AT273">
        <f t="shared" si="319"/>
        <v>4401.5742522720948</v>
      </c>
    </row>
    <row r="274" spans="2:46" x14ac:dyDescent="0.25">
      <c r="C274">
        <f>VF!B257</f>
        <v>400</v>
      </c>
      <c r="D274">
        <f>VF!C257</f>
        <v>25.584085962673253</v>
      </c>
      <c r="E274">
        <f>VF!D257</f>
        <v>8.5280286542244177</v>
      </c>
      <c r="F274">
        <f>VF!E257</f>
        <v>25.884085962673254</v>
      </c>
      <c r="G274">
        <f>VF!F257</f>
        <v>8.8280286542244184</v>
      </c>
      <c r="J274">
        <f t="shared" si="302"/>
        <v>400</v>
      </c>
      <c r="K274">
        <f t="shared" si="303"/>
        <v>6</v>
      </c>
      <c r="L274">
        <f t="shared" si="304"/>
        <v>6.5</v>
      </c>
      <c r="M274">
        <f t="shared" si="305"/>
        <v>25</v>
      </c>
      <c r="O274">
        <f t="shared" ref="O274:P277" si="320">ROUNDUP((L274/2.75),0)</f>
        <v>3</v>
      </c>
      <c r="P274">
        <f t="shared" si="320"/>
        <v>10</v>
      </c>
      <c r="R274">
        <f t="shared" si="308"/>
        <v>1.75</v>
      </c>
      <c r="S274">
        <f t="shared" si="309"/>
        <v>2.5</v>
      </c>
      <c r="T274"/>
      <c r="U274">
        <f t="shared" ref="U274:V277" si="321">R274/2</f>
        <v>0.875</v>
      </c>
      <c r="V274">
        <f t="shared" si="321"/>
        <v>1.25</v>
      </c>
      <c r="X274">
        <f t="shared" si="312"/>
        <v>4</v>
      </c>
      <c r="Y274">
        <f t="shared" si="313"/>
        <v>10</v>
      </c>
      <c r="Z274">
        <f t="shared" si="314"/>
        <v>27</v>
      </c>
      <c r="AB274">
        <f t="shared" si="316"/>
        <v>27</v>
      </c>
      <c r="AC274">
        <v>4</v>
      </c>
      <c r="AD274">
        <v>1</v>
      </c>
      <c r="AE274" s="7">
        <f>Fencing!$C$15*(AB274+AC274+2)</f>
        <v>6.0142500000000005</v>
      </c>
      <c r="AF274" s="7">
        <f t="shared" si="317"/>
        <v>6.0142500000000005</v>
      </c>
      <c r="AH274" s="5">
        <f>Fencing!$C$26</f>
        <v>112.824</v>
      </c>
      <c r="AI274" s="5">
        <f>Fencing!$C$34</f>
        <v>36.384</v>
      </c>
      <c r="AJ274" s="5">
        <f>Fencing!$C$56</f>
        <v>539.4</v>
      </c>
      <c r="AK274">
        <f>Index!$C$69</f>
        <v>11.9580460758</v>
      </c>
      <c r="AL274" s="5">
        <f>Index!$C$53</f>
        <v>99.508928571428555</v>
      </c>
      <c r="AN274">
        <f t="shared" si="318"/>
        <v>3046.248</v>
      </c>
      <c r="AO274">
        <f t="shared" si="315"/>
        <v>145.536</v>
      </c>
      <c r="AP274">
        <f t="shared" si="315"/>
        <v>539.4</v>
      </c>
      <c r="AQ274">
        <f t="shared" si="315"/>
        <v>71.918678611380159</v>
      </c>
      <c r="AR274">
        <f t="shared" si="315"/>
        <v>598.47157366071428</v>
      </c>
      <c r="AS274">
        <v>400</v>
      </c>
      <c r="AT274">
        <f t="shared" si="319"/>
        <v>4401.5742522720948</v>
      </c>
    </row>
    <row r="275" spans="2:46" x14ac:dyDescent="0.25">
      <c r="C275">
        <f>VF!B258</f>
        <v>500</v>
      </c>
      <c r="D275">
        <f>VF!C258</f>
        <v>28.60387767736777</v>
      </c>
      <c r="E275">
        <f>VF!D258</f>
        <v>9.5346258924559226</v>
      </c>
      <c r="F275">
        <f>VF!E258</f>
        <v>28.90387767736777</v>
      </c>
      <c r="G275">
        <f>VF!F258</f>
        <v>9.8346258924559233</v>
      </c>
      <c r="J275">
        <f t="shared" si="302"/>
        <v>500</v>
      </c>
      <c r="K275">
        <f t="shared" si="303"/>
        <v>7</v>
      </c>
      <c r="L275">
        <f t="shared" si="304"/>
        <v>6.8999999999999995</v>
      </c>
      <c r="M275">
        <f t="shared" si="305"/>
        <v>25</v>
      </c>
      <c r="O275">
        <f t="shared" si="320"/>
        <v>3</v>
      </c>
      <c r="P275">
        <f t="shared" si="320"/>
        <v>10</v>
      </c>
      <c r="R275">
        <f t="shared" si="308"/>
        <v>1.3500000000000005</v>
      </c>
      <c r="S275">
        <f t="shared" si="309"/>
        <v>2.5</v>
      </c>
      <c r="T275"/>
      <c r="U275">
        <f t="shared" si="321"/>
        <v>0.67500000000000027</v>
      </c>
      <c r="V275">
        <f t="shared" si="321"/>
        <v>1.25</v>
      </c>
      <c r="X275">
        <f t="shared" si="312"/>
        <v>4</v>
      </c>
      <c r="Y275">
        <f t="shared" si="313"/>
        <v>10</v>
      </c>
      <c r="Z275">
        <f t="shared" si="314"/>
        <v>27</v>
      </c>
      <c r="AB275">
        <f t="shared" si="316"/>
        <v>27</v>
      </c>
      <c r="AC275">
        <v>4</v>
      </c>
      <c r="AD275">
        <v>1</v>
      </c>
      <c r="AE275" s="7">
        <f>Fencing!$C$15*(AB275+AC275+2)</f>
        <v>6.0142500000000005</v>
      </c>
      <c r="AF275" s="7">
        <f t="shared" si="317"/>
        <v>6.0142500000000005</v>
      </c>
      <c r="AH275" s="5">
        <f>Fencing!$C$26</f>
        <v>112.824</v>
      </c>
      <c r="AI275" s="5">
        <f>Fencing!$C$34</f>
        <v>36.384</v>
      </c>
      <c r="AJ275" s="5">
        <f>Fencing!$C$56</f>
        <v>539.4</v>
      </c>
      <c r="AK275">
        <f>Index!$C$69</f>
        <v>11.9580460758</v>
      </c>
      <c r="AL275" s="5">
        <f>Index!$C$53</f>
        <v>99.508928571428555</v>
      </c>
      <c r="AN275">
        <f t="shared" si="318"/>
        <v>3046.248</v>
      </c>
      <c r="AO275">
        <f t="shared" si="315"/>
        <v>145.536</v>
      </c>
      <c r="AP275">
        <f t="shared" si="315"/>
        <v>539.4</v>
      </c>
      <c r="AQ275">
        <f t="shared" si="315"/>
        <v>71.918678611380159</v>
      </c>
      <c r="AR275">
        <f t="shared" si="315"/>
        <v>598.47157366071428</v>
      </c>
      <c r="AS275">
        <v>500</v>
      </c>
      <c r="AT275">
        <f t="shared" si="319"/>
        <v>4401.5742522720948</v>
      </c>
    </row>
    <row r="276" spans="2:46" x14ac:dyDescent="0.25">
      <c r="C276">
        <f>VF!B259</f>
        <v>600</v>
      </c>
      <c r="D276">
        <f>VF!C259</f>
        <v>31.333978072025609</v>
      </c>
      <c r="E276">
        <f>VF!D259</f>
        <v>10.44465935734187</v>
      </c>
      <c r="F276">
        <f>VF!E259</f>
        <v>31.633978072025609</v>
      </c>
      <c r="G276">
        <f>VF!F259</f>
        <v>10.74465935734187</v>
      </c>
      <c r="J276">
        <f t="shared" si="302"/>
        <v>600</v>
      </c>
      <c r="K276">
        <f t="shared" si="303"/>
        <v>8</v>
      </c>
      <c r="L276">
        <f t="shared" si="304"/>
        <v>7.1999999999999993</v>
      </c>
      <c r="M276">
        <f t="shared" si="305"/>
        <v>25</v>
      </c>
      <c r="O276">
        <f t="shared" si="320"/>
        <v>3</v>
      </c>
      <c r="P276">
        <f t="shared" si="320"/>
        <v>10</v>
      </c>
      <c r="R276">
        <f t="shared" si="308"/>
        <v>1.0500000000000007</v>
      </c>
      <c r="S276">
        <f t="shared" si="309"/>
        <v>2.5</v>
      </c>
      <c r="T276"/>
      <c r="U276">
        <f t="shared" si="321"/>
        <v>0.52500000000000036</v>
      </c>
      <c r="V276">
        <f t="shared" si="321"/>
        <v>1.25</v>
      </c>
      <c r="X276">
        <f t="shared" si="312"/>
        <v>4</v>
      </c>
      <c r="Y276">
        <f t="shared" si="313"/>
        <v>10</v>
      </c>
      <c r="Z276">
        <f t="shared" si="314"/>
        <v>27</v>
      </c>
      <c r="AB276">
        <f t="shared" si="316"/>
        <v>27</v>
      </c>
      <c r="AC276">
        <v>4</v>
      </c>
      <c r="AD276">
        <v>1</v>
      </c>
      <c r="AE276" s="7">
        <f>Fencing!$C$15*(AB276+AC276+2)</f>
        <v>6.0142500000000005</v>
      </c>
      <c r="AF276" s="7">
        <f t="shared" si="317"/>
        <v>6.0142500000000005</v>
      </c>
      <c r="AH276" s="5">
        <f>Fencing!$C$26</f>
        <v>112.824</v>
      </c>
      <c r="AI276" s="5">
        <f>Fencing!$C$34</f>
        <v>36.384</v>
      </c>
      <c r="AJ276" s="5">
        <f>Fencing!$C$56</f>
        <v>539.4</v>
      </c>
      <c r="AK276">
        <f>Index!$C$69</f>
        <v>11.9580460758</v>
      </c>
      <c r="AL276" s="5">
        <f>Index!$C$53</f>
        <v>99.508928571428555</v>
      </c>
      <c r="AN276">
        <f t="shared" si="318"/>
        <v>3046.248</v>
      </c>
      <c r="AO276">
        <f t="shared" si="315"/>
        <v>145.536</v>
      </c>
      <c r="AP276">
        <f t="shared" si="315"/>
        <v>539.4</v>
      </c>
      <c r="AQ276">
        <f t="shared" si="315"/>
        <v>71.918678611380159</v>
      </c>
      <c r="AR276">
        <f t="shared" si="315"/>
        <v>598.47157366071428</v>
      </c>
      <c r="AS276">
        <v>600</v>
      </c>
      <c r="AT276">
        <f t="shared" si="319"/>
        <v>4401.5742522720948</v>
      </c>
    </row>
    <row r="277" spans="2:46" x14ac:dyDescent="0.25">
      <c r="C277">
        <f>VF!B260</f>
        <v>800</v>
      </c>
      <c r="D277">
        <f>VF!C260</f>
        <v>36.181361349331631</v>
      </c>
      <c r="E277">
        <f>VF!D260</f>
        <v>12.060453783110544</v>
      </c>
      <c r="F277">
        <f>VF!E260</f>
        <v>36.481361349331628</v>
      </c>
      <c r="G277">
        <f>VF!F260</f>
        <v>12.360453783110545</v>
      </c>
      <c r="J277">
        <f t="shared" si="302"/>
        <v>800</v>
      </c>
      <c r="K277">
        <f t="shared" si="303"/>
        <v>11</v>
      </c>
      <c r="L277">
        <f t="shared" si="304"/>
        <v>7</v>
      </c>
      <c r="M277">
        <f t="shared" si="305"/>
        <v>25</v>
      </c>
      <c r="O277">
        <f t="shared" si="320"/>
        <v>3</v>
      </c>
      <c r="P277">
        <f t="shared" si="320"/>
        <v>10</v>
      </c>
      <c r="R277">
        <f t="shared" si="308"/>
        <v>1.25</v>
      </c>
      <c r="S277">
        <f t="shared" si="309"/>
        <v>2.5</v>
      </c>
      <c r="T277"/>
      <c r="U277">
        <f t="shared" si="321"/>
        <v>0.625</v>
      </c>
      <c r="V277">
        <f t="shared" si="321"/>
        <v>1.25</v>
      </c>
      <c r="X277">
        <f t="shared" si="312"/>
        <v>4</v>
      </c>
      <c r="Y277">
        <f t="shared" si="313"/>
        <v>10</v>
      </c>
      <c r="Z277">
        <f t="shared" si="314"/>
        <v>27</v>
      </c>
      <c r="AB277">
        <f t="shared" si="316"/>
        <v>27</v>
      </c>
      <c r="AC277">
        <v>4</v>
      </c>
      <c r="AD277">
        <v>1</v>
      </c>
      <c r="AE277" s="7">
        <f>Fencing!$C$15*(AB277+AC277+2)</f>
        <v>6.0142500000000005</v>
      </c>
      <c r="AF277" s="7">
        <f t="shared" si="317"/>
        <v>6.0142500000000005</v>
      </c>
      <c r="AH277" s="5">
        <f>Fencing!$C$26</f>
        <v>112.824</v>
      </c>
      <c r="AI277" s="5">
        <f>Fencing!$C$34</f>
        <v>36.384</v>
      </c>
      <c r="AJ277" s="5">
        <f>Fencing!$C$56</f>
        <v>539.4</v>
      </c>
      <c r="AK277">
        <f>Index!$C$69</f>
        <v>11.9580460758</v>
      </c>
      <c r="AL277" s="5">
        <f>Index!$C$53</f>
        <v>99.508928571428555</v>
      </c>
      <c r="AN277">
        <f t="shared" si="318"/>
        <v>3046.248</v>
      </c>
      <c r="AO277">
        <f t="shared" si="315"/>
        <v>145.536</v>
      </c>
      <c r="AP277">
        <f t="shared" si="315"/>
        <v>539.4</v>
      </c>
      <c r="AQ277">
        <f t="shared" si="315"/>
        <v>71.918678611380159</v>
      </c>
      <c r="AR277">
        <f t="shared" si="315"/>
        <v>598.47157366071428</v>
      </c>
      <c r="AS277">
        <v>800</v>
      </c>
      <c r="AT277">
        <f t="shared" si="319"/>
        <v>4401.5742522720948</v>
      </c>
    </row>
    <row r="278" spans="2:46" x14ac:dyDescent="0.25">
      <c r="C278">
        <f>VF!B261</f>
        <v>1000</v>
      </c>
      <c r="D278">
        <f>VF!C261</f>
        <v>40.451991747794523</v>
      </c>
      <c r="E278">
        <f>VF!D261</f>
        <v>13.483997249264842</v>
      </c>
      <c r="F278">
        <f>VF!E261</f>
        <v>40.75199174779452</v>
      </c>
      <c r="G278">
        <f>VF!F261</f>
        <v>13.783997249264843</v>
      </c>
      <c r="J278">
        <f t="shared" si="302"/>
        <v>1000</v>
      </c>
      <c r="K278">
        <f t="shared" si="303"/>
        <v>14</v>
      </c>
      <c r="L278">
        <f t="shared" si="304"/>
        <v>6.8999999999999995</v>
      </c>
      <c r="M278">
        <f t="shared" si="305"/>
        <v>25</v>
      </c>
      <c r="O278">
        <f>ROUNDUP((L278/2.75),0)</f>
        <v>3</v>
      </c>
      <c r="P278">
        <f>ROUNDUP((M278/2.75),0)</f>
        <v>10</v>
      </c>
      <c r="R278">
        <f t="shared" si="308"/>
        <v>1.3500000000000005</v>
      </c>
      <c r="S278">
        <f t="shared" si="309"/>
        <v>2.5</v>
      </c>
      <c r="T278"/>
      <c r="U278">
        <f t="shared" ref="U278" si="322">R278/2</f>
        <v>0.67500000000000027</v>
      </c>
      <c r="V278">
        <f t="shared" ref="V278" si="323">S278/2</f>
        <v>1.25</v>
      </c>
      <c r="X278">
        <f t="shared" si="312"/>
        <v>4</v>
      </c>
      <c r="Y278">
        <f t="shared" si="313"/>
        <v>10</v>
      </c>
      <c r="Z278">
        <f t="shared" si="314"/>
        <v>27</v>
      </c>
      <c r="AB278">
        <f>Z278</f>
        <v>27</v>
      </c>
      <c r="AC278">
        <v>4</v>
      </c>
      <c r="AD278">
        <v>1</v>
      </c>
      <c r="AE278" s="7">
        <f>Fencing!$C$15*(AB278+AC278+2)</f>
        <v>6.0142500000000005</v>
      </c>
      <c r="AF278" s="7">
        <f t="shared" si="317"/>
        <v>6.0142500000000005</v>
      </c>
      <c r="AH278" s="5">
        <f>Fencing!$C$26</f>
        <v>112.824</v>
      </c>
      <c r="AI278" s="5">
        <f>Fencing!$C$34</f>
        <v>36.384</v>
      </c>
      <c r="AJ278" s="5">
        <f>Fencing!$C$56</f>
        <v>539.4</v>
      </c>
      <c r="AK278">
        <f>Index!$C$69</f>
        <v>11.9580460758</v>
      </c>
      <c r="AL278" s="5">
        <f>Index!$C$53</f>
        <v>99.508928571428555</v>
      </c>
      <c r="AN278">
        <f t="shared" ref="AN278" si="324">AB278*AH278</f>
        <v>3046.248</v>
      </c>
      <c r="AO278">
        <f t="shared" ref="AO278" si="325">AC278*AI278</f>
        <v>145.536</v>
      </c>
      <c r="AP278">
        <f t="shared" ref="AP278" si="326">AD278*AJ278</f>
        <v>539.4</v>
      </c>
      <c r="AQ278">
        <f t="shared" ref="AQ278" si="327">AE278*AK278</f>
        <v>71.918678611380159</v>
      </c>
      <c r="AR278">
        <f t="shared" ref="AR278" si="328">AF278*AL278</f>
        <v>598.47157366071428</v>
      </c>
      <c r="AS278">
        <v>1000</v>
      </c>
      <c r="AT278">
        <f t="shared" ref="AT278" si="329">SUM(AN278:AR278)</f>
        <v>4401.5742522720948</v>
      </c>
    </row>
    <row r="279" spans="2:46" x14ac:dyDescent="0.25">
      <c r="T279"/>
      <c r="AE279"/>
    </row>
    <row r="280" spans="2:46" x14ac:dyDescent="0.25">
      <c r="C280" t="str">
        <f>VF!B263</f>
        <v>Dry</v>
      </c>
      <c r="T280"/>
      <c r="AE280"/>
    </row>
    <row r="281" spans="2:46" x14ac:dyDescent="0.25">
      <c r="B281" t="str">
        <f>VF!A264</f>
        <v>PE</v>
      </c>
      <c r="C281" t="str">
        <f>VF!B264</f>
        <v>Length</v>
      </c>
      <c r="D281" t="str">
        <f>VF!C264</f>
        <v>Width</v>
      </c>
      <c r="E281" t="str">
        <f>VF!D264</f>
        <v>Tanks</v>
      </c>
      <c r="T281"/>
      <c r="AE281"/>
    </row>
    <row r="282" spans="2:46" x14ac:dyDescent="0.25">
      <c r="B282">
        <f>VF!A265</f>
        <v>5</v>
      </c>
      <c r="C282">
        <f>VF!B265</f>
        <v>0.9</v>
      </c>
      <c r="D282">
        <f>VF!C265</f>
        <v>2.69</v>
      </c>
      <c r="E282">
        <f>VF!D265</f>
        <v>1</v>
      </c>
      <c r="F282">
        <f>VF!E265</f>
        <v>1.2</v>
      </c>
      <c r="G282">
        <f>VF!F265</f>
        <v>2.9899999999999998</v>
      </c>
      <c r="T282"/>
      <c r="AE282"/>
    </row>
    <row r="283" spans="2:46" x14ac:dyDescent="0.25">
      <c r="B283">
        <f>VF!A266</f>
        <v>10</v>
      </c>
      <c r="C283">
        <f>VF!B266</f>
        <v>1.27</v>
      </c>
      <c r="D283">
        <f>VF!C266</f>
        <v>3.8</v>
      </c>
      <c r="E283">
        <f>VF!D266</f>
        <v>1</v>
      </c>
      <c r="F283">
        <f>VF!E266</f>
        <v>1.57</v>
      </c>
      <c r="G283">
        <f>VF!F266</f>
        <v>4.0999999999999996</v>
      </c>
      <c r="T283"/>
      <c r="AE283"/>
    </row>
    <row r="284" spans="2:46" x14ac:dyDescent="0.25">
      <c r="B284">
        <f>VF!A267</f>
        <v>20</v>
      </c>
      <c r="C284">
        <f>VF!B267</f>
        <v>1.79</v>
      </c>
      <c r="D284">
        <f>VF!C267</f>
        <v>5.37</v>
      </c>
      <c r="E284">
        <f>VF!D267</f>
        <v>1</v>
      </c>
      <c r="F284">
        <f>VF!E267</f>
        <v>2.09</v>
      </c>
      <c r="G284">
        <f>VF!F267</f>
        <v>5.67</v>
      </c>
      <c r="T284"/>
      <c r="AE284"/>
    </row>
    <row r="285" spans="2:46" x14ac:dyDescent="0.25">
      <c r="B285">
        <f>VF!A268</f>
        <v>30</v>
      </c>
      <c r="C285">
        <f>VF!B268</f>
        <v>2.1999999999999997</v>
      </c>
      <c r="D285">
        <f>VF!C268</f>
        <v>6.58</v>
      </c>
      <c r="E285">
        <f>VF!D268</f>
        <v>1</v>
      </c>
      <c r="F285">
        <f>VF!E268</f>
        <v>2.4999999999999996</v>
      </c>
      <c r="G285">
        <f>VF!F268</f>
        <v>6.88</v>
      </c>
      <c r="T285"/>
      <c r="AE285"/>
    </row>
    <row r="286" spans="2:46" x14ac:dyDescent="0.25">
      <c r="B286">
        <f>VF!A269</f>
        <v>50</v>
      </c>
      <c r="C286">
        <f>VF!B269</f>
        <v>2.8299999999999996</v>
      </c>
      <c r="D286">
        <f>VF!C269</f>
        <v>8.49</v>
      </c>
      <c r="E286">
        <f>VF!D269</f>
        <v>1</v>
      </c>
      <c r="F286">
        <f>VF!E269</f>
        <v>3.1299999999999994</v>
      </c>
      <c r="G286">
        <f>VF!F269</f>
        <v>8.7900000000000009</v>
      </c>
      <c r="T286"/>
      <c r="AE286"/>
    </row>
    <row r="287" spans="2:46" x14ac:dyDescent="0.25">
      <c r="B287">
        <f>VF!A270</f>
        <v>75</v>
      </c>
      <c r="C287">
        <f>VF!B270</f>
        <v>2.4499999999999997</v>
      </c>
      <c r="D287">
        <f>VF!C270</f>
        <v>7.35</v>
      </c>
      <c r="E287">
        <f>VF!D270</f>
        <v>2</v>
      </c>
      <c r="F287">
        <f>VF!E270</f>
        <v>2.7499999999999996</v>
      </c>
      <c r="G287">
        <f>VF!F270</f>
        <v>7.6499999999999995</v>
      </c>
      <c r="T287"/>
      <c r="AE287"/>
    </row>
    <row r="288" spans="2:46" x14ac:dyDescent="0.25">
      <c r="B288">
        <f>VF!A271</f>
        <v>100</v>
      </c>
      <c r="C288">
        <f>VF!B271</f>
        <v>2.8299999999999996</v>
      </c>
      <c r="D288">
        <f>VF!C271</f>
        <v>8.49</v>
      </c>
      <c r="E288">
        <f>VF!D271</f>
        <v>2</v>
      </c>
      <c r="F288">
        <f>VF!E271</f>
        <v>3.1299999999999994</v>
      </c>
      <c r="G288">
        <f>VF!F271</f>
        <v>8.7900000000000009</v>
      </c>
      <c r="T288"/>
      <c r="AE288"/>
    </row>
    <row r="289" spans="2:31" x14ac:dyDescent="0.25">
      <c r="B289">
        <f>VF!A272</f>
        <v>200</v>
      </c>
      <c r="C289">
        <f>VF!B272</f>
        <v>3.2699999999999996</v>
      </c>
      <c r="D289">
        <f>VF!C272</f>
        <v>9.7999999999999989</v>
      </c>
      <c r="E289">
        <f>VF!D272</f>
        <v>3</v>
      </c>
      <c r="F289">
        <f>VF!E272</f>
        <v>3.5699999999999994</v>
      </c>
      <c r="G289">
        <f>VF!F272</f>
        <v>10.1</v>
      </c>
      <c r="T289"/>
      <c r="AE289"/>
    </row>
    <row r="290" spans="2:31" x14ac:dyDescent="0.25">
      <c r="B290">
        <f>VF!A273</f>
        <v>300</v>
      </c>
      <c r="C290">
        <f>VF!B273</f>
        <v>2.8299999999999996</v>
      </c>
      <c r="D290">
        <f>VF!C273</f>
        <v>8.49</v>
      </c>
      <c r="E290">
        <f>VF!D273</f>
        <v>6</v>
      </c>
      <c r="F290">
        <f>VF!E273</f>
        <v>3.1299999999999994</v>
      </c>
      <c r="G290">
        <f>VF!F273</f>
        <v>8.7900000000000009</v>
      </c>
      <c r="T290"/>
      <c r="AE290"/>
    </row>
    <row r="291" spans="2:31" x14ac:dyDescent="0.25">
      <c r="B291">
        <f>VF!A274</f>
        <v>400</v>
      </c>
      <c r="C291">
        <f>VF!B274</f>
        <v>3.2699999999999996</v>
      </c>
      <c r="D291">
        <f>VF!C274</f>
        <v>9.7999999999999989</v>
      </c>
      <c r="E291">
        <f>VF!D274</f>
        <v>6</v>
      </c>
      <c r="F291">
        <f>VF!E274</f>
        <v>3.5699999999999994</v>
      </c>
      <c r="G291">
        <f>VF!F274</f>
        <v>10.1</v>
      </c>
      <c r="T291"/>
      <c r="AE291"/>
    </row>
    <row r="292" spans="2:31" x14ac:dyDescent="0.25">
      <c r="B292">
        <f>VF!A275</f>
        <v>500</v>
      </c>
      <c r="C292">
        <f>VF!B275</f>
        <v>3.17</v>
      </c>
      <c r="D292">
        <f>VF!C275</f>
        <v>9.49</v>
      </c>
      <c r="E292">
        <f>VF!D275</f>
        <v>8</v>
      </c>
      <c r="F292">
        <f>VF!E275</f>
        <v>3.4699999999999998</v>
      </c>
      <c r="G292">
        <f>VF!F275</f>
        <v>9.7900000000000009</v>
      </c>
      <c r="T292"/>
      <c r="AE292"/>
    </row>
    <row r="293" spans="2:31" x14ac:dyDescent="0.25">
      <c r="B293">
        <f>VF!A276</f>
        <v>600</v>
      </c>
      <c r="C293">
        <f>VF!B276</f>
        <v>3.2699999999999996</v>
      </c>
      <c r="D293">
        <f>VF!C276</f>
        <v>9.7999999999999989</v>
      </c>
      <c r="E293">
        <f>VF!D276</f>
        <v>9</v>
      </c>
      <c r="F293">
        <f>VF!E276</f>
        <v>3.5699999999999994</v>
      </c>
      <c r="G293">
        <f>VF!F276</f>
        <v>10.1</v>
      </c>
      <c r="T293"/>
      <c r="AE293"/>
    </row>
    <row r="294" spans="2:31" x14ac:dyDescent="0.25">
      <c r="B294">
        <f>VF!A277</f>
        <v>800</v>
      </c>
      <c r="C294">
        <f>VF!B277</f>
        <v>3.2699999999999996</v>
      </c>
      <c r="D294">
        <f>VF!C277</f>
        <v>9.7999999999999989</v>
      </c>
      <c r="E294">
        <f>VF!D277</f>
        <v>12</v>
      </c>
      <c r="F294">
        <f>VF!E277</f>
        <v>3.5699999999999994</v>
      </c>
      <c r="G294">
        <f>VF!F277</f>
        <v>10.1</v>
      </c>
      <c r="T294"/>
      <c r="AE294"/>
    </row>
    <row r="295" spans="2:31" x14ac:dyDescent="0.25">
      <c r="B295">
        <f>VF!A278</f>
        <v>1000</v>
      </c>
      <c r="C295">
        <f>VF!B278</f>
        <v>3.2699999999999996</v>
      </c>
      <c r="D295">
        <f>VF!C278</f>
        <v>9.7999999999999989</v>
      </c>
      <c r="E295">
        <f>VF!D278</f>
        <v>15</v>
      </c>
      <c r="F295">
        <f>VF!E278</f>
        <v>3.5699999999999994</v>
      </c>
      <c r="G295">
        <f>VF!F278</f>
        <v>10.1</v>
      </c>
      <c r="T295"/>
      <c r="AE295"/>
    </row>
    <row r="296" spans="2:31" x14ac:dyDescent="0.25">
      <c r="T296"/>
      <c r="AE296"/>
    </row>
    <row r="297" spans="2:31" x14ac:dyDescent="0.25">
      <c r="T297"/>
      <c r="AE297"/>
    </row>
    <row r="298" spans="2:31" x14ac:dyDescent="0.25">
      <c r="B298" t="str">
        <f t="shared" ref="B298:E311" si="330">A2</f>
        <v>PE</v>
      </c>
      <c r="C298" t="str">
        <f t="shared" si="330"/>
        <v>Cells</v>
      </c>
      <c r="D298" t="str">
        <f t="shared" si="330"/>
        <v>Length</v>
      </c>
      <c r="E298" t="str">
        <f t="shared" si="330"/>
        <v>Width</v>
      </c>
      <c r="T298"/>
      <c r="AE298"/>
    </row>
    <row r="299" spans="2:31" x14ac:dyDescent="0.25">
      <c r="B299">
        <f t="shared" si="330"/>
        <v>5</v>
      </c>
      <c r="C299">
        <f t="shared" si="330"/>
        <v>1</v>
      </c>
      <c r="D299">
        <f t="shared" si="330"/>
        <v>2.9000000000000004</v>
      </c>
      <c r="E299">
        <f t="shared" si="330"/>
        <v>5.6</v>
      </c>
      <c r="T299"/>
      <c r="AE299"/>
    </row>
    <row r="300" spans="2:31" x14ac:dyDescent="0.25">
      <c r="B300">
        <f t="shared" si="330"/>
        <v>10</v>
      </c>
      <c r="C300">
        <f t="shared" si="330"/>
        <v>1</v>
      </c>
      <c r="D300">
        <f t="shared" si="330"/>
        <v>3.7</v>
      </c>
      <c r="E300">
        <f t="shared" si="330"/>
        <v>7.8999999999999995</v>
      </c>
      <c r="T300"/>
      <c r="AE300"/>
    </row>
    <row r="301" spans="2:31" x14ac:dyDescent="0.25">
      <c r="B301">
        <f t="shared" si="330"/>
        <v>20</v>
      </c>
      <c r="C301">
        <f t="shared" si="330"/>
        <v>1</v>
      </c>
      <c r="D301">
        <f t="shared" si="330"/>
        <v>4.7</v>
      </c>
      <c r="E301">
        <f t="shared" si="330"/>
        <v>11.1</v>
      </c>
      <c r="T301"/>
      <c r="AE301"/>
    </row>
    <row r="302" spans="2:31" x14ac:dyDescent="0.25">
      <c r="B302">
        <f t="shared" si="330"/>
        <v>30</v>
      </c>
      <c r="C302">
        <f t="shared" si="330"/>
        <v>1</v>
      </c>
      <c r="D302">
        <f t="shared" si="330"/>
        <v>5.6</v>
      </c>
      <c r="E302">
        <f t="shared" si="330"/>
        <v>13.6</v>
      </c>
    </row>
    <row r="303" spans="2:31" x14ac:dyDescent="0.25">
      <c r="B303">
        <f t="shared" si="330"/>
        <v>50</v>
      </c>
      <c r="C303">
        <f t="shared" si="330"/>
        <v>1</v>
      </c>
      <c r="D303">
        <f t="shared" si="330"/>
        <v>6.8999999999999995</v>
      </c>
      <c r="E303">
        <f t="shared" si="330"/>
        <v>17.5</v>
      </c>
    </row>
    <row r="304" spans="2:31" x14ac:dyDescent="0.25">
      <c r="B304">
        <f t="shared" si="330"/>
        <v>75</v>
      </c>
      <c r="C304">
        <f t="shared" si="330"/>
        <v>2</v>
      </c>
      <c r="D304">
        <f t="shared" si="330"/>
        <v>4.5999999999999996</v>
      </c>
      <c r="E304">
        <f t="shared" si="330"/>
        <v>21.5</v>
      </c>
    </row>
    <row r="305" spans="2:15" x14ac:dyDescent="0.25">
      <c r="B305">
        <f t="shared" si="330"/>
        <v>100</v>
      </c>
      <c r="C305">
        <f t="shared" si="330"/>
        <v>2</v>
      </c>
      <c r="D305">
        <f t="shared" si="330"/>
        <v>5.1999999999999993</v>
      </c>
      <c r="E305">
        <f t="shared" si="330"/>
        <v>24.8</v>
      </c>
    </row>
    <row r="306" spans="2:15" x14ac:dyDescent="0.25">
      <c r="B306">
        <f t="shared" si="330"/>
        <v>150</v>
      </c>
      <c r="C306">
        <f t="shared" si="330"/>
        <v>2</v>
      </c>
      <c r="D306">
        <f t="shared" si="330"/>
        <v>7.1999999999999993</v>
      </c>
      <c r="E306">
        <f t="shared" si="330"/>
        <v>25</v>
      </c>
    </row>
    <row r="307" spans="2:15" x14ac:dyDescent="0.25">
      <c r="B307">
        <f t="shared" si="330"/>
        <v>200</v>
      </c>
      <c r="C307">
        <f t="shared" si="330"/>
        <v>3</v>
      </c>
      <c r="D307">
        <f t="shared" si="330"/>
        <v>6.5</v>
      </c>
      <c r="E307">
        <f t="shared" si="330"/>
        <v>25</v>
      </c>
    </row>
    <row r="308" spans="2:15" x14ac:dyDescent="0.25">
      <c r="B308">
        <f t="shared" si="330"/>
        <v>300</v>
      </c>
      <c r="C308">
        <f t="shared" si="330"/>
        <v>4</v>
      </c>
      <c r="D308">
        <f t="shared" si="330"/>
        <v>7.1999999999999993</v>
      </c>
      <c r="E308">
        <f t="shared" si="330"/>
        <v>25</v>
      </c>
    </row>
    <row r="309" spans="2:15" x14ac:dyDescent="0.25">
      <c r="B309">
        <f t="shared" si="330"/>
        <v>400</v>
      </c>
      <c r="C309">
        <f t="shared" si="330"/>
        <v>6</v>
      </c>
      <c r="D309">
        <f t="shared" si="330"/>
        <v>6.5</v>
      </c>
      <c r="E309">
        <f t="shared" si="330"/>
        <v>25</v>
      </c>
    </row>
    <row r="310" spans="2:15" x14ac:dyDescent="0.25">
      <c r="B310">
        <f t="shared" si="330"/>
        <v>500</v>
      </c>
      <c r="C310">
        <f t="shared" si="330"/>
        <v>7</v>
      </c>
      <c r="D310">
        <f t="shared" si="330"/>
        <v>6.8999999999999995</v>
      </c>
      <c r="E310">
        <f t="shared" si="330"/>
        <v>25</v>
      </c>
    </row>
    <row r="311" spans="2:15" x14ac:dyDescent="0.25">
      <c r="B311">
        <f t="shared" si="330"/>
        <v>600</v>
      </c>
      <c r="C311">
        <f t="shared" si="330"/>
        <v>8</v>
      </c>
      <c r="D311">
        <f t="shared" si="330"/>
        <v>7.1999999999999993</v>
      </c>
      <c r="E311">
        <f t="shared" si="330"/>
        <v>25</v>
      </c>
    </row>
    <row r="312" spans="2:15" x14ac:dyDescent="0.25">
      <c r="B312">
        <f t="shared" ref="B312:E313" si="331">A17</f>
        <v>800</v>
      </c>
      <c r="C312">
        <f t="shared" si="331"/>
        <v>11</v>
      </c>
      <c r="D312">
        <f t="shared" si="331"/>
        <v>7</v>
      </c>
      <c r="E312">
        <f t="shared" si="331"/>
        <v>25</v>
      </c>
    </row>
    <row r="313" spans="2:15" x14ac:dyDescent="0.25">
      <c r="B313">
        <f t="shared" si="331"/>
        <v>1000</v>
      </c>
      <c r="C313">
        <f t="shared" si="331"/>
        <v>14</v>
      </c>
      <c r="D313">
        <f t="shared" si="331"/>
        <v>6.8999999999999995</v>
      </c>
      <c r="E313">
        <f t="shared" si="331"/>
        <v>25</v>
      </c>
      <c r="O313">
        <f>(14110-7790)/7790</f>
        <v>0.81129653401797175</v>
      </c>
    </row>
    <row r="316" spans="2:15" x14ac:dyDescent="0.25">
      <c r="B316" t="str">
        <f t="shared" ref="B316:B323" si="332">B298</f>
        <v>PE</v>
      </c>
      <c r="C316" t="s">
        <v>150</v>
      </c>
      <c r="D316" t="s">
        <v>116</v>
      </c>
    </row>
    <row r="317" spans="2:15" x14ac:dyDescent="0.25">
      <c r="B317">
        <f t="shared" si="332"/>
        <v>5</v>
      </c>
      <c r="C317">
        <f>D299+F282</f>
        <v>4.1000000000000005</v>
      </c>
      <c r="D317">
        <f>E299</f>
        <v>5.6</v>
      </c>
    </row>
    <row r="318" spans="2:15" x14ac:dyDescent="0.25">
      <c r="B318">
        <f t="shared" si="332"/>
        <v>10</v>
      </c>
      <c r="C318">
        <f>D300+F283</f>
        <v>5.2700000000000005</v>
      </c>
      <c r="D318">
        <f>E300</f>
        <v>7.8999999999999995</v>
      </c>
    </row>
    <row r="319" spans="2:15" x14ac:dyDescent="0.25">
      <c r="B319">
        <f t="shared" si="332"/>
        <v>20</v>
      </c>
      <c r="C319">
        <f t="shared" ref="C319:C321" si="333">D301+F284</f>
        <v>6.79</v>
      </c>
      <c r="D319">
        <f t="shared" ref="D319:D321" si="334">E301</f>
        <v>11.1</v>
      </c>
    </row>
    <row r="320" spans="2:15" x14ac:dyDescent="0.25">
      <c r="B320">
        <f t="shared" si="332"/>
        <v>30</v>
      </c>
      <c r="C320">
        <f t="shared" si="333"/>
        <v>8.1</v>
      </c>
      <c r="D320">
        <f t="shared" si="334"/>
        <v>13.6</v>
      </c>
    </row>
    <row r="321" spans="2:4" x14ac:dyDescent="0.25">
      <c r="B321">
        <f t="shared" si="332"/>
        <v>50</v>
      </c>
      <c r="C321">
        <f t="shared" si="333"/>
        <v>10.029999999999999</v>
      </c>
      <c r="D321">
        <f t="shared" si="334"/>
        <v>17.5</v>
      </c>
    </row>
    <row r="322" spans="2:4" x14ac:dyDescent="0.25">
      <c r="B322">
        <f t="shared" si="332"/>
        <v>75</v>
      </c>
      <c r="C322">
        <f>D304+F287</f>
        <v>7.35</v>
      </c>
      <c r="D322">
        <f t="shared" ref="D322:D327" si="335">E304*2</f>
        <v>43</v>
      </c>
    </row>
    <row r="323" spans="2:4" x14ac:dyDescent="0.25">
      <c r="B323">
        <f t="shared" si="332"/>
        <v>100</v>
      </c>
      <c r="C323">
        <f>D305+F288</f>
        <v>8.3299999999999983</v>
      </c>
      <c r="D323">
        <f t="shared" si="335"/>
        <v>49.6</v>
      </c>
    </row>
    <row r="324" spans="2:4" x14ac:dyDescent="0.25">
      <c r="B324">
        <f t="shared" ref="B324:B330" si="336">B307</f>
        <v>200</v>
      </c>
      <c r="C324">
        <f>D306*2+F289</f>
        <v>17.97</v>
      </c>
      <c r="D324">
        <f t="shared" si="335"/>
        <v>50</v>
      </c>
    </row>
    <row r="325" spans="2:4" x14ac:dyDescent="0.25">
      <c r="B325">
        <f t="shared" si="336"/>
        <v>300</v>
      </c>
      <c r="C325">
        <f>D307*2+F290</f>
        <v>16.13</v>
      </c>
      <c r="D325">
        <f t="shared" si="335"/>
        <v>50</v>
      </c>
    </row>
    <row r="326" spans="2:4" x14ac:dyDescent="0.25">
      <c r="B326">
        <f t="shared" si="336"/>
        <v>400</v>
      </c>
      <c r="C326">
        <f>D308*3+F291</f>
        <v>25.169999999999998</v>
      </c>
      <c r="D326">
        <f t="shared" si="335"/>
        <v>50</v>
      </c>
    </row>
    <row r="327" spans="2:4" x14ac:dyDescent="0.25">
      <c r="B327">
        <f t="shared" si="336"/>
        <v>500</v>
      </c>
      <c r="C327">
        <f>D309*4+F292</f>
        <v>29.47</v>
      </c>
      <c r="D327">
        <f t="shared" si="335"/>
        <v>50</v>
      </c>
    </row>
    <row r="328" spans="2:4" x14ac:dyDescent="0.25">
      <c r="B328">
        <f t="shared" si="336"/>
        <v>600</v>
      </c>
      <c r="C328">
        <f>D311*4</f>
        <v>28.799999999999997</v>
      </c>
      <c r="D328">
        <f>E311*2+F293*2</f>
        <v>57.14</v>
      </c>
    </row>
    <row r="329" spans="2:4" x14ac:dyDescent="0.25">
      <c r="B329">
        <f t="shared" si="336"/>
        <v>800</v>
      </c>
      <c r="C329">
        <f>E312*4+1.5</f>
        <v>101.5</v>
      </c>
      <c r="D329">
        <f>D312*3+F294*3</f>
        <v>31.709999999999997</v>
      </c>
    </row>
    <row r="330" spans="2:4" x14ac:dyDescent="0.25">
      <c r="B330">
        <f t="shared" si="336"/>
        <v>1000</v>
      </c>
      <c r="C330">
        <f>E313*4+1.5</f>
        <v>101.5</v>
      </c>
      <c r="D330">
        <f>D313*4+F295*3</f>
        <v>38.309999999999995</v>
      </c>
    </row>
  </sheetData>
  <mergeCells count="22">
    <mergeCell ref="A259:G259"/>
    <mergeCell ref="AB262:AF262"/>
    <mergeCell ref="B190:B191"/>
    <mergeCell ref="C190:E190"/>
    <mergeCell ref="A138:H138"/>
    <mergeCell ref="A208:H208"/>
    <mergeCell ref="BM1:BW1"/>
    <mergeCell ref="BX1:CH1"/>
    <mergeCell ref="A1:H1"/>
    <mergeCell ref="CI1:CS1"/>
    <mergeCell ref="CT1:DD1"/>
    <mergeCell ref="I1:T1"/>
    <mergeCell ref="U1:AE1"/>
    <mergeCell ref="AF1:AP1"/>
    <mergeCell ref="AQ1:BA1"/>
    <mergeCell ref="BB1:BL1"/>
    <mergeCell ref="FH1:FR1"/>
    <mergeCell ref="DE1:DO1"/>
    <mergeCell ref="DP1:DZ1"/>
    <mergeCell ref="EA1:EK1"/>
    <mergeCell ref="EL1:EV1"/>
    <mergeCell ref="EW1:FG1"/>
  </mergeCells>
  <phoneticPr fontId="10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D3EC9-A585-4E70-81D6-3C1B71B7DEC7}">
  <sheetPr>
    <tabColor rgb="FFFFC000"/>
  </sheetPr>
  <dimension ref="B2:AG72"/>
  <sheetViews>
    <sheetView workbookViewId="0">
      <selection activeCell="K4" sqref="K4:K18"/>
    </sheetView>
  </sheetViews>
  <sheetFormatPr defaultRowHeight="15" x14ac:dyDescent="0.25"/>
  <cols>
    <col min="2" max="2" width="12" bestFit="1" customWidth="1"/>
    <col min="3" max="3" width="15" customWidth="1"/>
    <col min="4" max="4" width="15.42578125" bestFit="1" customWidth="1"/>
    <col min="9" max="9" width="12" bestFit="1" customWidth="1"/>
    <col min="22" max="22" width="11" bestFit="1" customWidth="1"/>
    <col min="29" max="29" width="12" bestFit="1" customWidth="1"/>
    <col min="33" max="33" width="12" bestFit="1" customWidth="1"/>
  </cols>
  <sheetData>
    <row r="2" spans="2:33" x14ac:dyDescent="0.25">
      <c r="K2" t="s">
        <v>625</v>
      </c>
      <c r="N2" t="s">
        <v>994</v>
      </c>
    </row>
    <row r="3" spans="2:33" x14ac:dyDescent="0.25">
      <c r="B3" t="str">
        <f>'Wet Well'!B9</f>
        <v>PE</v>
      </c>
      <c r="C3" t="str">
        <f>'Wet Well'!C9</f>
        <v>Wet Well Volume (m3)</v>
      </c>
      <c r="E3" t="s">
        <v>1575</v>
      </c>
      <c r="F3" t="s">
        <v>460</v>
      </c>
      <c r="G3" t="s">
        <v>1574</v>
      </c>
      <c r="I3" t="s">
        <v>1576</v>
      </c>
      <c r="K3" t="s">
        <v>129</v>
      </c>
      <c r="L3" t="s">
        <v>128</v>
      </c>
      <c r="N3" t="s">
        <v>63</v>
      </c>
      <c r="O3" t="s">
        <v>150</v>
      </c>
      <c r="P3" t="s">
        <v>116</v>
      </c>
      <c r="R3" t="s">
        <v>67</v>
      </c>
      <c r="T3" t="s">
        <v>14</v>
      </c>
      <c r="V3" t="s">
        <v>179</v>
      </c>
      <c r="X3" t="s">
        <v>14</v>
      </c>
      <c r="Y3" t="s">
        <v>151</v>
      </c>
      <c r="Z3" t="s">
        <v>459</v>
      </c>
      <c r="AB3" t="s">
        <v>1588</v>
      </c>
      <c r="AC3" t="s">
        <v>1589</v>
      </c>
      <c r="AD3" t="s">
        <v>1148</v>
      </c>
      <c r="AF3" t="s">
        <v>129</v>
      </c>
      <c r="AG3" t="s">
        <v>128</v>
      </c>
    </row>
    <row r="4" spans="2:33" x14ac:dyDescent="0.25">
      <c r="B4">
        <f>'Wet Well'!B11</f>
        <v>5</v>
      </c>
      <c r="C4">
        <f>'Wet Well'!C11</f>
        <v>3</v>
      </c>
      <c r="E4">
        <v>1</v>
      </c>
      <c r="F4">
        <v>3</v>
      </c>
      <c r="G4">
        <v>2014.8</v>
      </c>
      <c r="I4">
        <f>G4</f>
        <v>2014.8</v>
      </c>
      <c r="K4">
        <f>I4+AF4</f>
        <v>4245.1869418195101</v>
      </c>
      <c r="L4">
        <f>I4+AG4</f>
        <v>3321.2973576280428</v>
      </c>
      <c r="N4">
        <v>2.25</v>
      </c>
      <c r="O4">
        <v>2.8530000000000002</v>
      </c>
      <c r="P4">
        <v>1.2</v>
      </c>
      <c r="R4">
        <v>0.3</v>
      </c>
      <c r="T4">
        <f>(N4+R4*2)*(O4+R4*2)*(P4+R4*2)</f>
        <v>17.713889999999999</v>
      </c>
      <c r="V4">
        <f>T4-F4</f>
        <v>14.713889999999999</v>
      </c>
      <c r="X4">
        <v>11.9580460758</v>
      </c>
      <c r="Y4">
        <v>99.508928571428555</v>
      </c>
      <c r="Z4">
        <v>36.718627421191144</v>
      </c>
      <c r="AB4">
        <f>X$4*T4</f>
        <v>211.82351280165287</v>
      </c>
      <c r="AC4">
        <f>Y$4*V4</f>
        <v>1464.1634290178567</v>
      </c>
      <c r="AD4">
        <f>Z$4*V4</f>
        <v>540.27384482639013</v>
      </c>
      <c r="AF4">
        <f>AB4+AC4+G22</f>
        <v>2230.38694181951</v>
      </c>
      <c r="AG4">
        <f>AB4+AD4+G22</f>
        <v>1306.4973576280431</v>
      </c>
    </row>
    <row r="5" spans="2:33" x14ac:dyDescent="0.25">
      <c r="B5">
        <f>'Wet Well'!B12</f>
        <v>10</v>
      </c>
      <c r="C5">
        <f>'Wet Well'!C12</f>
        <v>6</v>
      </c>
      <c r="E5">
        <v>1</v>
      </c>
      <c r="F5">
        <v>6</v>
      </c>
      <c r="G5">
        <v>2548</v>
      </c>
      <c r="I5">
        <f>'GRP Costing'!D147</f>
        <v>2548</v>
      </c>
      <c r="K5">
        <f t="shared" ref="K5:K8" si="0">I5+AF5</f>
        <v>5631.727546687036</v>
      </c>
      <c r="L5">
        <f t="shared" ref="L5:L8" si="1">I5+AG5</f>
        <v>4247.352103047062</v>
      </c>
      <c r="N5">
        <v>2.5499999999999998</v>
      </c>
      <c r="O5">
        <v>3.64</v>
      </c>
      <c r="P5">
        <v>1.5</v>
      </c>
      <c r="R5">
        <v>0.3</v>
      </c>
      <c r="T5">
        <f>(N5+R5*2)*(O5+R5*2)*(P5+R5*2)</f>
        <v>28.047599999999999</v>
      </c>
      <c r="V5">
        <f t="shared" ref="V5:V8" si="2">T5-F5</f>
        <v>22.047599999999999</v>
      </c>
      <c r="AB5">
        <f t="shared" ref="AB5:AB8" si="3">X$4*T5</f>
        <v>335.3944931156081</v>
      </c>
      <c r="AC5">
        <f>Y$4*V5</f>
        <v>2193.933053571428</v>
      </c>
      <c r="AD5">
        <f t="shared" ref="AD5:AD8" si="4">Z$4*V5</f>
        <v>809.55760993145384</v>
      </c>
      <c r="AF5">
        <f t="shared" ref="AF5:AF8" si="5">AB5+AC5+G23</f>
        <v>3083.727546687036</v>
      </c>
      <c r="AG5">
        <f t="shared" ref="AG5:AG8" si="6">AB5+AD5+G23</f>
        <v>1699.352103047062</v>
      </c>
    </row>
    <row r="6" spans="2:33" x14ac:dyDescent="0.25">
      <c r="B6">
        <f>'Wet Well'!B13</f>
        <v>20</v>
      </c>
      <c r="C6">
        <f>'Wet Well'!C13</f>
        <v>12</v>
      </c>
      <c r="E6">
        <v>1</v>
      </c>
      <c r="F6">
        <v>14</v>
      </c>
      <c r="G6">
        <f>4148.8+286.6</f>
        <v>4435.4000000000005</v>
      </c>
      <c r="I6">
        <f>G6</f>
        <v>4435.4000000000005</v>
      </c>
      <c r="K6">
        <f t="shared" si="0"/>
        <v>9414.1358495039858</v>
      </c>
      <c r="L6">
        <f t="shared" si="1"/>
        <v>7016.1745625279245</v>
      </c>
      <c r="N6">
        <v>2.65</v>
      </c>
      <c r="O6">
        <v>5.78</v>
      </c>
      <c r="P6">
        <v>1.917</v>
      </c>
      <c r="R6">
        <v>0.3</v>
      </c>
      <c r="T6">
        <f>(N6+R6*2)*(O6+R6*2)*(P6+R6*2)</f>
        <v>52.189994999999996</v>
      </c>
      <c r="V6">
        <f t="shared" si="2"/>
        <v>38.189994999999996</v>
      </c>
      <c r="AB6">
        <f t="shared" si="3"/>
        <v>624.09036490577159</v>
      </c>
      <c r="AC6">
        <f>Y$4*V6</f>
        <v>3800.2454845982134</v>
      </c>
      <c r="AD6">
        <f t="shared" si="4"/>
        <v>1402.2841976221525</v>
      </c>
      <c r="AF6">
        <f t="shared" si="5"/>
        <v>4978.7358495039844</v>
      </c>
      <c r="AG6">
        <f t="shared" si="6"/>
        <v>2580.774562527924</v>
      </c>
    </row>
    <row r="7" spans="2:33" x14ac:dyDescent="0.25">
      <c r="B7">
        <f>'Wet Well'!B14</f>
        <v>30</v>
      </c>
      <c r="C7">
        <f>'Wet Well'!C14</f>
        <v>18</v>
      </c>
      <c r="E7">
        <v>1</v>
      </c>
      <c r="F7">
        <v>18</v>
      </c>
      <c r="G7">
        <v>5538</v>
      </c>
      <c r="I7">
        <f>'GRP Costing'!D151</f>
        <v>5538</v>
      </c>
      <c r="K7">
        <f>I7+AF7</f>
        <v>11147.893550054849</v>
      </c>
      <c r="L7">
        <f t="shared" si="1"/>
        <v>8421.3400055987004</v>
      </c>
      <c r="N7">
        <f>2.71+0.16</f>
        <v>2.87</v>
      </c>
      <c r="O7">
        <v>4.3170000000000002</v>
      </c>
      <c r="P7">
        <v>3</v>
      </c>
      <c r="R7">
        <v>0.3</v>
      </c>
      <c r="T7">
        <f>(N7+R7*2)*(O7+R7*2)*(P7+R7*2)</f>
        <v>61.423164000000007</v>
      </c>
      <c r="V7">
        <f>T7-F7</f>
        <v>43.423164000000007</v>
      </c>
      <c r="AB7">
        <f t="shared" si="3"/>
        <v>734.50102523341991</v>
      </c>
      <c r="AC7">
        <f>Y$4*V7</f>
        <v>4320.9925248214286</v>
      </c>
      <c r="AD7">
        <f>Z$4*V7</f>
        <v>1594.4389803652803</v>
      </c>
      <c r="AF7">
        <f t="shared" si="5"/>
        <v>5609.8935500548487</v>
      </c>
      <c r="AG7">
        <f t="shared" si="6"/>
        <v>2883.3400055987004</v>
      </c>
    </row>
    <row r="8" spans="2:33" x14ac:dyDescent="0.25">
      <c r="B8">
        <f>'Wet Well'!B15</f>
        <v>50</v>
      </c>
      <c r="C8">
        <f>'Wet Well'!C15</f>
        <v>30</v>
      </c>
      <c r="E8">
        <v>1</v>
      </c>
      <c r="F8">
        <v>30</v>
      </c>
      <c r="G8">
        <v>7177.2</v>
      </c>
      <c r="I8">
        <f>G8</f>
        <v>7177.2</v>
      </c>
      <c r="K8">
        <f t="shared" si="0"/>
        <v>14890.228116863669</v>
      </c>
      <c r="L8">
        <f t="shared" si="1"/>
        <v>11059.793701615048</v>
      </c>
      <c r="N8">
        <v>3.5</v>
      </c>
      <c r="O8">
        <v>6.56</v>
      </c>
      <c r="P8">
        <v>2.5</v>
      </c>
      <c r="R8">
        <v>0.3</v>
      </c>
      <c r="T8">
        <f>(N8+R8*2)*(O8+R8*2)*(P8+R8*2)</f>
        <v>91.003599999999992</v>
      </c>
      <c r="V8">
        <f t="shared" si="2"/>
        <v>61.003599999999992</v>
      </c>
      <c r="AB8">
        <f t="shared" si="3"/>
        <v>1088.2252418636729</v>
      </c>
      <c r="AC8">
        <f>Y$4*V8</f>
        <v>6070.4028749999979</v>
      </c>
      <c r="AD8">
        <f t="shared" si="4"/>
        <v>2239.9684597513756</v>
      </c>
      <c r="AF8">
        <f t="shared" si="5"/>
        <v>7713.0281168636702</v>
      </c>
      <c r="AG8">
        <f t="shared" si="6"/>
        <v>3882.5937016150488</v>
      </c>
    </row>
    <row r="9" spans="2:33" x14ac:dyDescent="0.25">
      <c r="B9">
        <f>'Wet Well'!B16</f>
        <v>75</v>
      </c>
      <c r="C9">
        <f>'Wet Well'!C16</f>
        <v>45</v>
      </c>
      <c r="E9">
        <v>1</v>
      </c>
      <c r="F9">
        <v>45</v>
      </c>
      <c r="G9">
        <v>9922.7999999999993</v>
      </c>
      <c r="I9">
        <f>I11/2</f>
        <v>32243.073411535031</v>
      </c>
      <c r="K9">
        <f>K11/2</f>
        <v>32520.273411535032</v>
      </c>
    </row>
    <row r="10" spans="2:33" x14ac:dyDescent="0.25">
      <c r="B10">
        <f>'Wet Well'!B17</f>
        <v>100</v>
      </c>
      <c r="C10">
        <f>'Wet Well'!C17</f>
        <v>60</v>
      </c>
      <c r="E10">
        <v>1</v>
      </c>
      <c r="F10">
        <v>60</v>
      </c>
      <c r="G10">
        <v>13182</v>
      </c>
      <c r="I10">
        <f>SAF!$FH$43</f>
        <v>43643.923095443286</v>
      </c>
      <c r="J10" t="s">
        <v>1577</v>
      </c>
      <c r="K10">
        <f>I10+G28</f>
        <v>44198.323095443287</v>
      </c>
    </row>
    <row r="11" spans="2:33" x14ac:dyDescent="0.25">
      <c r="B11">
        <f>'Wet Well'!B18</f>
        <v>150</v>
      </c>
      <c r="C11">
        <f>'Wet Well'!C18</f>
        <v>90</v>
      </c>
      <c r="E11">
        <v>2</v>
      </c>
      <c r="F11">
        <v>45</v>
      </c>
      <c r="G11">
        <v>19845.599999999999</v>
      </c>
      <c r="I11">
        <f>SAF!$GJ$43</f>
        <v>64486.146823070063</v>
      </c>
      <c r="K11">
        <f>I11+G29</f>
        <v>65040.546823070064</v>
      </c>
    </row>
    <row r="12" spans="2:33" x14ac:dyDescent="0.25">
      <c r="B12">
        <f>'Wet Well'!B19</f>
        <v>200</v>
      </c>
      <c r="C12">
        <f>'Wet Well'!C19</f>
        <v>120</v>
      </c>
      <c r="E12">
        <v>2</v>
      </c>
      <c r="F12">
        <v>60</v>
      </c>
      <c r="G12">
        <v>26364</v>
      </c>
      <c r="I12">
        <f>I10*2</f>
        <v>87287.846190886572</v>
      </c>
      <c r="K12">
        <f t="shared" ref="K12:K17" si="7">I12+G30</f>
        <v>87842.246190886566</v>
      </c>
    </row>
    <row r="13" spans="2:33" x14ac:dyDescent="0.25">
      <c r="B13">
        <f>'Wet Well'!B20</f>
        <v>300</v>
      </c>
      <c r="C13">
        <f>'Wet Well'!C20</f>
        <v>180</v>
      </c>
      <c r="E13">
        <v>3</v>
      </c>
      <c r="F13">
        <v>60</v>
      </c>
      <c r="G13">
        <v>39546</v>
      </c>
      <c r="I13">
        <f t="shared" ref="I13:I18" si="8">I$10*E13</f>
        <v>130931.76928632986</v>
      </c>
      <c r="K13">
        <f t="shared" si="7"/>
        <v>131486.16928632985</v>
      </c>
    </row>
    <row r="14" spans="2:33" x14ac:dyDescent="0.25">
      <c r="B14">
        <f>'Wet Well'!B21</f>
        <v>400</v>
      </c>
      <c r="C14">
        <f>'Wet Well'!C21</f>
        <v>240</v>
      </c>
      <c r="E14">
        <v>4</v>
      </c>
      <c r="F14">
        <v>60</v>
      </c>
      <c r="G14">
        <v>52728</v>
      </c>
      <c r="I14">
        <f t="shared" si="8"/>
        <v>174575.69238177314</v>
      </c>
      <c r="K14">
        <f t="shared" si="7"/>
        <v>175130.09238177314</v>
      </c>
    </row>
    <row r="15" spans="2:33" x14ac:dyDescent="0.25">
      <c r="B15">
        <f>'Wet Well'!B22</f>
        <v>500</v>
      </c>
      <c r="C15">
        <f>'Wet Well'!C22</f>
        <v>300</v>
      </c>
      <c r="E15">
        <v>5</v>
      </c>
      <c r="F15">
        <v>60</v>
      </c>
      <c r="G15">
        <v>65910</v>
      </c>
      <c r="I15">
        <f t="shared" si="8"/>
        <v>218219.61547721643</v>
      </c>
      <c r="K15">
        <f t="shared" si="7"/>
        <v>218820.81547721644</v>
      </c>
    </row>
    <row r="16" spans="2:33" x14ac:dyDescent="0.25">
      <c r="B16">
        <f>'Wet Well'!B23</f>
        <v>600</v>
      </c>
      <c r="C16">
        <f>'Wet Well'!C23</f>
        <v>360</v>
      </c>
      <c r="E16">
        <v>6</v>
      </c>
      <c r="F16">
        <v>60</v>
      </c>
      <c r="G16">
        <v>79092</v>
      </c>
      <c r="I16">
        <f t="shared" si="8"/>
        <v>261863.53857265972</v>
      </c>
      <c r="K16">
        <f t="shared" si="7"/>
        <v>262521.11857265973</v>
      </c>
    </row>
    <row r="17" spans="2:18" x14ac:dyDescent="0.25">
      <c r="B17">
        <f>'Wet Well'!B24</f>
        <v>800</v>
      </c>
      <c r="C17">
        <f>'Wet Well'!C24</f>
        <v>480</v>
      </c>
      <c r="E17">
        <v>8</v>
      </c>
      <c r="F17">
        <v>60</v>
      </c>
      <c r="G17">
        <v>105456</v>
      </c>
      <c r="I17">
        <f t="shared" si="8"/>
        <v>349151.38476354629</v>
      </c>
      <c r="K17">
        <f t="shared" si="7"/>
        <v>349898.9647635463</v>
      </c>
    </row>
    <row r="18" spans="2:18" x14ac:dyDescent="0.25">
      <c r="B18">
        <f>'Wet Well'!B25</f>
        <v>1000</v>
      </c>
      <c r="C18">
        <f>'Wet Well'!C25</f>
        <v>600</v>
      </c>
      <c r="E18">
        <v>10</v>
      </c>
      <c r="F18">
        <v>60</v>
      </c>
      <c r="G18">
        <v>131820</v>
      </c>
      <c r="I18">
        <f t="shared" si="8"/>
        <v>436439.23095443286</v>
      </c>
      <c r="K18">
        <f>I18+G36</f>
        <v>437228.95095443283</v>
      </c>
    </row>
    <row r="19" spans="2:18" x14ac:dyDescent="0.25">
      <c r="I19" t="s">
        <v>1578</v>
      </c>
      <c r="N19">
        <f>24*365.25</f>
        <v>8766</v>
      </c>
      <c r="Q19" s="1">
        <f>Index!C64</f>
        <v>35.634615384615387</v>
      </c>
      <c r="R19" s="1" t="str">
        <f>Index!D64</f>
        <v>per MWh</v>
      </c>
    </row>
    <row r="20" spans="2:18" x14ac:dyDescent="0.25">
      <c r="J20" t="s">
        <v>1599</v>
      </c>
    </row>
    <row r="21" spans="2:18" x14ac:dyDescent="0.25">
      <c r="B21" t="str">
        <f>'Wet Well'!K10</f>
        <v>Main</v>
      </c>
      <c r="C21" t="str">
        <f>'Wet Well'!L10</f>
        <v>Booster</v>
      </c>
      <c r="D21" t="str">
        <f>'Wet Well'!M10</f>
        <v>Bypass</v>
      </c>
      <c r="F21" t="s">
        <v>156</v>
      </c>
      <c r="G21" t="s">
        <v>326</v>
      </c>
      <c r="J21" t="str">
        <f t="shared" ref="J21:L21" si="9">B21</f>
        <v>Main</v>
      </c>
      <c r="K21" t="str">
        <f t="shared" si="9"/>
        <v>Booster</v>
      </c>
      <c r="L21" t="str">
        <f t="shared" si="9"/>
        <v>Bypass</v>
      </c>
      <c r="N21" t="s">
        <v>1600</v>
      </c>
      <c r="Q21" t="s">
        <v>326</v>
      </c>
    </row>
    <row r="22" spans="2:18" x14ac:dyDescent="0.25">
      <c r="B22" t="str">
        <f>'Wet Well'!K11</f>
        <v>APP SV 150A</v>
      </c>
      <c r="C22" t="str">
        <f>'Wet Well'!L11</f>
        <v>APP SV 150A</v>
      </c>
      <c r="D22" t="str">
        <f>'Wet Well'!M11</f>
        <v>APP SV 150A</v>
      </c>
      <c r="F22">
        <v>5</v>
      </c>
      <c r="G22">
        <f>C40*3</f>
        <v>554.40000000000009</v>
      </c>
      <c r="J22">
        <f>'Wet Well'!$F$52</f>
        <v>0.15</v>
      </c>
      <c r="K22">
        <f>'Wet Well'!$F$52</f>
        <v>0.15</v>
      </c>
      <c r="L22">
        <f>'Wet Well'!$F$52</f>
        <v>0.15</v>
      </c>
      <c r="N22">
        <f>J22*$N$19</f>
        <v>1314.8999999999999</v>
      </c>
      <c r="Q22">
        <f>$Q$19*(N22/1000)</f>
        <v>46.855955769230768</v>
      </c>
    </row>
    <row r="23" spans="2:18" x14ac:dyDescent="0.25">
      <c r="B23" t="str">
        <f>'Wet Well'!K12</f>
        <v>APP SV 150A</v>
      </c>
      <c r="C23" t="str">
        <f>'Wet Well'!L12</f>
        <v>APP SV 150A</v>
      </c>
      <c r="D23" t="str">
        <f>'Wet Well'!M12</f>
        <v>APP SV 150A</v>
      </c>
      <c r="F23">
        <v>10</v>
      </c>
      <c r="G23">
        <f>G22</f>
        <v>554.40000000000009</v>
      </c>
      <c r="J23">
        <f>'Wet Well'!$F$52</f>
        <v>0.15</v>
      </c>
      <c r="K23">
        <f>'Wet Well'!$F$52</f>
        <v>0.15</v>
      </c>
      <c r="L23">
        <f>'Wet Well'!$F$52</f>
        <v>0.15</v>
      </c>
      <c r="N23">
        <f t="shared" ref="N23:N35" si="10">J23*$N$19</f>
        <v>1314.8999999999999</v>
      </c>
      <c r="Q23">
        <f t="shared" ref="Q23:Q36" si="11">$Q$19*(N23/1000)</f>
        <v>46.855955769230768</v>
      </c>
    </row>
    <row r="24" spans="2:18" x14ac:dyDescent="0.25">
      <c r="B24" t="str">
        <f>'Wet Well'!K13</f>
        <v>APP SV 150A</v>
      </c>
      <c r="C24" t="str">
        <f>'Wet Well'!L13</f>
        <v>APP SV 150A</v>
      </c>
      <c r="D24" t="str">
        <f>'Wet Well'!M13</f>
        <v>APP SV 150A</v>
      </c>
      <c r="F24">
        <v>20</v>
      </c>
      <c r="G24">
        <f t="shared" ref="G24:G32" si="12">G23</f>
        <v>554.40000000000009</v>
      </c>
      <c r="J24">
        <f>'Wet Well'!$F$52</f>
        <v>0.15</v>
      </c>
      <c r="K24">
        <f>'Wet Well'!$F$52</f>
        <v>0.15</v>
      </c>
      <c r="L24">
        <f>'Wet Well'!$F$52</f>
        <v>0.15</v>
      </c>
      <c r="N24">
        <f t="shared" si="10"/>
        <v>1314.8999999999999</v>
      </c>
      <c r="Q24">
        <f t="shared" si="11"/>
        <v>46.855955769230768</v>
      </c>
    </row>
    <row r="25" spans="2:18" x14ac:dyDescent="0.25">
      <c r="B25" t="str">
        <f>'Wet Well'!K14</f>
        <v>APP SV 150A</v>
      </c>
      <c r="C25" t="str">
        <f>'Wet Well'!L14</f>
        <v>APP SV 150A</v>
      </c>
      <c r="D25" t="str">
        <f>'Wet Well'!M14</f>
        <v>APP SV 150A</v>
      </c>
      <c r="F25">
        <v>30</v>
      </c>
      <c r="G25">
        <f t="shared" si="12"/>
        <v>554.40000000000009</v>
      </c>
      <c r="J25">
        <f>'Wet Well'!$F$52</f>
        <v>0.15</v>
      </c>
      <c r="K25">
        <f>'Wet Well'!$F$52</f>
        <v>0.15</v>
      </c>
      <c r="L25">
        <f>'Wet Well'!$F$52</f>
        <v>0.15</v>
      </c>
      <c r="N25">
        <f t="shared" si="10"/>
        <v>1314.8999999999999</v>
      </c>
      <c r="Q25">
        <f t="shared" si="11"/>
        <v>46.855955769230768</v>
      </c>
    </row>
    <row r="26" spans="2:18" x14ac:dyDescent="0.25">
      <c r="B26" t="str">
        <f>'Wet Well'!K15</f>
        <v>APP SV 150A</v>
      </c>
      <c r="C26" t="str">
        <f>'Wet Well'!L15</f>
        <v>APP SV 150A</v>
      </c>
      <c r="D26" t="str">
        <f>'Wet Well'!M15</f>
        <v>APP SV 150A</v>
      </c>
      <c r="F26">
        <v>50</v>
      </c>
      <c r="G26">
        <f t="shared" si="12"/>
        <v>554.40000000000009</v>
      </c>
      <c r="J26">
        <f>'Wet Well'!$F$52</f>
        <v>0.15</v>
      </c>
      <c r="K26">
        <f>'Wet Well'!$F$52</f>
        <v>0.15</v>
      </c>
      <c r="L26">
        <f>'Wet Well'!$F$52</f>
        <v>0.15</v>
      </c>
      <c r="N26">
        <f t="shared" si="10"/>
        <v>1314.8999999999999</v>
      </c>
      <c r="Q26">
        <f t="shared" si="11"/>
        <v>46.855955769230768</v>
      </c>
    </row>
    <row r="27" spans="2:18" x14ac:dyDescent="0.25">
      <c r="B27" t="str">
        <f>'Wet Well'!K16</f>
        <v>APP SV 150A</v>
      </c>
      <c r="C27" t="str">
        <f>'Wet Well'!L16</f>
        <v>APP SV 150A</v>
      </c>
      <c r="D27" t="str">
        <f>'Wet Well'!M16</f>
        <v>APP SV 150A</v>
      </c>
      <c r="F27">
        <v>75</v>
      </c>
      <c r="G27">
        <f t="shared" si="12"/>
        <v>554.40000000000009</v>
      </c>
      <c r="J27">
        <f>'Wet Well'!$F$52</f>
        <v>0.15</v>
      </c>
      <c r="K27">
        <f>'Wet Well'!$F$52</f>
        <v>0.15</v>
      </c>
      <c r="L27">
        <f>'Wet Well'!$F$52</f>
        <v>0.15</v>
      </c>
      <c r="N27">
        <f t="shared" si="10"/>
        <v>1314.8999999999999</v>
      </c>
      <c r="Q27">
        <f t="shared" si="11"/>
        <v>46.855955769230768</v>
      </c>
    </row>
    <row r="28" spans="2:18" x14ac:dyDescent="0.25">
      <c r="B28" t="str">
        <f>'Wet Well'!K17</f>
        <v>APP SV 150A</v>
      </c>
      <c r="C28" t="str">
        <f>'Wet Well'!L17</f>
        <v>APP SV 150A</v>
      </c>
      <c r="D28" t="str">
        <f>'Wet Well'!M17</f>
        <v>APP SV 150A</v>
      </c>
      <c r="F28">
        <v>100</v>
      </c>
      <c r="G28">
        <f t="shared" si="12"/>
        <v>554.40000000000009</v>
      </c>
      <c r="J28">
        <f>'Wet Well'!$F$52</f>
        <v>0.15</v>
      </c>
      <c r="K28">
        <f>'Wet Well'!$F$52</f>
        <v>0.15</v>
      </c>
      <c r="L28">
        <f>'Wet Well'!$F$52</f>
        <v>0.15</v>
      </c>
      <c r="N28">
        <f t="shared" si="10"/>
        <v>1314.8999999999999</v>
      </c>
      <c r="Q28">
        <f t="shared" si="11"/>
        <v>46.855955769230768</v>
      </c>
    </row>
    <row r="29" spans="2:18" x14ac:dyDescent="0.25">
      <c r="B29" t="str">
        <f>'Wet Well'!K18</f>
        <v>APP SV 150A</v>
      </c>
      <c r="C29" t="str">
        <f>'Wet Well'!L18</f>
        <v>APP SV 150A</v>
      </c>
      <c r="D29" t="str">
        <f>'Wet Well'!M18</f>
        <v>APP SV 150A</v>
      </c>
      <c r="F29">
        <v>150</v>
      </c>
      <c r="G29">
        <f t="shared" si="12"/>
        <v>554.40000000000009</v>
      </c>
      <c r="J29">
        <f>'Wet Well'!$F$52</f>
        <v>0.15</v>
      </c>
      <c r="K29">
        <f>'Wet Well'!$F$52</f>
        <v>0.15</v>
      </c>
      <c r="L29">
        <f>'Wet Well'!$F$52</f>
        <v>0.15</v>
      </c>
      <c r="N29">
        <f t="shared" si="10"/>
        <v>1314.8999999999999</v>
      </c>
      <c r="Q29">
        <f t="shared" si="11"/>
        <v>46.855955769230768</v>
      </c>
    </row>
    <row r="30" spans="2:18" x14ac:dyDescent="0.25">
      <c r="B30" t="str">
        <f>'Wet Well'!K19</f>
        <v>APP SV 150A</v>
      </c>
      <c r="C30" t="str">
        <f>'Wet Well'!L19</f>
        <v>APP SV 150A</v>
      </c>
      <c r="D30" t="str">
        <f>'Wet Well'!M19</f>
        <v>APP SV 150A</v>
      </c>
      <c r="F30">
        <v>200</v>
      </c>
      <c r="G30">
        <f t="shared" si="12"/>
        <v>554.40000000000009</v>
      </c>
      <c r="J30">
        <f>'Wet Well'!$F$52</f>
        <v>0.15</v>
      </c>
      <c r="K30">
        <f>'Wet Well'!$F$52</f>
        <v>0.15</v>
      </c>
      <c r="L30">
        <f>'Wet Well'!$F$52</f>
        <v>0.15</v>
      </c>
      <c r="N30">
        <f t="shared" si="10"/>
        <v>1314.8999999999999</v>
      </c>
      <c r="Q30">
        <f t="shared" si="11"/>
        <v>46.855955769230768</v>
      </c>
    </row>
    <row r="31" spans="2:18" x14ac:dyDescent="0.25">
      <c r="B31" t="str">
        <f>'Wet Well'!K20</f>
        <v>APP SV 150A</v>
      </c>
      <c r="C31" t="str">
        <f>'Wet Well'!L20</f>
        <v>APP SV 150A</v>
      </c>
      <c r="D31" t="str">
        <f>'Wet Well'!M20</f>
        <v>APP SV 150A</v>
      </c>
      <c r="F31">
        <v>300</v>
      </c>
      <c r="G31">
        <f t="shared" si="12"/>
        <v>554.40000000000009</v>
      </c>
      <c r="J31">
        <f>'Wet Well'!$F$52</f>
        <v>0.15</v>
      </c>
      <c r="K31">
        <f>'Wet Well'!$F$52</f>
        <v>0.15</v>
      </c>
      <c r="L31">
        <f>'Wet Well'!$F$52</f>
        <v>0.15</v>
      </c>
      <c r="N31">
        <f t="shared" si="10"/>
        <v>1314.8999999999999</v>
      </c>
      <c r="Q31">
        <f t="shared" si="11"/>
        <v>46.855955769230768</v>
      </c>
    </row>
    <row r="32" spans="2:18" x14ac:dyDescent="0.25">
      <c r="B32" t="str">
        <f>'Wet Well'!K21</f>
        <v>APP SV 150A</v>
      </c>
      <c r="C32" t="str">
        <f>'Wet Well'!L21</f>
        <v>APP SV 150A</v>
      </c>
      <c r="D32" t="str">
        <f>'Wet Well'!M21</f>
        <v>APP SV 150A</v>
      </c>
      <c r="F32">
        <v>400</v>
      </c>
      <c r="G32">
        <f t="shared" si="12"/>
        <v>554.40000000000009</v>
      </c>
      <c r="J32">
        <f>'Wet Well'!$F$52</f>
        <v>0.15</v>
      </c>
      <c r="K32">
        <f>'Wet Well'!$F$52</f>
        <v>0.15</v>
      </c>
      <c r="L32">
        <f>'Wet Well'!$F$52</f>
        <v>0.15</v>
      </c>
      <c r="N32">
        <f t="shared" si="10"/>
        <v>1314.8999999999999</v>
      </c>
      <c r="Q32">
        <f t="shared" si="11"/>
        <v>46.855955769230768</v>
      </c>
    </row>
    <row r="33" spans="2:17" x14ac:dyDescent="0.25">
      <c r="B33" t="str">
        <f>'Wet Well'!K22</f>
        <v>APP SV 150A</v>
      </c>
      <c r="C33" t="str">
        <f>'Wet Well'!L22</f>
        <v>APP SV 150A</v>
      </c>
      <c r="D33" t="str">
        <f>'Wet Well'!M22</f>
        <v>APP SV 250A</v>
      </c>
      <c r="F33">
        <v>500</v>
      </c>
      <c r="G33">
        <f>C40*2+C43</f>
        <v>601.20000000000005</v>
      </c>
      <c r="J33">
        <f>'Wet Well'!$F$52</f>
        <v>0.15</v>
      </c>
      <c r="K33">
        <f>'Wet Well'!$F$52</f>
        <v>0.15</v>
      </c>
      <c r="L33">
        <f>'Wet Well'!$F$52</f>
        <v>0.15</v>
      </c>
      <c r="N33">
        <f t="shared" si="10"/>
        <v>1314.8999999999999</v>
      </c>
      <c r="Q33">
        <f t="shared" si="11"/>
        <v>46.855955769230768</v>
      </c>
    </row>
    <row r="34" spans="2:17" x14ac:dyDescent="0.25">
      <c r="B34" t="str">
        <f>'Wet Well'!K23</f>
        <v>APP SV 150A</v>
      </c>
      <c r="C34" t="str">
        <f>'Wet Well'!L23</f>
        <v>APP SV 150A</v>
      </c>
      <c r="D34" t="str">
        <f>'Wet Well'!M23</f>
        <v>Clarke HSEC</v>
      </c>
      <c r="F34">
        <v>600</v>
      </c>
      <c r="G34">
        <f>C40*2+C44</f>
        <v>657.58</v>
      </c>
      <c r="J34">
        <f>'Wet Well'!$F$52</f>
        <v>0.15</v>
      </c>
      <c r="K34">
        <f>'Wet Well'!$F$52</f>
        <v>0.15</v>
      </c>
      <c r="L34">
        <f>'Wet Well'!$F$49</f>
        <v>0.66500000000000004</v>
      </c>
      <c r="N34">
        <f t="shared" si="10"/>
        <v>1314.8999999999999</v>
      </c>
      <c r="Q34">
        <f t="shared" si="11"/>
        <v>46.855955769230768</v>
      </c>
    </row>
    <row r="35" spans="2:17" x14ac:dyDescent="0.25">
      <c r="B35" t="str">
        <f>'Wet Well'!K24</f>
        <v>Clarke HSEC</v>
      </c>
      <c r="C35" t="str">
        <f>'Wet Well'!L24</f>
        <v>APP SV 150A</v>
      </c>
      <c r="D35" t="str">
        <f>'Wet Well'!M24</f>
        <v>Clarke SWP900A</v>
      </c>
      <c r="F35">
        <v>800</v>
      </c>
      <c r="G35">
        <f>C41+C40+C44</f>
        <v>747.58</v>
      </c>
      <c r="J35">
        <f>'Wet Well'!$F$49</f>
        <v>0.66500000000000004</v>
      </c>
      <c r="K35">
        <f>'Wet Well'!$F$52</f>
        <v>0.15</v>
      </c>
      <c r="L35">
        <f>'Wet Well'!F42</f>
        <v>1.1000000000000001</v>
      </c>
      <c r="N35">
        <f t="shared" si="10"/>
        <v>5829.39</v>
      </c>
      <c r="Q35">
        <f t="shared" si="11"/>
        <v>207.7280705769231</v>
      </c>
    </row>
    <row r="36" spans="2:17" x14ac:dyDescent="0.25">
      <c r="B36" t="str">
        <f>'Wet Well'!K25</f>
        <v>Clarke HSEC</v>
      </c>
      <c r="C36" t="str">
        <f>'Wet Well'!L25</f>
        <v>APP SV 150A</v>
      </c>
      <c r="D36" t="str">
        <f>'Wet Well'!M25</f>
        <v>DAB Feka</v>
      </c>
      <c r="F36">
        <v>1000</v>
      </c>
      <c r="G36">
        <f>C41+C40+C42</f>
        <v>789.72</v>
      </c>
      <c r="J36">
        <f>'Wet Well'!$F$49</f>
        <v>0.66500000000000004</v>
      </c>
      <c r="K36">
        <f>'Wet Well'!$F$52</f>
        <v>0.15</v>
      </c>
      <c r="L36">
        <f>'Wet Well'!F43</f>
        <v>0.9</v>
      </c>
      <c r="N36">
        <f>J36*$N$19</f>
        <v>5829.39</v>
      </c>
      <c r="Q36">
        <f t="shared" si="11"/>
        <v>207.7280705769231</v>
      </c>
    </row>
    <row r="38" spans="2:17" x14ac:dyDescent="0.25">
      <c r="J38" s="122" t="s">
        <v>1624</v>
      </c>
      <c r="K38" s="122"/>
      <c r="L38" s="122"/>
      <c r="M38" s="122" t="s">
        <v>1625</v>
      </c>
      <c r="N38" s="122"/>
      <c r="O38" s="122"/>
    </row>
    <row r="39" spans="2:17" x14ac:dyDescent="0.25">
      <c r="J39" s="122" t="s">
        <v>1614</v>
      </c>
      <c r="K39" s="122"/>
      <c r="L39" s="122"/>
      <c r="M39" s="122" t="s">
        <v>1614</v>
      </c>
      <c r="N39" s="122"/>
      <c r="O39" s="122"/>
    </row>
    <row r="40" spans="2:17" x14ac:dyDescent="0.25">
      <c r="B40" t="str">
        <f>'Wet Well'!B52</f>
        <v>APP SV 150A</v>
      </c>
      <c r="C40">
        <f>'Wet Well'!D52</f>
        <v>184.8</v>
      </c>
      <c r="I40" t="s">
        <v>1613</v>
      </c>
      <c r="J40">
        <v>0</v>
      </c>
      <c r="K40">
        <v>3.5000000000000003E-2</v>
      </c>
      <c r="L40">
        <v>0.06</v>
      </c>
      <c r="M40">
        <v>0</v>
      </c>
      <c r="N40">
        <v>3.5000000000000003E-2</v>
      </c>
      <c r="O40">
        <v>0.06</v>
      </c>
    </row>
    <row r="41" spans="2:17" x14ac:dyDescent="0.25">
      <c r="B41" t="str">
        <f>'Wet Well'!B49</f>
        <v>Clarke HSEC 650A</v>
      </c>
      <c r="C41">
        <f>'Wet Well'!D49</f>
        <v>274.8</v>
      </c>
      <c r="I41">
        <v>1</v>
      </c>
      <c r="J41">
        <f>Q22</f>
        <v>46.855955769230768</v>
      </c>
      <c r="K41">
        <f>J41/((1+K$40)^I41)</f>
        <v>45.271454849498333</v>
      </c>
      <c r="L41">
        <f>J41/((1+L$40)^I41)</f>
        <v>44.203731857764872</v>
      </c>
      <c r="M41">
        <f>Q35</f>
        <v>207.7280705769231</v>
      </c>
      <c r="N41">
        <f>M41/((1+N$40)^I41)</f>
        <v>200.70344983277596</v>
      </c>
      <c r="O41">
        <f>M41/((1+O$40)^I41)</f>
        <v>195.96987790275764</v>
      </c>
    </row>
    <row r="42" spans="2:17" x14ac:dyDescent="0.25">
      <c r="B42" t="str">
        <f>'Wet Well'!B43</f>
        <v>DAB Feka</v>
      </c>
      <c r="C42">
        <f>'Wet Well'!D43</f>
        <v>330.12</v>
      </c>
      <c r="I42">
        <v>2</v>
      </c>
      <c r="J42">
        <f>J41</f>
        <v>46.855955769230768</v>
      </c>
      <c r="K42">
        <f t="shared" ref="K42:K70" si="13">J42/((1+K$40)^I42)</f>
        <v>43.74053608647182</v>
      </c>
      <c r="L42">
        <f t="shared" ref="L42:L70" si="14">J42/((1+L$40)^I42)</f>
        <v>41.701633828080062</v>
      </c>
      <c r="M42">
        <f>M41</f>
        <v>207.7280705769231</v>
      </c>
      <c r="N42">
        <f t="shared" ref="N42:N70" si="15">M42/((1+N$40)^I42)</f>
        <v>193.91637665002509</v>
      </c>
      <c r="O42">
        <f t="shared" ref="O42:O70" si="16">M42/((1+O$40)^I42)</f>
        <v>184.87724330448833</v>
      </c>
    </row>
    <row r="43" spans="2:17" x14ac:dyDescent="0.25">
      <c r="B43" t="str">
        <f>'Wet Well'!B53</f>
        <v>APP SV 250A</v>
      </c>
      <c r="C43">
        <f>'Wet Well'!D53</f>
        <v>231.6</v>
      </c>
      <c r="I43">
        <v>3</v>
      </c>
      <c r="J43">
        <f t="shared" ref="J43:J70" si="17">J42</f>
        <v>46.855955769230768</v>
      </c>
      <c r="K43">
        <f t="shared" si="13"/>
        <v>42.261387523161183</v>
      </c>
      <c r="L43">
        <f t="shared" si="14"/>
        <v>39.341163988754772</v>
      </c>
      <c r="M43">
        <f t="shared" ref="M43:M70" si="18">M42</f>
        <v>207.7280705769231</v>
      </c>
      <c r="N43">
        <f t="shared" si="15"/>
        <v>187.35881801934792</v>
      </c>
      <c r="O43">
        <f t="shared" si="16"/>
        <v>174.41249368347954</v>
      </c>
    </row>
    <row r="44" spans="2:17" x14ac:dyDescent="0.25">
      <c r="B44" t="str">
        <f>'Wet Well'!B50</f>
        <v>Clarke SWP900A</v>
      </c>
      <c r="C44">
        <f>'Wet Well'!D50</f>
        <v>287.98</v>
      </c>
      <c r="I44">
        <v>4</v>
      </c>
      <c r="J44">
        <f t="shared" si="17"/>
        <v>46.855955769230768</v>
      </c>
      <c r="K44">
        <f t="shared" si="13"/>
        <v>40.832258476484235</v>
      </c>
      <c r="L44">
        <f t="shared" si="14"/>
        <v>37.114305649768653</v>
      </c>
      <c r="M44">
        <f t="shared" si="18"/>
        <v>207.7280705769231</v>
      </c>
      <c r="N44">
        <f t="shared" si="15"/>
        <v>181.02301257908013</v>
      </c>
      <c r="O44">
        <f t="shared" si="16"/>
        <v>164.54008838064107</v>
      </c>
    </row>
    <row r="45" spans="2:17" x14ac:dyDescent="0.25">
      <c r="I45">
        <v>5</v>
      </c>
      <c r="J45">
        <f t="shared" si="17"/>
        <v>46.855955769230768</v>
      </c>
      <c r="K45">
        <f t="shared" si="13"/>
        <v>39.451457465202168</v>
      </c>
      <c r="L45">
        <f t="shared" si="14"/>
        <v>35.013495896008159</v>
      </c>
      <c r="M45">
        <f t="shared" si="18"/>
        <v>207.7280705769231</v>
      </c>
      <c r="N45">
        <f t="shared" si="15"/>
        <v>174.90146142906295</v>
      </c>
      <c r="O45">
        <f t="shared" si="16"/>
        <v>155.22649847230286</v>
      </c>
    </row>
    <row r="46" spans="2:17" x14ac:dyDescent="0.25">
      <c r="I46">
        <v>6</v>
      </c>
      <c r="J46">
        <f t="shared" si="17"/>
        <v>46.855955769230768</v>
      </c>
      <c r="K46">
        <f t="shared" si="13"/>
        <v>38.117350207924794</v>
      </c>
      <c r="L46">
        <f t="shared" si="14"/>
        <v>33.031599901894488</v>
      </c>
      <c r="M46">
        <f t="shared" si="18"/>
        <v>207.7280705769231</v>
      </c>
      <c r="N46">
        <f t="shared" si="15"/>
        <v>168.98691925513327</v>
      </c>
      <c r="O46">
        <f t="shared" si="16"/>
        <v>146.44009289839892</v>
      </c>
    </row>
    <row r="47" spans="2:17" x14ac:dyDescent="0.25">
      <c r="I47">
        <v>7</v>
      </c>
      <c r="J47">
        <f t="shared" si="17"/>
        <v>46.855955769230768</v>
      </c>
      <c r="K47">
        <f t="shared" si="13"/>
        <v>36.828357688816233</v>
      </c>
      <c r="L47">
        <f t="shared" si="14"/>
        <v>31.161886699900457</v>
      </c>
      <c r="M47">
        <f t="shared" si="18"/>
        <v>207.7280705769231</v>
      </c>
      <c r="N47">
        <f t="shared" si="15"/>
        <v>163.27238575375199</v>
      </c>
      <c r="O47">
        <f t="shared" si="16"/>
        <v>138.15103103622539</v>
      </c>
    </row>
    <row r="48" spans="2:17" x14ac:dyDescent="0.25">
      <c r="I48">
        <v>8</v>
      </c>
      <c r="J48">
        <f t="shared" si="17"/>
        <v>46.855955769230768</v>
      </c>
      <c r="K48">
        <f t="shared" si="13"/>
        <v>35.582954288711342</v>
      </c>
      <c r="L48">
        <f t="shared" si="14"/>
        <v>29.398006320660812</v>
      </c>
      <c r="M48">
        <f t="shared" si="18"/>
        <v>207.7280705769231</v>
      </c>
      <c r="N48">
        <f t="shared" si="15"/>
        <v>157.7510973466203</v>
      </c>
      <c r="O48">
        <f t="shared" si="16"/>
        <v>130.33116135492963</v>
      </c>
    </row>
    <row r="49" spans="9:15" x14ac:dyDescent="0.25">
      <c r="I49">
        <v>9</v>
      </c>
      <c r="J49">
        <f t="shared" si="17"/>
        <v>46.855955769230768</v>
      </c>
      <c r="K49">
        <f t="shared" si="13"/>
        <v>34.379665979431252</v>
      </c>
      <c r="L49">
        <f t="shared" si="14"/>
        <v>27.733968227038503</v>
      </c>
      <c r="M49">
        <f t="shared" si="18"/>
        <v>207.7280705769231</v>
      </c>
      <c r="N49">
        <f t="shared" si="15"/>
        <v>152.41651917547858</v>
      </c>
      <c r="O49">
        <f t="shared" si="16"/>
        <v>122.95392580653738</v>
      </c>
    </row>
    <row r="50" spans="9:15" x14ac:dyDescent="0.25">
      <c r="I50">
        <v>10</v>
      </c>
      <c r="J50">
        <f t="shared" si="17"/>
        <v>46.855955769230768</v>
      </c>
      <c r="K50">
        <f t="shared" si="13"/>
        <v>33.217068579160632</v>
      </c>
      <c r="L50">
        <f t="shared" si="14"/>
        <v>26.164120968904246</v>
      </c>
      <c r="M50">
        <f t="shared" si="18"/>
        <v>207.7280705769231</v>
      </c>
      <c r="N50">
        <f t="shared" si="15"/>
        <v>147.26233736761216</v>
      </c>
      <c r="O50">
        <f t="shared" si="16"/>
        <v>115.99426962880884</v>
      </c>
    </row>
    <row r="51" spans="9:15" x14ac:dyDescent="0.25">
      <c r="I51">
        <v>11</v>
      </c>
      <c r="J51">
        <f t="shared" si="17"/>
        <v>46.855955769230768</v>
      </c>
      <c r="K51">
        <f t="shared" si="13"/>
        <v>32.093786066821863</v>
      </c>
      <c r="L51">
        <f t="shared" si="14"/>
        <v>24.683132989532304</v>
      </c>
      <c r="M51">
        <f t="shared" si="18"/>
        <v>207.7280705769231</v>
      </c>
      <c r="N51">
        <f t="shared" si="15"/>
        <v>142.2824515629103</v>
      </c>
      <c r="O51">
        <f t="shared" si="16"/>
        <v>109.42855625359323</v>
      </c>
    </row>
    <row r="52" spans="9:15" x14ac:dyDescent="0.25">
      <c r="I52">
        <v>12</v>
      </c>
      <c r="J52">
        <f t="shared" si="17"/>
        <v>46.855955769230768</v>
      </c>
      <c r="K52">
        <f t="shared" si="13"/>
        <v>31.008488953451078</v>
      </c>
      <c r="L52">
        <f t="shared" si="14"/>
        <v>23.285974518426698</v>
      </c>
      <c r="M52">
        <f t="shared" si="18"/>
        <v>207.7280705769231</v>
      </c>
      <c r="N52">
        <f t="shared" si="15"/>
        <v>137.47096769363313</v>
      </c>
      <c r="O52">
        <f t="shared" si="16"/>
        <v>103.23448703169171</v>
      </c>
    </row>
    <row r="53" spans="9:15" x14ac:dyDescent="0.25">
      <c r="I53">
        <v>13</v>
      </c>
      <c r="J53">
        <f t="shared" si="17"/>
        <v>46.855955769230768</v>
      </c>
      <c r="K53">
        <f t="shared" si="13"/>
        <v>29.959892708648393</v>
      </c>
      <c r="L53">
        <f t="shared" si="14"/>
        <v>21.967900489081789</v>
      </c>
      <c r="M53">
        <f t="shared" si="18"/>
        <v>207.7280705769231</v>
      </c>
      <c r="N53">
        <f t="shared" si="15"/>
        <v>132.82219100834124</v>
      </c>
      <c r="O53">
        <f t="shared" si="16"/>
        <v>97.391025501595948</v>
      </c>
    </row>
    <row r="54" spans="9:15" x14ac:dyDescent="0.25">
      <c r="I54">
        <v>14</v>
      </c>
      <c r="J54">
        <f t="shared" si="17"/>
        <v>46.855955769230768</v>
      </c>
      <c r="K54">
        <f t="shared" si="13"/>
        <v>28.946756240239989</v>
      </c>
      <c r="L54">
        <f t="shared" si="14"/>
        <v>20.724434423662068</v>
      </c>
      <c r="M54">
        <f t="shared" si="18"/>
        <v>207.7280705769231</v>
      </c>
      <c r="N54">
        <f t="shared" si="15"/>
        <v>128.33061933173065</v>
      </c>
      <c r="O54">
        <f t="shared" si="16"/>
        <v>91.878325944901846</v>
      </c>
    </row>
    <row r="55" spans="9:15" x14ac:dyDescent="0.25">
      <c r="I55">
        <v>15</v>
      </c>
      <c r="J55">
        <f t="shared" si="17"/>
        <v>46.855955769230768</v>
      </c>
      <c r="K55">
        <f t="shared" si="13"/>
        <v>27.96788042535265</v>
      </c>
      <c r="L55">
        <f t="shared" si="14"/>
        <v>19.551353229869868</v>
      </c>
      <c r="M55">
        <f t="shared" si="18"/>
        <v>207.7280705769231</v>
      </c>
      <c r="N55">
        <f t="shared" si="15"/>
        <v>123.99093655239678</v>
      </c>
      <c r="O55">
        <f t="shared" si="16"/>
        <v>86.677665985756434</v>
      </c>
    </row>
    <row r="56" spans="9:15" x14ac:dyDescent="0.25">
      <c r="I56">
        <v>16</v>
      </c>
      <c r="J56">
        <f t="shared" si="17"/>
        <v>46.855955769230768</v>
      </c>
      <c r="K56">
        <f t="shared" si="13"/>
        <v>27.022106691161987</v>
      </c>
      <c r="L56">
        <f t="shared" si="14"/>
        <v>18.444672858367806</v>
      </c>
      <c r="M56">
        <f t="shared" si="18"/>
        <v>207.7280705769231</v>
      </c>
      <c r="N56">
        <f t="shared" si="15"/>
        <v>119.79800633081815</v>
      </c>
      <c r="O56">
        <f t="shared" si="16"/>
        <v>81.771383005430621</v>
      </c>
    </row>
    <row r="57" spans="9:15" x14ac:dyDescent="0.25">
      <c r="I57">
        <v>17</v>
      </c>
      <c r="J57">
        <f t="shared" si="17"/>
        <v>46.855955769230768</v>
      </c>
      <c r="K57">
        <f t="shared" si="13"/>
        <v>26.108315643634771</v>
      </c>
      <c r="L57">
        <f t="shared" si="14"/>
        <v>17.400634772045098</v>
      </c>
      <c r="M57">
        <f t="shared" si="18"/>
        <v>207.7280705769231</v>
      </c>
      <c r="N57">
        <f t="shared" si="15"/>
        <v>115.74686602011417</v>
      </c>
      <c r="O57">
        <f t="shared" si="16"/>
        <v>77.142814156066606</v>
      </c>
    </row>
    <row r="58" spans="9:15" x14ac:dyDescent="0.25">
      <c r="I58">
        <v>18</v>
      </c>
      <c r="J58">
        <f t="shared" si="17"/>
        <v>46.855955769230768</v>
      </c>
      <c r="K58">
        <f t="shared" si="13"/>
        <v>25.225425742642294</v>
      </c>
      <c r="L58">
        <f t="shared" si="14"/>
        <v>16.415693181174621</v>
      </c>
      <c r="M58">
        <f t="shared" si="18"/>
        <v>207.7280705769231</v>
      </c>
      <c r="N58">
        <f t="shared" si="15"/>
        <v>111.83272079238085</v>
      </c>
      <c r="O58">
        <f t="shared" si="16"/>
        <v>72.776239769874167</v>
      </c>
    </row>
    <row r="59" spans="9:15" x14ac:dyDescent="0.25">
      <c r="I59">
        <v>19</v>
      </c>
      <c r="J59">
        <f t="shared" si="17"/>
        <v>46.855955769230768</v>
      </c>
      <c r="K59">
        <f t="shared" si="13"/>
        <v>24.372392021876614</v>
      </c>
      <c r="L59">
        <f t="shared" si="14"/>
        <v>15.486503001108131</v>
      </c>
      <c r="M59">
        <f t="shared" si="18"/>
        <v>207.7280705769231</v>
      </c>
      <c r="N59">
        <f t="shared" si="15"/>
        <v>108.050937963653</v>
      </c>
      <c r="O59">
        <f t="shared" si="16"/>
        <v>68.656829971579384</v>
      </c>
    </row>
    <row r="60" spans="9:15" x14ac:dyDescent="0.25">
      <c r="I60">
        <v>20</v>
      </c>
      <c r="J60">
        <f t="shared" si="17"/>
        <v>46.855955769230768</v>
      </c>
      <c r="K60">
        <f t="shared" si="13"/>
        <v>23.548204852054702</v>
      </c>
      <c r="L60">
        <f t="shared" si="14"/>
        <v>14.609908491611444</v>
      </c>
      <c r="M60">
        <f t="shared" si="18"/>
        <v>207.7280705769231</v>
      </c>
      <c r="N60">
        <f t="shared" si="15"/>
        <v>104.39704151077586</v>
      </c>
      <c r="O60">
        <f t="shared" si="16"/>
        <v>64.770594312810744</v>
      </c>
    </row>
    <row r="61" spans="9:15" x14ac:dyDescent="0.25">
      <c r="I61">
        <v>21</v>
      </c>
      <c r="J61">
        <f t="shared" si="17"/>
        <v>46.855955769230768</v>
      </c>
      <c r="K61">
        <f t="shared" si="13"/>
        <v>22.751888745946577</v>
      </c>
      <c r="L61">
        <f t="shared" si="14"/>
        <v>13.782932539256077</v>
      </c>
      <c r="M61">
        <f t="shared" si="18"/>
        <v>207.7280705769231</v>
      </c>
      <c r="N61">
        <f t="shared" si="15"/>
        <v>100.86670677369651</v>
      </c>
      <c r="O61">
        <f t="shared" si="16"/>
        <v>61.10433425736862</v>
      </c>
    </row>
    <row r="62" spans="9:15" x14ac:dyDescent="0.25">
      <c r="I62">
        <v>22</v>
      </c>
      <c r="J62">
        <f t="shared" si="17"/>
        <v>46.855955769230768</v>
      </c>
      <c r="K62">
        <f t="shared" si="13"/>
        <v>21.982501203813115</v>
      </c>
      <c r="L62">
        <f t="shared" si="14"/>
        <v>13.002766546467996</v>
      </c>
      <c r="M62">
        <f t="shared" si="18"/>
        <v>207.7280705769231</v>
      </c>
      <c r="N62">
        <f t="shared" si="15"/>
        <v>97.455755336904829</v>
      </c>
      <c r="O62">
        <f t="shared" si="16"/>
        <v>57.645598356008129</v>
      </c>
    </row>
    <row r="63" spans="9:15" x14ac:dyDescent="0.25">
      <c r="I63">
        <v>23</v>
      </c>
      <c r="J63">
        <f t="shared" si="17"/>
        <v>46.855955769230768</v>
      </c>
      <c r="K63">
        <f t="shared" si="13"/>
        <v>21.23913159788707</v>
      </c>
      <c r="L63">
        <f t="shared" si="14"/>
        <v>12.266760892894334</v>
      </c>
      <c r="M63">
        <f t="shared" si="18"/>
        <v>207.7280705769231</v>
      </c>
      <c r="N63">
        <f t="shared" si="15"/>
        <v>94.160150083966016</v>
      </c>
      <c r="O63">
        <f t="shared" si="16"/>
        <v>54.382639958498224</v>
      </c>
    </row>
    <row r="64" spans="9:15" x14ac:dyDescent="0.25">
      <c r="I64">
        <v>24</v>
      </c>
      <c r="J64">
        <f t="shared" si="17"/>
        <v>46.855955769230768</v>
      </c>
      <c r="K64">
        <f t="shared" si="13"/>
        <v>20.520900094576884</v>
      </c>
      <c r="L64">
        <f t="shared" si="14"/>
        <v>11.572415936692771</v>
      </c>
      <c r="M64">
        <f t="shared" si="18"/>
        <v>207.7280705769231</v>
      </c>
      <c r="N64">
        <f t="shared" si="15"/>
        <v>90.975990419290866</v>
      </c>
      <c r="O64">
        <f t="shared" si="16"/>
        <v>51.304377319337952</v>
      </c>
    </row>
    <row r="65" spans="9:15" x14ac:dyDescent="0.25">
      <c r="I65">
        <v>25</v>
      </c>
      <c r="J65">
        <f t="shared" si="17"/>
        <v>46.855955769230768</v>
      </c>
      <c r="K65">
        <f t="shared" si="13"/>
        <v>19.826956613117762</v>
      </c>
      <c r="L65">
        <f t="shared" si="14"/>
        <v>10.917373525181858</v>
      </c>
      <c r="M65">
        <f t="shared" si="18"/>
        <v>207.7280705769231</v>
      </c>
      <c r="N65">
        <f t="shared" si="15"/>
        <v>87.899507651488761</v>
      </c>
      <c r="O65">
        <f t="shared" si="16"/>
        <v>48.400355961639583</v>
      </c>
    </row>
    <row r="66" spans="9:15" x14ac:dyDescent="0.25">
      <c r="I66">
        <v>26</v>
      </c>
      <c r="J66">
        <f t="shared" si="17"/>
        <v>46.855955769230768</v>
      </c>
      <c r="K66">
        <f t="shared" si="13"/>
        <v>19.156479819437454</v>
      </c>
      <c r="L66">
        <f t="shared" si="14"/>
        <v>10.299408986020621</v>
      </c>
      <c r="M66">
        <f t="shared" si="18"/>
        <v>207.7280705769231</v>
      </c>
      <c r="N66">
        <f t="shared" si="15"/>
        <v>84.927060532839391</v>
      </c>
      <c r="O66">
        <f t="shared" si="16"/>
        <v>45.660713171358097</v>
      </c>
    </row>
    <row r="67" spans="9:15" x14ac:dyDescent="0.25">
      <c r="I67">
        <v>27</v>
      </c>
      <c r="J67">
        <f t="shared" si="17"/>
        <v>46.855955769230768</v>
      </c>
      <c r="K67">
        <f t="shared" si="13"/>
        <v>18.508676154045848</v>
      </c>
      <c r="L67">
        <f t="shared" si="14"/>
        <v>9.7164235717175647</v>
      </c>
      <c r="M67">
        <f t="shared" si="18"/>
        <v>207.7280705769231</v>
      </c>
      <c r="N67">
        <f t="shared" si="15"/>
        <v>82.055130949603267</v>
      </c>
      <c r="O67">
        <f t="shared" si="16"/>
        <v>43.076144501281213</v>
      </c>
    </row>
    <row r="68" spans="9:15" x14ac:dyDescent="0.25">
      <c r="I68">
        <v>28</v>
      </c>
      <c r="J68">
        <f t="shared" si="17"/>
        <v>46.855955769230768</v>
      </c>
      <c r="K68">
        <f t="shared" si="13"/>
        <v>17.882778892797919</v>
      </c>
      <c r="L68">
        <f t="shared" si="14"/>
        <v>9.1664373318090231</v>
      </c>
      <c r="M68">
        <f t="shared" si="18"/>
        <v>207.7280705769231</v>
      </c>
      <c r="N68">
        <f t="shared" si="15"/>
        <v>79.280319758070789</v>
      </c>
      <c r="O68">
        <f t="shared" si="16"/>
        <v>40.637872171020007</v>
      </c>
    </row>
    <row r="69" spans="9:15" x14ac:dyDescent="0.25">
      <c r="I69">
        <v>29</v>
      </c>
      <c r="J69">
        <f t="shared" si="17"/>
        <v>46.855955769230768</v>
      </c>
      <c r="K69">
        <f t="shared" si="13"/>
        <v>17.278047239418285</v>
      </c>
      <c r="L69">
        <f t="shared" si="14"/>
        <v>8.6475823884990781</v>
      </c>
      <c r="M69">
        <f t="shared" si="18"/>
        <v>207.7280705769231</v>
      </c>
      <c r="N69">
        <f t="shared" si="15"/>
        <v>76.59934276142107</v>
      </c>
      <c r="O69">
        <f t="shared" si="16"/>
        <v>38.337615255679253</v>
      </c>
    </row>
    <row r="70" spans="9:15" x14ac:dyDescent="0.25">
      <c r="I70">
        <v>30</v>
      </c>
      <c r="J70">
        <f t="shared" si="17"/>
        <v>46.855955769230768</v>
      </c>
      <c r="K70">
        <f t="shared" si="13"/>
        <v>16.693765448713318</v>
      </c>
      <c r="L70">
        <f t="shared" si="14"/>
        <v>8.1580965929236591</v>
      </c>
      <c r="M70">
        <f t="shared" si="18"/>
        <v>207.7280705769231</v>
      </c>
      <c r="N70">
        <f t="shared" si="15"/>
        <v>74.009026822629053</v>
      </c>
      <c r="O70">
        <f t="shared" si="16"/>
        <v>36.167561561961556</v>
      </c>
    </row>
    <row r="71" spans="9:15" x14ac:dyDescent="0.25">
      <c r="I71" t="s">
        <v>1615</v>
      </c>
    </row>
    <row r="72" spans="9:15" x14ac:dyDescent="0.25">
      <c r="J72">
        <f>SUM(J41:J70)</f>
        <v>1405.6786730769231</v>
      </c>
      <c r="K72">
        <f t="shared" ref="K72:O72" si="19">SUM(K41:K70)</f>
        <v>861.77686630050039</v>
      </c>
      <c r="L72">
        <f t="shared" si="19"/>
        <v>644.96431960511779</v>
      </c>
      <c r="M72">
        <f>SUM(M41:M70)</f>
        <v>6231.8421173076977</v>
      </c>
      <c r="N72">
        <f t="shared" si="19"/>
        <v>3820.5441072655535</v>
      </c>
      <c r="O72">
        <f t="shared" si="19"/>
        <v>2859.3418169160232</v>
      </c>
    </row>
  </sheetData>
  <mergeCells count="4">
    <mergeCell ref="J39:L39"/>
    <mergeCell ref="J38:L38"/>
    <mergeCell ref="M38:O38"/>
    <mergeCell ref="M39:O3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9F3BD-614C-44B7-BA88-50458435E605}">
  <sheetPr>
    <tabColor theme="7"/>
  </sheetPr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7EFB1-4131-4EEB-B71A-A2B8C5EFCF63}">
  <dimension ref="C9:AB30"/>
  <sheetViews>
    <sheetView topLeftCell="A7" zoomScale="120" zoomScaleNormal="120" workbookViewId="0">
      <selection activeCell="I31" sqref="I31"/>
    </sheetView>
  </sheetViews>
  <sheetFormatPr defaultRowHeight="15" x14ac:dyDescent="0.25"/>
  <sheetData>
    <row r="9" spans="3:28" x14ac:dyDescent="0.25">
      <c r="N9">
        <v>13779.455545319981</v>
      </c>
      <c r="O9">
        <v>15723.982593066907</v>
      </c>
      <c r="P9">
        <v>21360.128970079717</v>
      </c>
      <c r="Q9">
        <v>24451.084834520039</v>
      </c>
      <c r="R9">
        <v>30215.028320482714</v>
      </c>
      <c r="S9">
        <v>42847.463113568629</v>
      </c>
      <c r="T9">
        <v>50599.927129150536</v>
      </c>
      <c r="U9">
        <v>63871.612307302712</v>
      </c>
      <c r="V9">
        <v>82244.821955361025</v>
      </c>
      <c r="W9">
        <v>115449.60551538374</v>
      </c>
      <c r="X9">
        <v>152729.29501321726</v>
      </c>
      <c r="Y9">
        <v>183303.02202537656</v>
      </c>
      <c r="Z9">
        <v>212920.25220164689</v>
      </c>
      <c r="AA9">
        <v>261455.72773177538</v>
      </c>
      <c r="AB9">
        <v>291298.03941776033</v>
      </c>
    </row>
    <row r="11" spans="3:28" x14ac:dyDescent="0.25">
      <c r="D11" t="s">
        <v>1460</v>
      </c>
      <c r="J11" t="s">
        <v>1629</v>
      </c>
      <c r="K11" t="s">
        <v>593</v>
      </c>
      <c r="N11">
        <v>11645.05720292791</v>
      </c>
      <c r="O11">
        <v>14758.363838412624</v>
      </c>
      <c r="P11">
        <v>20606.685425716663</v>
      </c>
      <c r="Q11">
        <v>26711.734461450662</v>
      </c>
      <c r="R11">
        <v>38730.121116160532</v>
      </c>
      <c r="S11">
        <v>53395.258808296785</v>
      </c>
      <c r="T11">
        <v>67931.93985792571</v>
      </c>
      <c r="U11">
        <v>116685.51853857219</v>
      </c>
      <c r="V11">
        <v>151365.40619632418</v>
      </c>
      <c r="W11">
        <v>222846.76456855229</v>
      </c>
      <c r="X11">
        <v>294328.12294078036</v>
      </c>
      <c r="Y11">
        <v>362303.78499110963</v>
      </c>
      <c r="Z11">
        <v>436401.77969968028</v>
      </c>
      <c r="AA11">
        <v>509490.59889838472</v>
      </c>
      <c r="AB11">
        <v>584365.65139912197</v>
      </c>
    </row>
    <row r="12" spans="3:28" x14ac:dyDescent="0.25">
      <c r="C12">
        <v>5</v>
      </c>
      <c r="D12">
        <v>8982.191979105517</v>
      </c>
      <c r="E12">
        <v>27865.056855153169</v>
      </c>
      <c r="F12">
        <f>J12+K12</f>
        <v>13013.094886114382</v>
      </c>
      <c r="G12">
        <f>J12+L12</f>
        <v>15147.493228506453</v>
      </c>
      <c r="J12">
        <v>1368.0376831864719</v>
      </c>
      <c r="K12">
        <v>11645.05720292791</v>
      </c>
      <c r="L12">
        <v>13779.455545319981</v>
      </c>
    </row>
    <row r="13" spans="3:28" x14ac:dyDescent="0.25">
      <c r="C13">
        <v>10</v>
      </c>
      <c r="D13">
        <v>10927.611929901865</v>
      </c>
      <c r="E13">
        <v>31626.101830642889</v>
      </c>
      <c r="F13">
        <f t="shared" ref="F13:F26" si="0">J13+K13</f>
        <v>16498.415961098788</v>
      </c>
      <c r="G13">
        <f t="shared" ref="G13:G26" si="1">J13+L13</f>
        <v>17464.03471575307</v>
      </c>
      <c r="J13">
        <v>1740.0521226861638</v>
      </c>
      <c r="K13">
        <v>14758.363838412624</v>
      </c>
      <c r="L13">
        <v>15723.982593066907</v>
      </c>
    </row>
    <row r="14" spans="3:28" x14ac:dyDescent="0.25">
      <c r="C14">
        <v>20</v>
      </c>
      <c r="D14">
        <v>12717.573448073352</v>
      </c>
      <c r="E14">
        <v>37748.148006234776</v>
      </c>
      <c r="F14">
        <f t="shared" si="0"/>
        <v>23733.913468570478</v>
      </c>
      <c r="G14">
        <f t="shared" si="1"/>
        <v>24487.357012933531</v>
      </c>
      <c r="J14">
        <v>3127.2280428538133</v>
      </c>
      <c r="K14">
        <v>20606.685425716663</v>
      </c>
      <c r="L14">
        <v>21360.128970079717</v>
      </c>
    </row>
    <row r="15" spans="3:28" x14ac:dyDescent="0.25">
      <c r="C15">
        <v>30</v>
      </c>
      <c r="D15">
        <v>15643.747078560153</v>
      </c>
      <c r="E15">
        <v>57746.837932195071</v>
      </c>
      <c r="F15">
        <f t="shared" si="0"/>
        <v>30744.444126193866</v>
      </c>
      <c r="G15">
        <f t="shared" si="1"/>
        <v>28483.794499263244</v>
      </c>
      <c r="J15">
        <v>4032.7096647432058</v>
      </c>
      <c r="K15">
        <v>26711.734461450662</v>
      </c>
      <c r="L15">
        <v>24451.084834520039</v>
      </c>
    </row>
    <row r="16" spans="3:28" x14ac:dyDescent="0.25">
      <c r="C16">
        <v>50</v>
      </c>
      <c r="D16">
        <v>22632.433297388161</v>
      </c>
      <c r="E16">
        <v>73052.069292945147</v>
      </c>
      <c r="F16">
        <f t="shared" si="0"/>
        <v>44550.850960021686</v>
      </c>
      <c r="G16">
        <f t="shared" si="1"/>
        <v>36035.758164343868</v>
      </c>
      <c r="J16">
        <v>5820.7298438611515</v>
      </c>
      <c r="K16">
        <v>38730.121116160532</v>
      </c>
      <c r="L16">
        <v>30215.028320482714</v>
      </c>
    </row>
    <row r="17" spans="3:12" x14ac:dyDescent="0.25">
      <c r="C17">
        <v>75</v>
      </c>
      <c r="D17">
        <v>33584.372944566247</v>
      </c>
      <c r="E17">
        <v>90331.564252971613</v>
      </c>
      <c r="F17">
        <f t="shared" si="0"/>
        <v>61893.698773737604</v>
      </c>
      <c r="G17">
        <f t="shared" si="1"/>
        <v>51345.903079009448</v>
      </c>
      <c r="J17">
        <v>8498.4399654408171</v>
      </c>
      <c r="K17">
        <v>53395.258808296785</v>
      </c>
      <c r="L17">
        <v>42847.463113568629</v>
      </c>
    </row>
    <row r="18" spans="3:12" x14ac:dyDescent="0.25">
      <c r="C18">
        <v>100</v>
      </c>
      <c r="D18">
        <v>46005.137346654024</v>
      </c>
      <c r="E18">
        <v>107962.30093913998</v>
      </c>
      <c r="F18">
        <f t="shared" si="0"/>
        <v>78629.444626941389</v>
      </c>
      <c r="G18">
        <f t="shared" si="1"/>
        <v>61297.431898166207</v>
      </c>
      <c r="J18">
        <v>10697.504769015675</v>
      </c>
      <c r="K18">
        <v>67931.93985792571</v>
      </c>
      <c r="L18">
        <v>50599.927129150536</v>
      </c>
    </row>
    <row r="19" spans="3:12" x14ac:dyDescent="0.25">
      <c r="C19">
        <v>150</v>
      </c>
      <c r="D19">
        <v>62581.591582125344</v>
      </c>
      <c r="E19">
        <v>116389.78079218025</v>
      </c>
      <c r="F19">
        <f t="shared" si="0"/>
        <v>125088.43821687635</v>
      </c>
      <c r="G19">
        <f t="shared" si="1"/>
        <v>72274.531985606882</v>
      </c>
      <c r="J19">
        <v>8402.9196783041771</v>
      </c>
      <c r="K19">
        <v>116685.51853857219</v>
      </c>
      <c r="L19">
        <v>63871.612307302712</v>
      </c>
    </row>
    <row r="20" spans="3:12" x14ac:dyDescent="0.25">
      <c r="C20">
        <v>200</v>
      </c>
      <c r="D20">
        <v>91449.977601873426</v>
      </c>
      <c r="E20">
        <v>121220.13970188076</v>
      </c>
      <c r="F20">
        <f t="shared" si="0"/>
        <v>171257.01280333119</v>
      </c>
      <c r="G20">
        <f t="shared" si="1"/>
        <v>102136.42856236802</v>
      </c>
      <c r="J20">
        <v>19891.606607006997</v>
      </c>
      <c r="K20">
        <v>151365.40619632418</v>
      </c>
      <c r="L20">
        <v>82244.821955361025</v>
      </c>
    </row>
    <row r="21" spans="3:12" x14ac:dyDescent="0.25">
      <c r="C21">
        <v>300</v>
      </c>
      <c r="D21">
        <v>136222.52338028303</v>
      </c>
      <c r="E21">
        <v>181830.20955282115</v>
      </c>
      <c r="F21">
        <f t="shared" si="0"/>
        <v>251879.36295945267</v>
      </c>
      <c r="G21">
        <f t="shared" si="1"/>
        <v>144482.20390628412</v>
      </c>
      <c r="J21">
        <v>29032.598390900377</v>
      </c>
      <c r="K21">
        <v>222846.76456855229</v>
      </c>
      <c r="L21">
        <v>115449.60551538374</v>
      </c>
    </row>
    <row r="22" spans="3:12" x14ac:dyDescent="0.25">
      <c r="C22">
        <v>400</v>
      </c>
      <c r="D22">
        <v>177012.80042863701</v>
      </c>
      <c r="E22">
        <v>267751.58801989985</v>
      </c>
      <c r="F22">
        <f t="shared" si="0"/>
        <v>332009.32190408232</v>
      </c>
      <c r="G22">
        <f t="shared" si="1"/>
        <v>190410.49397651924</v>
      </c>
      <c r="J22">
        <v>37681.198963301984</v>
      </c>
      <c r="K22">
        <v>294328.12294078036</v>
      </c>
      <c r="L22">
        <v>152729.29501321726</v>
      </c>
    </row>
    <row r="23" spans="3:12" x14ac:dyDescent="0.25">
      <c r="C23">
        <v>500</v>
      </c>
      <c r="D23">
        <v>227509.42042771576</v>
      </c>
      <c r="E23">
        <v>328361.65787084022</v>
      </c>
      <c r="F23">
        <f t="shared" si="0"/>
        <v>409080.91518444614</v>
      </c>
      <c r="G23">
        <f t="shared" si="1"/>
        <v>230080.15221871308</v>
      </c>
      <c r="J23">
        <v>46777.130193336525</v>
      </c>
      <c r="K23">
        <v>362303.78499110963</v>
      </c>
      <c r="L23">
        <v>183303.02202537656</v>
      </c>
    </row>
    <row r="24" spans="3:12" x14ac:dyDescent="0.25">
      <c r="C24">
        <v>600</v>
      </c>
      <c r="D24">
        <v>269508.87627988571</v>
      </c>
      <c r="E24">
        <v>388971.72772178054</v>
      </c>
      <c r="F24">
        <f t="shared" si="0"/>
        <v>491797.46206047357</v>
      </c>
      <c r="G24">
        <f t="shared" si="1"/>
        <v>268315.93456244015</v>
      </c>
      <c r="J24">
        <v>55395.682360793275</v>
      </c>
      <c r="K24">
        <v>436401.77969968028</v>
      </c>
      <c r="L24">
        <v>212920.25220164689</v>
      </c>
    </row>
    <row r="25" spans="3:12" x14ac:dyDescent="0.25">
      <c r="C25">
        <v>800</v>
      </c>
      <c r="D25">
        <v>351361.81109931401</v>
      </c>
      <c r="E25">
        <v>510191.8674236614</v>
      </c>
      <c r="F25">
        <f t="shared" si="0"/>
        <v>582561.88539867685</v>
      </c>
      <c r="G25">
        <f t="shared" si="1"/>
        <v>334527.01423206751</v>
      </c>
      <c r="J25">
        <v>73071.286500292132</v>
      </c>
      <c r="K25">
        <v>509490.59889838472</v>
      </c>
      <c r="L25">
        <v>261455.72773177538</v>
      </c>
    </row>
    <row r="26" spans="3:12" x14ac:dyDescent="0.25">
      <c r="C26">
        <v>1000</v>
      </c>
      <c r="D26">
        <v>438568.53224391391</v>
      </c>
      <c r="E26">
        <v>748103.6667806987</v>
      </c>
      <c r="F26">
        <f t="shared" si="0"/>
        <v>675087.69605051016</v>
      </c>
      <c r="G26">
        <f t="shared" si="1"/>
        <v>382020.08406914858</v>
      </c>
      <c r="J26">
        <v>90722.044651388234</v>
      </c>
      <c r="K26">
        <v>584365.65139912197</v>
      </c>
      <c r="L26">
        <v>291298.03941776033</v>
      </c>
    </row>
    <row r="28" spans="3:12" x14ac:dyDescent="0.25">
      <c r="C28" t="s">
        <v>645</v>
      </c>
      <c r="D28">
        <v>0.80230000000000001</v>
      </c>
      <c r="E28">
        <v>0.60850000000000004</v>
      </c>
      <c r="F28">
        <v>0.81559999999999999</v>
      </c>
      <c r="G28">
        <v>0.65590000000000004</v>
      </c>
    </row>
    <row r="30" spans="3:12" x14ac:dyDescent="0.25">
      <c r="D30">
        <f>5/7</f>
        <v>0.7142857142857143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5B96F-B005-4121-A83B-F7AD18D2FD76}">
  <sheetPr>
    <tabColor theme="9"/>
  </sheetPr>
  <dimension ref="A1:BH294"/>
  <sheetViews>
    <sheetView zoomScale="80" zoomScaleNormal="80" workbookViewId="0">
      <selection activeCell="V88" sqref="V88"/>
    </sheetView>
  </sheetViews>
  <sheetFormatPr defaultRowHeight="15" x14ac:dyDescent="0.25"/>
  <cols>
    <col min="4" max="4" width="32.7109375" style="18" bestFit="1" customWidth="1"/>
    <col min="5" max="5" width="9.140625" style="18"/>
    <col min="6" max="6" width="17.85546875" style="24" bestFit="1" customWidth="1"/>
    <col min="7" max="7" width="13.42578125" style="24" customWidth="1"/>
    <col min="8" max="8" width="16.7109375" style="24" bestFit="1" customWidth="1"/>
    <col min="9" max="9" width="14.42578125" style="24" bestFit="1" customWidth="1"/>
    <col min="10" max="10" width="23.85546875" style="24" bestFit="1" customWidth="1"/>
    <col min="11" max="11" width="23.85546875" style="24" customWidth="1"/>
    <col min="12" max="12" width="23.85546875" style="24" bestFit="1" customWidth="1"/>
    <col min="13" max="13" width="13.5703125" style="13" bestFit="1" customWidth="1"/>
    <col min="14" max="14" width="18.140625" style="24" bestFit="1" customWidth="1"/>
    <col min="15" max="15" width="18.140625" customWidth="1"/>
    <col min="17" max="17" width="9.7109375" style="24" bestFit="1" customWidth="1"/>
    <col min="18" max="18" width="17.28515625" style="18" customWidth="1"/>
    <col min="19" max="19" width="7.85546875" style="18" customWidth="1"/>
    <col min="20" max="20" width="26.7109375" style="18" bestFit="1" customWidth="1"/>
    <col min="21" max="21" width="17.42578125" style="18" bestFit="1" customWidth="1"/>
    <col min="22" max="22" width="13.5703125" bestFit="1" customWidth="1"/>
    <col min="23" max="23" width="13.42578125" bestFit="1" customWidth="1"/>
    <col min="24" max="24" width="25.28515625" bestFit="1" customWidth="1"/>
    <col min="25" max="25" width="18.140625" bestFit="1" customWidth="1"/>
    <col min="26" max="44" width="18.140625" customWidth="1"/>
    <col min="45" max="45" width="12.7109375" customWidth="1"/>
    <col min="46" max="46" width="11.28515625" customWidth="1"/>
    <col min="55" max="55" width="11.85546875" customWidth="1"/>
  </cols>
  <sheetData>
    <row r="1" spans="1:57" ht="21" x14ac:dyDescent="0.35">
      <c r="E1" s="150" t="s">
        <v>267</v>
      </c>
      <c r="F1" s="151"/>
      <c r="G1" s="151"/>
      <c r="H1" s="151"/>
      <c r="I1" s="151"/>
      <c r="J1" s="151"/>
      <c r="K1" s="151"/>
      <c r="L1" s="151"/>
      <c r="M1" s="151"/>
      <c r="N1" s="152"/>
      <c r="O1" s="103"/>
      <c r="Q1" s="150" t="s">
        <v>267</v>
      </c>
      <c r="R1" s="151"/>
      <c r="S1" s="151"/>
      <c r="T1" s="151"/>
      <c r="U1" s="151"/>
      <c r="V1" s="151"/>
      <c r="W1" s="151"/>
      <c r="X1" s="151"/>
      <c r="Y1" s="152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</row>
    <row r="2" spans="1:57" ht="21" x14ac:dyDescent="0.35">
      <c r="E2" s="153"/>
      <c r="F2" s="154"/>
      <c r="G2" s="154"/>
      <c r="H2" s="154"/>
      <c r="I2" s="154"/>
      <c r="J2" s="154"/>
      <c r="K2" s="154"/>
      <c r="L2" s="154"/>
      <c r="M2" s="154"/>
      <c r="N2" s="155"/>
      <c r="O2" s="103"/>
      <c r="Q2" s="153"/>
      <c r="R2" s="154"/>
      <c r="S2" s="154"/>
      <c r="T2" s="154"/>
      <c r="U2" s="154"/>
      <c r="V2" s="154"/>
      <c r="W2" s="154"/>
      <c r="X2" s="154"/>
      <c r="Y2" s="155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57" ht="15.75" thickBot="1" x14ac:dyDescent="0.3">
      <c r="E3" s="52" t="s">
        <v>137</v>
      </c>
      <c r="F3" s="47" t="s">
        <v>136</v>
      </c>
      <c r="G3" s="47" t="s">
        <v>138</v>
      </c>
      <c r="H3" s="47" t="s">
        <v>141</v>
      </c>
      <c r="I3" s="47" t="s">
        <v>509</v>
      </c>
      <c r="J3" s="47" t="s">
        <v>204</v>
      </c>
      <c r="K3" s="47" t="s">
        <v>510</v>
      </c>
      <c r="L3" s="47" t="s">
        <v>511</v>
      </c>
      <c r="M3" s="47" t="s">
        <v>139</v>
      </c>
      <c r="N3" s="50" t="s">
        <v>140</v>
      </c>
      <c r="O3" s="10"/>
      <c r="Q3" s="45" t="s">
        <v>137</v>
      </c>
      <c r="R3" s="104" t="s">
        <v>136</v>
      </c>
      <c r="S3" s="104" t="s">
        <v>138</v>
      </c>
      <c r="T3" s="104" t="s">
        <v>141</v>
      </c>
      <c r="U3" s="104" t="s">
        <v>509</v>
      </c>
      <c r="V3" s="104" t="s">
        <v>204</v>
      </c>
      <c r="W3" s="47" t="s">
        <v>510</v>
      </c>
      <c r="X3" s="47" t="s">
        <v>1419</v>
      </c>
      <c r="Y3" s="50" t="s">
        <v>140</v>
      </c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W3" t="s">
        <v>1463</v>
      </c>
    </row>
    <row r="4" spans="1:57" x14ac:dyDescent="0.25">
      <c r="A4" t="s">
        <v>512</v>
      </c>
      <c r="B4" t="s">
        <v>513</v>
      </c>
      <c r="C4" s="24">
        <v>170</v>
      </c>
      <c r="D4" s="18" t="str">
        <f>_xlfn.CONCAT(A4,B4,C4)</f>
        <v>'Septic Tank - British - Det'H170</v>
      </c>
      <c r="E4" s="159">
        <v>5</v>
      </c>
      <c r="F4" s="24" t="s">
        <v>128</v>
      </c>
      <c r="G4" s="24" t="s">
        <v>33</v>
      </c>
      <c r="J4" s="42">
        <f>'Septic Tank - BS'!K12</f>
        <v>1029.4720794124921</v>
      </c>
      <c r="K4" s="42"/>
      <c r="M4" s="12"/>
      <c r="Q4" s="156">
        <v>5</v>
      </c>
      <c r="R4" s="24" t="s">
        <v>128</v>
      </c>
      <c r="S4" s="18" t="s">
        <v>33</v>
      </c>
      <c r="U4" s="105"/>
      <c r="V4" s="5">
        <f>STS!$K$12</f>
        <v>1029.4720794124921</v>
      </c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W4" t="s">
        <v>1464</v>
      </c>
    </row>
    <row r="5" spans="1:57" x14ac:dyDescent="0.25">
      <c r="B5" t="s">
        <v>514</v>
      </c>
      <c r="C5" s="24"/>
      <c r="E5" s="160"/>
      <c r="F5" s="24" t="s">
        <v>129</v>
      </c>
      <c r="G5" s="24" t="s">
        <v>33</v>
      </c>
      <c r="J5" s="42">
        <f>'Septic Tank - BS'!K25</f>
        <v>1211.1005616216155</v>
      </c>
      <c r="K5" s="42"/>
      <c r="M5" s="12"/>
      <c r="Q5" s="157"/>
      <c r="R5" s="24" t="s">
        <v>129</v>
      </c>
      <c r="S5" s="18" t="s">
        <v>33</v>
      </c>
      <c r="U5" s="105"/>
      <c r="V5" s="5">
        <f>STS!$K$25</f>
        <v>1211.1005616216155</v>
      </c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Y5" t="s">
        <v>1475</v>
      </c>
      <c r="AZ5" t="s">
        <v>1472</v>
      </c>
      <c r="BA5" t="s">
        <v>1471</v>
      </c>
      <c r="BC5" t="s">
        <v>1478</v>
      </c>
      <c r="BE5" t="s">
        <v>105</v>
      </c>
    </row>
    <row r="6" spans="1:57" x14ac:dyDescent="0.25">
      <c r="B6" t="s">
        <v>515</v>
      </c>
      <c r="C6" s="24"/>
      <c r="E6" s="160"/>
      <c r="F6" s="24" t="s">
        <v>128</v>
      </c>
      <c r="G6" s="24" t="s">
        <v>37</v>
      </c>
      <c r="J6" s="42">
        <f>'Septic Tank - BS'!AA12</f>
        <v>1106.9733311947891</v>
      </c>
      <c r="K6" s="42"/>
      <c r="M6" s="12"/>
      <c r="Q6" s="157"/>
      <c r="V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W6" t="s">
        <v>455</v>
      </c>
      <c r="AY6" t="s">
        <v>1473</v>
      </c>
      <c r="AZ6" t="s">
        <v>1470</v>
      </c>
      <c r="BA6">
        <v>5</v>
      </c>
    </row>
    <row r="7" spans="1:57" x14ac:dyDescent="0.25">
      <c r="B7" t="s">
        <v>516</v>
      </c>
      <c r="C7" s="24"/>
      <c r="E7" s="160"/>
      <c r="F7" s="24" t="s">
        <v>129</v>
      </c>
      <c r="G7" s="24" t="s">
        <v>37</v>
      </c>
      <c r="J7" s="42">
        <f>'Septic Tank - BS'!AA25</f>
        <v>1376.956470482942</v>
      </c>
      <c r="K7" s="42"/>
      <c r="M7" s="12"/>
      <c r="Q7" s="157"/>
      <c r="V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W7" t="s">
        <v>863</v>
      </c>
      <c r="AY7">
        <v>63.36</v>
      </c>
      <c r="AZ7">
        <v>5</v>
      </c>
      <c r="BA7">
        <v>4</v>
      </c>
      <c r="BC7">
        <f>AY7/24</f>
        <v>2.64</v>
      </c>
      <c r="BE7" t="s">
        <v>1479</v>
      </c>
    </row>
    <row r="8" spans="1:57" x14ac:dyDescent="0.25">
      <c r="B8" t="s">
        <v>517</v>
      </c>
      <c r="C8" s="24"/>
      <c r="E8" s="160"/>
      <c r="H8" s="24">
        <v>3</v>
      </c>
      <c r="J8" s="42"/>
      <c r="K8" s="42"/>
      <c r="M8" s="42">
        <f>'Septic Tank - BS'!N182</f>
        <v>19350</v>
      </c>
      <c r="Q8" s="157"/>
      <c r="T8" s="18">
        <v>3</v>
      </c>
      <c r="V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W8" t="s">
        <v>1465</v>
      </c>
      <c r="AY8">
        <v>12.49</v>
      </c>
      <c r="AZ8">
        <v>2.5</v>
      </c>
      <c r="BA8">
        <v>2</v>
      </c>
      <c r="BC8">
        <f t="shared" ref="BC8:BC11" si="0">AY8/24</f>
        <v>0.52041666666666664</v>
      </c>
      <c r="BE8">
        <v>40</v>
      </c>
    </row>
    <row r="9" spans="1:57" x14ac:dyDescent="0.25">
      <c r="B9" t="s">
        <v>518</v>
      </c>
      <c r="C9" s="24"/>
      <c r="E9" s="160"/>
      <c r="H9" s="24">
        <v>6</v>
      </c>
      <c r="J9" s="42"/>
      <c r="K9" s="42"/>
      <c r="M9" s="42">
        <f>'Septic Tank - BS'!N183</f>
        <v>9675</v>
      </c>
      <c r="Q9" s="157"/>
      <c r="T9" s="18">
        <v>6</v>
      </c>
      <c r="V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W9" t="s">
        <v>1466</v>
      </c>
      <c r="AY9">
        <v>2.5</v>
      </c>
      <c r="AZ9">
        <v>1.3</v>
      </c>
      <c r="BA9">
        <v>1</v>
      </c>
      <c r="BC9">
        <f t="shared" si="0"/>
        <v>0.10416666666666667</v>
      </c>
      <c r="BE9">
        <v>200</v>
      </c>
    </row>
    <row r="10" spans="1:57" x14ac:dyDescent="0.25">
      <c r="B10" t="s">
        <v>106</v>
      </c>
      <c r="C10" s="24"/>
      <c r="E10" s="160"/>
      <c r="H10" s="24">
        <v>12</v>
      </c>
      <c r="J10" s="42"/>
      <c r="K10" s="42"/>
      <c r="M10" s="42">
        <f>'Septic Tank - BS'!N184</f>
        <v>4837.5</v>
      </c>
      <c r="Q10" s="157"/>
      <c r="T10" s="18">
        <v>12</v>
      </c>
      <c r="V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W10" t="s">
        <v>1467</v>
      </c>
      <c r="AY10">
        <v>0.88200000000000001</v>
      </c>
      <c r="AZ10">
        <v>0.8</v>
      </c>
      <c r="BA10">
        <v>1</v>
      </c>
      <c r="BC10">
        <f t="shared" si="0"/>
        <v>3.6749999999999998E-2</v>
      </c>
    </row>
    <row r="11" spans="1:57" x14ac:dyDescent="0.25">
      <c r="B11" t="s">
        <v>519</v>
      </c>
      <c r="E11" s="160"/>
      <c r="H11" s="24">
        <v>18</v>
      </c>
      <c r="J11" s="42"/>
      <c r="M11" s="42">
        <f>'Septic Tank - BS'!N185</f>
        <v>3096</v>
      </c>
      <c r="Q11" s="157"/>
      <c r="T11" s="18">
        <v>18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W11" t="s">
        <v>1468</v>
      </c>
      <c r="AY11">
        <v>0.371</v>
      </c>
      <c r="AZ11">
        <v>0.25</v>
      </c>
      <c r="BA11">
        <v>4</v>
      </c>
      <c r="BC11">
        <f t="shared" si="0"/>
        <v>1.5458333333333333E-2</v>
      </c>
    </row>
    <row r="12" spans="1:57" x14ac:dyDescent="0.25">
      <c r="B12" t="s">
        <v>520</v>
      </c>
      <c r="D12" s="18" t="e">
        <f>LOOKUP(D4,1)</f>
        <v>#N/A</v>
      </c>
      <c r="E12" s="160"/>
      <c r="H12" s="24">
        <v>24</v>
      </c>
      <c r="J12" s="42"/>
      <c r="K12" s="42"/>
      <c r="M12" s="42">
        <f>'Septic Tank - BS'!N186</f>
        <v>2322</v>
      </c>
      <c r="Q12" s="157"/>
      <c r="T12" s="18">
        <v>24</v>
      </c>
      <c r="X12" s="5"/>
      <c r="Y12" s="5"/>
      <c r="Z12" s="5" t="s">
        <v>1458</v>
      </c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W12" t="s">
        <v>1469</v>
      </c>
      <c r="AY12" t="s">
        <v>1474</v>
      </c>
      <c r="AZ12">
        <v>0.05</v>
      </c>
      <c r="BA12">
        <v>5</v>
      </c>
    </row>
    <row r="13" spans="1:57" x14ac:dyDescent="0.25">
      <c r="B13" t="s">
        <v>521</v>
      </c>
      <c r="E13" s="160"/>
      <c r="H13" s="24">
        <v>48</v>
      </c>
      <c r="J13" s="42"/>
      <c r="K13" s="42"/>
      <c r="M13" s="42">
        <f>'Septic Tank - BS'!N187</f>
        <v>1161</v>
      </c>
      <c r="Q13" s="157"/>
      <c r="T13" s="18">
        <v>48</v>
      </c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</row>
    <row r="14" spans="1:57" x14ac:dyDescent="0.25">
      <c r="E14" s="160"/>
      <c r="H14" s="24">
        <v>84</v>
      </c>
      <c r="J14" s="42"/>
      <c r="K14" s="42"/>
      <c r="M14" s="42">
        <f>'Septic Tank - BS'!N188</f>
        <v>580.5</v>
      </c>
      <c r="Q14" s="157"/>
      <c r="T14" s="18">
        <v>84</v>
      </c>
      <c r="X14" s="5"/>
      <c r="Y14" s="5"/>
      <c r="Z14" s="5" t="s">
        <v>1546</v>
      </c>
      <c r="AA14" s="5" t="s">
        <v>1547</v>
      </c>
      <c r="AB14" s="5"/>
      <c r="AC14" s="5"/>
      <c r="AD14" s="5"/>
      <c r="AE14" s="5"/>
      <c r="AF14" s="5"/>
      <c r="AG14" s="5"/>
      <c r="AH14" s="5" t="s">
        <v>587</v>
      </c>
      <c r="AI14" s="5" t="s">
        <v>588</v>
      </c>
      <c r="AJ14" s="5" t="s">
        <v>589</v>
      </c>
      <c r="AK14" s="5"/>
      <c r="AL14" s="5"/>
      <c r="AM14" s="5"/>
      <c r="AN14" s="5"/>
      <c r="AO14" s="5"/>
      <c r="AP14" s="5"/>
      <c r="AQ14" s="5"/>
      <c r="AR14" s="5"/>
      <c r="AS14" s="5"/>
      <c r="AT14" s="5"/>
      <c r="AW14" t="s">
        <v>1480</v>
      </c>
      <c r="AZ14" t="s">
        <v>1481</v>
      </c>
    </row>
    <row r="15" spans="1:57" x14ac:dyDescent="0.25">
      <c r="E15" s="160"/>
      <c r="I15" s="24">
        <v>12</v>
      </c>
      <c r="J15" s="42"/>
      <c r="K15" s="42">
        <f>'Septic Tank - BS'!H$110</f>
        <v>312.1431665400624</v>
      </c>
      <c r="L15" s="42">
        <f>'Septic Tank - BS'!H$170</f>
        <v>2894.6718657078336</v>
      </c>
      <c r="M15" s="12"/>
      <c r="Q15" s="157"/>
      <c r="U15" s="18">
        <v>15</v>
      </c>
      <c r="W15" s="5">
        <f t="shared" ref="W15:W45" si="1">K15</f>
        <v>312.1431665400624</v>
      </c>
      <c r="X15" s="5"/>
      <c r="Y15" s="5"/>
      <c r="Z15" s="5">
        <f>W15+$V$4</f>
        <v>1341.6152459525545</v>
      </c>
      <c r="AA15" s="5">
        <f>$V$5+W15</f>
        <v>1523.2437281616778</v>
      </c>
      <c r="AB15" s="5"/>
      <c r="AC15" s="5"/>
      <c r="AD15" s="5"/>
      <c r="AE15" s="5"/>
      <c r="AF15" s="5"/>
      <c r="AG15">
        <v>5</v>
      </c>
      <c r="AH15" s="5">
        <f t="shared" ref="AH15:AJ15" si="2">AB25</f>
        <v>2014.8731691687644</v>
      </c>
      <c r="AI15" s="5">
        <f t="shared" si="2"/>
        <v>1341.6152459525545</v>
      </c>
      <c r="AJ15" s="5">
        <f t="shared" si="2"/>
        <v>2709.7030806113316</v>
      </c>
      <c r="AK15" s="5"/>
      <c r="AL15" s="5"/>
      <c r="AM15" s="5"/>
      <c r="AN15" s="5"/>
      <c r="AO15" s="5"/>
      <c r="AP15" s="5"/>
      <c r="AQ15" s="5"/>
      <c r="AR15" s="5"/>
      <c r="AS15" t="s">
        <v>1483</v>
      </c>
      <c r="AT15" s="5">
        <f>AVERAGE(W15:W17)</f>
        <v>428.99143609949789</v>
      </c>
    </row>
    <row r="16" spans="1:57" x14ac:dyDescent="0.25">
      <c r="E16" s="160"/>
      <c r="I16" s="24">
        <v>20</v>
      </c>
      <c r="J16" s="42"/>
      <c r="K16" s="42">
        <f>'Septic Tank - BS'!I$110</f>
        <v>420.00310767184902</v>
      </c>
      <c r="L16" s="42">
        <f>'Septic Tank - BS'!I$170</f>
        <v>2962.9513980289003</v>
      </c>
      <c r="M16" s="12"/>
      <c r="Q16" s="157"/>
      <c r="U16" s="18">
        <v>20</v>
      </c>
      <c r="W16" s="5">
        <f t="shared" si="1"/>
        <v>420.00310767184902</v>
      </c>
      <c r="X16" s="5"/>
      <c r="Y16" s="5"/>
      <c r="Z16" s="5">
        <f t="shared" ref="Z16:Z24" si="3">W16+$V$4</f>
        <v>1449.4751870843411</v>
      </c>
      <c r="AA16" s="5">
        <f t="shared" ref="AA16:AA24" si="4">$V$5+W16</f>
        <v>1631.1036692934645</v>
      </c>
      <c r="AB16" s="5"/>
      <c r="AC16" s="5"/>
      <c r="AD16" s="5"/>
      <c r="AE16" s="5"/>
      <c r="AF16" s="5"/>
      <c r="AG16">
        <v>10</v>
      </c>
      <c r="AH16" s="5">
        <f t="shared" ref="AH16:AJ16" si="5">AB46</f>
        <v>3366.0863429200858</v>
      </c>
      <c r="AI16" s="5">
        <f t="shared" si="5"/>
        <v>2307.5850810154934</v>
      </c>
      <c r="AJ16" s="5">
        <f t="shared" si="5"/>
        <v>4395.3130397847999</v>
      </c>
      <c r="AK16" s="5"/>
      <c r="AL16" s="5"/>
      <c r="AM16" s="5"/>
      <c r="AN16" s="5"/>
      <c r="AO16" s="5"/>
      <c r="AP16" s="5"/>
      <c r="AQ16" s="5"/>
      <c r="AR16" s="5"/>
      <c r="AS16" t="s">
        <v>1484</v>
      </c>
      <c r="AT16" s="5">
        <f>AVERAGE(W18:W21)</f>
        <v>891.89035012341594</v>
      </c>
    </row>
    <row r="17" spans="5:50" x14ac:dyDescent="0.25">
      <c r="E17" s="160"/>
      <c r="I17" s="24">
        <v>30</v>
      </c>
      <c r="J17" s="42"/>
      <c r="K17" s="42">
        <f>'Septic Tank - BS'!J$110</f>
        <v>554.82803408658242</v>
      </c>
      <c r="L17" s="42">
        <f>'Septic Tank - BS'!J$170</f>
        <v>3365.7881749299477</v>
      </c>
      <c r="M17" s="12"/>
      <c r="Q17" s="157"/>
      <c r="U17" s="18">
        <v>30</v>
      </c>
      <c r="W17" s="5">
        <f t="shared" si="1"/>
        <v>554.82803408658242</v>
      </c>
      <c r="X17" s="5"/>
      <c r="Y17" s="5"/>
      <c r="Z17" s="5">
        <f t="shared" si="3"/>
        <v>1584.3001134990745</v>
      </c>
      <c r="AA17" s="5">
        <f t="shared" si="4"/>
        <v>1765.9285957081979</v>
      </c>
      <c r="AB17" s="5"/>
      <c r="AC17" s="5"/>
      <c r="AD17" s="5"/>
      <c r="AE17" s="5"/>
      <c r="AF17" s="5"/>
      <c r="AG17">
        <v>20</v>
      </c>
      <c r="AH17" s="5">
        <f t="shared" ref="AH17:AJ17" si="6">AB66</f>
        <v>5504.347097019685</v>
      </c>
      <c r="AI17" s="5">
        <f t="shared" si="6"/>
        <v>3520.4316942466221</v>
      </c>
      <c r="AJ17" s="5">
        <f t="shared" si="6"/>
        <v>7567.990429150891</v>
      </c>
      <c r="AK17" s="5"/>
      <c r="AL17" s="5"/>
      <c r="AM17" s="5"/>
      <c r="AN17" s="5"/>
      <c r="AO17" s="5"/>
      <c r="AP17" s="5"/>
      <c r="AQ17" s="5"/>
      <c r="AR17" s="5"/>
      <c r="AS17" t="s">
        <v>1485</v>
      </c>
      <c r="AT17" s="5">
        <f>AVERAGE(W22:W24)</f>
        <v>1363.7775925749829</v>
      </c>
      <c r="AW17" t="s">
        <v>1482</v>
      </c>
      <c r="AX17" t="s">
        <v>1483</v>
      </c>
    </row>
    <row r="18" spans="5:50" x14ac:dyDescent="0.25">
      <c r="E18" s="160"/>
      <c r="I18" s="24">
        <v>40</v>
      </c>
      <c r="J18" s="42"/>
      <c r="K18" s="42">
        <f>'Septic Tank - BS'!K$110</f>
        <v>689.65296050131587</v>
      </c>
      <c r="L18" s="42">
        <f>'Septic Tank - BS'!K$170</f>
        <v>3768.624951830996</v>
      </c>
      <c r="M18" s="12"/>
      <c r="Q18" s="157"/>
      <c r="U18" s="18">
        <v>40</v>
      </c>
      <c r="W18" s="5">
        <f t="shared" si="1"/>
        <v>689.65296050131587</v>
      </c>
      <c r="X18" s="5"/>
      <c r="Y18" s="5"/>
      <c r="Z18" s="5">
        <f t="shared" si="3"/>
        <v>1719.125039913808</v>
      </c>
      <c r="AA18" s="5">
        <f t="shared" si="4"/>
        <v>1900.7535221229314</v>
      </c>
      <c r="AB18" s="5"/>
      <c r="AC18" s="5"/>
      <c r="AD18" s="5"/>
      <c r="AE18" s="5"/>
      <c r="AF18" s="5"/>
      <c r="AG18">
        <v>30</v>
      </c>
      <c r="AH18" s="5">
        <f t="shared" ref="AH18:AJ18" si="7">AB85</f>
        <v>8494.586875340985</v>
      </c>
      <c r="AI18" s="5">
        <f t="shared" si="7"/>
        <v>5906.8166803763434</v>
      </c>
      <c r="AJ18" s="5">
        <f t="shared" si="7"/>
        <v>11331.766046760184</v>
      </c>
      <c r="AK18" s="5"/>
      <c r="AL18" s="5"/>
      <c r="AM18" s="5"/>
      <c r="AN18" s="5"/>
      <c r="AO18" s="5"/>
      <c r="AP18" s="5"/>
      <c r="AQ18" s="5"/>
      <c r="AR18" s="5"/>
      <c r="AS18" s="5"/>
      <c r="AT18" s="5"/>
      <c r="AW18" t="s">
        <v>1486</v>
      </c>
      <c r="AX18" t="s">
        <v>1484</v>
      </c>
    </row>
    <row r="19" spans="5:50" x14ac:dyDescent="0.25">
      <c r="E19" s="160"/>
      <c r="I19" s="24">
        <v>50</v>
      </c>
      <c r="J19" s="42"/>
      <c r="K19" s="42">
        <f>'Septic Tank - BS'!L$110</f>
        <v>824.47788691604933</v>
      </c>
      <c r="L19" s="42">
        <f>'Septic Tank - BS'!L$170</f>
        <v>4171.4617287320452</v>
      </c>
      <c r="M19" s="12"/>
      <c r="Q19" s="157"/>
      <c r="U19" s="18">
        <v>50</v>
      </c>
      <c r="W19" s="5">
        <f t="shared" si="1"/>
        <v>824.47788691604933</v>
      </c>
      <c r="X19" s="5"/>
      <c r="Y19" s="5"/>
      <c r="Z19" s="5">
        <f t="shared" si="3"/>
        <v>1853.9499663285414</v>
      </c>
      <c r="AA19" s="5">
        <f t="shared" si="4"/>
        <v>2035.5784485376648</v>
      </c>
      <c r="AB19" s="5"/>
      <c r="AC19" s="5"/>
      <c r="AD19" s="5"/>
      <c r="AE19" s="5"/>
      <c r="AF19" s="5"/>
      <c r="AG19">
        <v>50</v>
      </c>
      <c r="AH19" s="5">
        <f t="shared" ref="AH19:AJ19" si="8">AB104</f>
        <v>11651.278106649896</v>
      </c>
      <c r="AI19" s="5">
        <f t="shared" si="8"/>
        <v>7084.6051064827234</v>
      </c>
      <c r="AJ19" s="5">
        <f t="shared" si="8"/>
        <v>16624.907785109121</v>
      </c>
      <c r="AK19" s="5"/>
      <c r="AL19" s="5"/>
      <c r="AM19" s="5"/>
      <c r="AN19" s="5"/>
      <c r="AO19" s="5"/>
      <c r="AP19" s="5"/>
      <c r="AQ19" s="5"/>
      <c r="AR19" s="5"/>
      <c r="AS19" s="5"/>
      <c r="AT19" s="5"/>
      <c r="AW19" t="s">
        <v>1487</v>
      </c>
      <c r="AX19" t="s">
        <v>1485</v>
      </c>
    </row>
    <row r="20" spans="5:50" x14ac:dyDescent="0.25">
      <c r="E20" s="160"/>
      <c r="I20" s="24">
        <v>60</v>
      </c>
      <c r="J20" s="42"/>
      <c r="K20" s="42">
        <f>'Septic Tank - BS'!M$110</f>
        <v>959.30281333078256</v>
      </c>
      <c r="L20" s="42">
        <f>'Septic Tank - BS'!M$170</f>
        <v>4574.2985056330926</v>
      </c>
      <c r="M20" s="12"/>
      <c r="Q20" s="157"/>
      <c r="U20" s="18">
        <v>60</v>
      </c>
      <c r="W20" s="5">
        <f t="shared" si="1"/>
        <v>959.30281333078256</v>
      </c>
      <c r="X20" s="5"/>
      <c r="Y20" s="5"/>
      <c r="Z20" s="5">
        <f t="shared" si="3"/>
        <v>1988.7748927432747</v>
      </c>
      <c r="AA20" s="5">
        <f t="shared" si="4"/>
        <v>2170.4033749523978</v>
      </c>
      <c r="AB20" s="5"/>
      <c r="AC20" s="5"/>
      <c r="AD20" s="5"/>
      <c r="AE20" s="5"/>
      <c r="AF20" s="5"/>
      <c r="AG20">
        <v>75</v>
      </c>
      <c r="AH20" s="5">
        <f t="shared" ref="AH20:AJ20" si="9">AB123</f>
        <v>17677.940329291792</v>
      </c>
      <c r="AI20" s="5">
        <f t="shared" si="9"/>
        <v>10712.772456621127</v>
      </c>
      <c r="AJ20" s="5">
        <f t="shared" si="9"/>
        <v>25207.446834945709</v>
      </c>
      <c r="AK20" s="5"/>
      <c r="AL20" s="5"/>
      <c r="AM20" s="5"/>
      <c r="AN20" s="5"/>
      <c r="AO20" s="5"/>
      <c r="AP20" s="5"/>
      <c r="AQ20" s="5"/>
      <c r="AR20" s="5"/>
      <c r="AS20" s="5"/>
      <c r="AT20" s="5"/>
    </row>
    <row r="21" spans="5:50" x14ac:dyDescent="0.25">
      <c r="E21" s="160"/>
      <c r="I21" s="24">
        <v>70</v>
      </c>
      <c r="J21" s="42"/>
      <c r="K21" s="42">
        <f>'Septic Tank - BS'!N$110</f>
        <v>1094.127739745516</v>
      </c>
      <c r="L21" s="42">
        <f>'Septic Tank - BS'!N$170</f>
        <v>4977.135282534141</v>
      </c>
      <c r="M21" s="12"/>
      <c r="Q21" s="157"/>
      <c r="U21" s="18">
        <v>70</v>
      </c>
      <c r="W21" s="5">
        <f t="shared" si="1"/>
        <v>1094.127739745516</v>
      </c>
      <c r="X21" s="5"/>
      <c r="Y21" s="5"/>
      <c r="Z21" s="5">
        <f t="shared" si="3"/>
        <v>2123.5998191580084</v>
      </c>
      <c r="AA21" s="5">
        <f t="shared" si="4"/>
        <v>2305.2283013671313</v>
      </c>
      <c r="AB21" s="5"/>
      <c r="AC21" s="5"/>
      <c r="AD21" s="5"/>
      <c r="AE21" s="5"/>
      <c r="AF21" s="5"/>
      <c r="AG21">
        <v>100</v>
      </c>
      <c r="AH21" s="5">
        <f t="shared" ref="AH21:AJ21" si="10">AB142</f>
        <v>27275.91210606739</v>
      </c>
      <c r="AI21" s="5">
        <f t="shared" si="10"/>
        <v>19806.225883222894</v>
      </c>
      <c r="AJ21" s="5">
        <f t="shared" si="10"/>
        <v>35492.072532481936</v>
      </c>
      <c r="AK21" s="5"/>
      <c r="AL21" s="5"/>
      <c r="AM21" s="5"/>
      <c r="AN21" s="5"/>
      <c r="AO21" s="5"/>
      <c r="AP21" s="5"/>
      <c r="AQ21" s="5"/>
      <c r="AR21" s="5"/>
      <c r="AS21" s="5"/>
      <c r="AT21" s="5"/>
    </row>
    <row r="22" spans="5:50" x14ac:dyDescent="0.25">
      <c r="E22" s="160"/>
      <c r="I22" s="24">
        <v>80</v>
      </c>
      <c r="J22" s="42"/>
      <c r="K22" s="42">
        <f>'Septic Tank - BS'!O$110</f>
        <v>1228.9526661602495</v>
      </c>
      <c r="L22" s="42">
        <f>'Septic Tank - BS'!O$170</f>
        <v>5379.9720594351893</v>
      </c>
      <c r="Q22" s="157"/>
      <c r="U22" s="18">
        <v>80</v>
      </c>
      <c r="W22" s="5">
        <f t="shared" si="1"/>
        <v>1228.9526661602495</v>
      </c>
      <c r="X22" s="5"/>
      <c r="Y22" s="5"/>
      <c r="Z22" s="5">
        <f t="shared" si="3"/>
        <v>2258.4247455727418</v>
      </c>
      <c r="AA22" s="5">
        <f t="shared" si="4"/>
        <v>2440.0532277818647</v>
      </c>
      <c r="AB22" s="5"/>
      <c r="AC22" s="5"/>
      <c r="AD22" s="5"/>
      <c r="AE22" s="5"/>
      <c r="AF22" s="5"/>
      <c r="AG22">
        <v>150</v>
      </c>
      <c r="AH22" s="5">
        <f t="shared" ref="AH22:AJ22" si="11">AB161</f>
        <v>36226.718123599057</v>
      </c>
      <c r="AI22" s="5">
        <f t="shared" si="11"/>
        <v>25675.214621086794</v>
      </c>
      <c r="AJ22" s="5">
        <f t="shared" si="11"/>
        <v>47883.862595876068</v>
      </c>
      <c r="AK22" s="5"/>
      <c r="AL22" s="5"/>
      <c r="AM22" s="5"/>
      <c r="AN22" s="5"/>
      <c r="AO22" s="5"/>
      <c r="AP22" s="5"/>
      <c r="AQ22" s="5"/>
      <c r="AR22" s="5"/>
      <c r="AS22" s="5"/>
      <c r="AT22" s="5"/>
    </row>
    <row r="23" spans="5:50" x14ac:dyDescent="0.25">
      <c r="E23" s="160"/>
      <c r="I23" s="24">
        <v>90</v>
      </c>
      <c r="J23" s="42"/>
      <c r="K23" s="42">
        <f>'Septic Tank - BS'!P$110</f>
        <v>1363.7775925749827</v>
      </c>
      <c r="L23" s="42">
        <f>'Septic Tank - BS'!P$170</f>
        <v>5782.8088363362376</v>
      </c>
      <c r="M23" s="12"/>
      <c r="Q23" s="157"/>
      <c r="U23" s="18">
        <v>90</v>
      </c>
      <c r="W23" s="5">
        <f t="shared" si="1"/>
        <v>1363.7775925749827</v>
      </c>
      <c r="X23" s="5"/>
      <c r="Y23" s="5"/>
      <c r="Z23" s="5">
        <f t="shared" si="3"/>
        <v>2393.2496719874748</v>
      </c>
      <c r="AA23" s="5">
        <f t="shared" si="4"/>
        <v>2574.8781541965982</v>
      </c>
      <c r="AB23" s="5"/>
      <c r="AC23" s="5"/>
      <c r="AD23" s="5"/>
      <c r="AE23" s="5"/>
      <c r="AF23" s="5"/>
      <c r="AG23">
        <v>200</v>
      </c>
      <c r="AH23" s="5">
        <f t="shared" ref="AH23:AJ23" si="12">AB180</f>
        <v>43981.127220681257</v>
      </c>
      <c r="AI23" s="5">
        <f t="shared" si="12"/>
        <v>30369.572451119471</v>
      </c>
      <c r="AJ23" s="5">
        <f t="shared" si="12"/>
        <v>59046.576216291389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</row>
    <row r="24" spans="5:50" x14ac:dyDescent="0.25">
      <c r="E24" s="161"/>
      <c r="F24" s="43"/>
      <c r="G24" s="43"/>
      <c r="H24" s="43"/>
      <c r="I24" s="43">
        <v>100</v>
      </c>
      <c r="J24" s="48"/>
      <c r="K24" s="48">
        <f>'Septic Tank - BS'!Q$110</f>
        <v>1498.6025189897161</v>
      </c>
      <c r="L24" s="48">
        <f>'Septic Tank - BS'!Q$170</f>
        <v>6185.645613237285</v>
      </c>
      <c r="M24" s="49"/>
      <c r="N24" s="43"/>
      <c r="Q24" s="158"/>
      <c r="T24" s="40"/>
      <c r="U24" s="40">
        <v>100</v>
      </c>
      <c r="W24" s="5">
        <f t="shared" si="1"/>
        <v>1498.6025189897161</v>
      </c>
      <c r="X24" s="5"/>
      <c r="Y24" s="5"/>
      <c r="Z24" s="5">
        <f t="shared" si="3"/>
        <v>2528.0745984022083</v>
      </c>
      <c r="AA24" s="5">
        <f t="shared" si="4"/>
        <v>2709.7030806113316</v>
      </c>
      <c r="AB24" s="5" t="s">
        <v>587</v>
      </c>
      <c r="AC24" s="5" t="s">
        <v>588</v>
      </c>
      <c r="AD24" s="5" t="s">
        <v>589</v>
      </c>
      <c r="AE24" s="5"/>
      <c r="AF24" s="5"/>
      <c r="AG24">
        <v>300</v>
      </c>
      <c r="AH24" s="5">
        <f t="shared" ref="AH24:AJ24" si="13">AB199</f>
        <v>70353.034815665902</v>
      </c>
      <c r="AI24" s="5">
        <f t="shared" si="13"/>
        <v>50893.820235318766</v>
      </c>
      <c r="AJ24" s="5">
        <f t="shared" si="13"/>
        <v>91962.65013462858</v>
      </c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</row>
    <row r="25" spans="5:50" x14ac:dyDescent="0.25">
      <c r="E25" s="20"/>
      <c r="F25" s="45"/>
      <c r="G25" s="45"/>
      <c r="H25" s="45"/>
      <c r="I25" s="45"/>
      <c r="J25" s="45"/>
      <c r="K25" s="45"/>
      <c r="L25" s="45"/>
      <c r="M25" s="45"/>
      <c r="N25" s="45"/>
      <c r="Q25" s="45"/>
      <c r="T25" s="20"/>
      <c r="U25" s="20"/>
      <c r="W25" s="5"/>
      <c r="X25" s="5"/>
      <c r="Y25" s="5"/>
      <c r="Z25" s="5"/>
      <c r="AA25" s="5"/>
      <c r="AB25" s="5">
        <f>AVERAGE(Z15:AA24)</f>
        <v>2014.8731691687644</v>
      </c>
      <c r="AC25" s="5">
        <f>Z15</f>
        <v>1341.6152459525545</v>
      </c>
      <c r="AD25" s="5">
        <f>AA24</f>
        <v>2709.7030806113316</v>
      </c>
      <c r="AE25" s="5"/>
      <c r="AF25" s="5"/>
      <c r="AG25">
        <v>400</v>
      </c>
      <c r="AH25" s="5">
        <f t="shared" ref="AH25:AJ25" si="14">AB218</f>
        <v>89556.219599968157</v>
      </c>
      <c r="AI25" s="5">
        <f t="shared" si="14"/>
        <v>64067.716726626531</v>
      </c>
      <c r="AJ25" s="5">
        <f t="shared" si="14"/>
        <v>117891.62972449249</v>
      </c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</row>
    <row r="26" spans="5:50" x14ac:dyDescent="0.25">
      <c r="E26" s="156">
        <v>10</v>
      </c>
      <c r="F26" s="24" t="s">
        <v>128</v>
      </c>
      <c r="G26" s="24" t="s">
        <v>33</v>
      </c>
      <c r="J26" s="42">
        <f>'Septic Tank - BS'!AN12</f>
        <v>1598.0038685792449</v>
      </c>
      <c r="M26" s="24"/>
      <c r="Q26" s="156">
        <v>10</v>
      </c>
      <c r="R26" s="24" t="s">
        <v>128</v>
      </c>
      <c r="V26" s="5">
        <f>STS!$AA$8</f>
        <v>1752.7570469289112</v>
      </c>
      <c r="W26" s="5"/>
      <c r="X26" s="5"/>
      <c r="Y26" s="5"/>
      <c r="Z26" s="5"/>
      <c r="AA26" s="5"/>
      <c r="AB26" s="5"/>
      <c r="AC26" s="5"/>
      <c r="AD26" s="5"/>
      <c r="AE26" s="5"/>
      <c r="AF26" s="5"/>
      <c r="AG26">
        <v>500</v>
      </c>
      <c r="AH26" s="5">
        <f t="shared" ref="AH26:AJ26" si="15">AB237</f>
        <v>118284.11885278599</v>
      </c>
      <c r="AI26" s="5">
        <f t="shared" si="15"/>
        <v>86947.956168659017</v>
      </c>
      <c r="AJ26" s="5">
        <f t="shared" si="15"/>
        <v>153163.69530066289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</row>
    <row r="27" spans="5:50" x14ac:dyDescent="0.25">
      <c r="E27" s="157"/>
      <c r="F27" s="24" t="s">
        <v>128</v>
      </c>
      <c r="G27" s="24" t="s">
        <v>37</v>
      </c>
      <c r="J27" s="42">
        <f>'Septic Tank - BS'!BA12</f>
        <v>1841.4600599540681</v>
      </c>
      <c r="M27" s="24"/>
      <c r="Q27" s="157"/>
      <c r="R27" s="24" t="s">
        <v>129</v>
      </c>
      <c r="V27" s="5">
        <f>STS!$AA$18</f>
        <v>2058.4310800431103</v>
      </c>
      <c r="W27" s="5"/>
      <c r="X27" s="5"/>
      <c r="Y27" s="5"/>
      <c r="Z27" s="5"/>
      <c r="AA27" s="5"/>
      <c r="AB27" s="5"/>
      <c r="AC27" s="5"/>
      <c r="AD27" s="5"/>
      <c r="AE27" s="5"/>
      <c r="AF27" s="5"/>
      <c r="AG27">
        <v>600</v>
      </c>
      <c r="AH27" s="5">
        <f t="shared" ref="AH27:AJ27" si="16">AB256</f>
        <v>138605.66819979961</v>
      </c>
      <c r="AI27" s="5">
        <f t="shared" si="16"/>
        <v>101331.03146378271</v>
      </c>
      <c r="AJ27" s="5">
        <f t="shared" si="16"/>
        <v>180120.22521213361</v>
      </c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</row>
    <row r="28" spans="5:50" x14ac:dyDescent="0.25">
      <c r="E28" s="157"/>
      <c r="F28" s="24" t="s">
        <v>129</v>
      </c>
      <c r="G28" s="24" t="s">
        <v>37</v>
      </c>
      <c r="J28" s="42">
        <f>'Septic Tank - BS'!BA25</f>
        <v>2669.5107482337103</v>
      </c>
      <c r="Q28" s="157"/>
      <c r="W28" s="5"/>
      <c r="X28" s="5"/>
      <c r="Y28" s="5"/>
      <c r="Z28" s="5"/>
      <c r="AA28" s="5"/>
      <c r="AB28" s="5"/>
      <c r="AC28" s="5"/>
      <c r="AD28" s="5"/>
      <c r="AE28" s="5"/>
      <c r="AF28" s="5"/>
      <c r="AG28">
        <v>800</v>
      </c>
      <c r="AH28" s="5">
        <f t="shared" ref="AH28:AJ28" si="17">AB275</f>
        <v>177102.79000891521</v>
      </c>
      <c r="AI28" s="5">
        <f t="shared" si="17"/>
        <v>127951.20516911848</v>
      </c>
      <c r="AJ28" s="5">
        <f t="shared" si="17"/>
        <v>231887.30815016344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</row>
    <row r="29" spans="5:50" x14ac:dyDescent="0.25">
      <c r="E29" s="157"/>
      <c r="H29" s="24">
        <v>3</v>
      </c>
      <c r="J29" s="42"/>
      <c r="M29" s="42">
        <f>M8</f>
        <v>19350</v>
      </c>
      <c r="Q29" s="157"/>
      <c r="T29" s="18">
        <v>3</v>
      </c>
      <c r="W29" s="5"/>
      <c r="X29" s="5"/>
      <c r="Y29" s="5"/>
      <c r="Z29" s="5"/>
      <c r="AA29" s="5"/>
      <c r="AB29" s="5"/>
      <c r="AC29" s="5"/>
      <c r="AD29" s="5"/>
      <c r="AE29" s="5"/>
      <c r="AF29" s="5"/>
      <c r="AG29">
        <v>1000</v>
      </c>
      <c r="AH29" s="5">
        <f t="shared" ref="AH29:AJ29" si="18">AB294</f>
        <v>220953.69814320258</v>
      </c>
      <c r="AI29" s="5">
        <f t="shared" si="18"/>
        <v>159925.16519962598</v>
      </c>
      <c r="AJ29" s="5">
        <f t="shared" si="18"/>
        <v>289008.17741336499</v>
      </c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</row>
    <row r="30" spans="5:50" x14ac:dyDescent="0.25">
      <c r="E30" s="157"/>
      <c r="H30" s="24">
        <v>6</v>
      </c>
      <c r="J30" s="42"/>
      <c r="M30" s="42">
        <f t="shared" ref="M30:M35" si="19">M9</f>
        <v>9675</v>
      </c>
      <c r="Q30" s="157"/>
      <c r="T30" s="18">
        <v>6</v>
      </c>
      <c r="W30" s="5"/>
      <c r="X30" s="5"/>
      <c r="Y30" s="5"/>
      <c r="Z30" s="5"/>
      <c r="AA30" s="5"/>
      <c r="AB30" s="5"/>
      <c r="AC30" s="5"/>
      <c r="AD30" s="5"/>
      <c r="AE30" s="5"/>
      <c r="AF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X30" s="15"/>
    </row>
    <row r="31" spans="5:50" x14ac:dyDescent="0.25">
      <c r="E31" s="157"/>
      <c r="H31" s="24">
        <v>12</v>
      </c>
      <c r="J31" s="42"/>
      <c r="M31" s="42">
        <f t="shared" si="19"/>
        <v>4837.5</v>
      </c>
      <c r="Q31" s="157"/>
      <c r="T31" s="18">
        <v>12</v>
      </c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X31" s="15"/>
    </row>
    <row r="32" spans="5:50" x14ac:dyDescent="0.25">
      <c r="E32" s="157"/>
      <c r="H32" s="24">
        <v>18</v>
      </c>
      <c r="J32" s="42"/>
      <c r="M32" s="42">
        <f t="shared" si="19"/>
        <v>3096</v>
      </c>
      <c r="Q32" s="157"/>
      <c r="T32" s="18">
        <v>18</v>
      </c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 t="s">
        <v>587</v>
      </c>
      <c r="AI32" s="5" t="s">
        <v>588</v>
      </c>
      <c r="AJ32" s="5" t="s">
        <v>589</v>
      </c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X32" s="15"/>
    </row>
    <row r="33" spans="5:60" x14ac:dyDescent="0.25">
      <c r="E33" s="157"/>
      <c r="H33" s="24">
        <v>24</v>
      </c>
      <c r="J33" s="42"/>
      <c r="M33" s="42">
        <f t="shared" si="19"/>
        <v>2322</v>
      </c>
      <c r="Q33" s="157"/>
      <c r="T33" s="18">
        <v>24</v>
      </c>
      <c r="W33" s="5"/>
      <c r="X33" s="5"/>
      <c r="Y33" s="5"/>
      <c r="Z33" s="5"/>
      <c r="AA33" s="5"/>
      <c r="AB33" s="5"/>
      <c r="AC33" s="5"/>
      <c r="AD33" s="5"/>
      <c r="AE33" s="5"/>
      <c r="AF33" s="5"/>
      <c r="AG33">
        <v>5</v>
      </c>
      <c r="AH33" s="5">
        <f>AH15/$AG15</f>
        <v>402.97463383375288</v>
      </c>
      <c r="AI33" s="5">
        <f t="shared" ref="AI33:AJ33" si="20">AI15/$AG15</f>
        <v>268.32304919051091</v>
      </c>
      <c r="AJ33" s="5">
        <f t="shared" si="20"/>
        <v>541.94061612226631</v>
      </c>
      <c r="AK33" s="5"/>
      <c r="AL33" s="5">
        <f>AH33-AI33</f>
        <v>134.65158464324196</v>
      </c>
      <c r="AM33" s="5">
        <f>AJ33-AH33</f>
        <v>138.96598228851343</v>
      </c>
      <c r="AN33" s="5"/>
      <c r="AO33" s="5"/>
      <c r="AP33" s="5"/>
      <c r="AQ33" s="5"/>
      <c r="AR33" s="5"/>
      <c r="AS33" s="5"/>
      <c r="AT33" s="5"/>
      <c r="AU33" s="5"/>
      <c r="AV33" s="5"/>
    </row>
    <row r="34" spans="5:60" x14ac:dyDescent="0.25">
      <c r="E34" s="157"/>
      <c r="H34" s="24">
        <v>48</v>
      </c>
      <c r="J34" s="42"/>
      <c r="M34" s="42">
        <f t="shared" si="19"/>
        <v>1161</v>
      </c>
      <c r="Q34" s="157"/>
      <c r="T34" s="18">
        <v>48</v>
      </c>
      <c r="W34" s="5"/>
      <c r="X34" s="5"/>
      <c r="Y34" s="5"/>
      <c r="Z34" s="5"/>
      <c r="AA34" s="5"/>
      <c r="AB34" s="5"/>
      <c r="AC34" s="5"/>
      <c r="AD34" s="5"/>
      <c r="AE34" s="5"/>
      <c r="AF34" s="5"/>
      <c r="AG34">
        <v>10</v>
      </c>
      <c r="AH34" s="5">
        <f t="shared" ref="AH34:AJ34" si="21">AH16/$AG16</f>
        <v>336.60863429200856</v>
      </c>
      <c r="AI34" s="5">
        <f t="shared" si="21"/>
        <v>230.75850810154935</v>
      </c>
      <c r="AJ34" s="5">
        <f t="shared" si="21"/>
        <v>439.53130397847997</v>
      </c>
      <c r="AK34" s="5"/>
      <c r="AL34" s="5">
        <f t="shared" ref="AL34:AL47" si="22">AH34-AI34</f>
        <v>105.85012619045921</v>
      </c>
      <c r="AM34" s="5">
        <f t="shared" ref="AM34:AM47" si="23">AJ34-AH34</f>
        <v>102.92266968647141</v>
      </c>
      <c r="AN34" s="5"/>
      <c r="AO34" s="5"/>
      <c r="AP34" s="5"/>
      <c r="AQ34" s="5"/>
      <c r="AR34" s="5"/>
      <c r="AS34" s="5"/>
      <c r="AT34" s="5"/>
      <c r="AU34" s="5"/>
      <c r="AV34" s="5"/>
      <c r="AX34" s="15"/>
      <c r="AY34" s="5"/>
    </row>
    <row r="35" spans="5:60" x14ac:dyDescent="0.25">
      <c r="E35" s="157"/>
      <c r="H35" s="24">
        <v>84</v>
      </c>
      <c r="J35" s="42"/>
      <c r="M35" s="42">
        <f t="shared" si="19"/>
        <v>580.5</v>
      </c>
      <c r="Q35" s="157"/>
      <c r="T35" s="18">
        <v>84</v>
      </c>
      <c r="W35" s="5"/>
      <c r="X35" s="5"/>
      <c r="Y35" s="5"/>
      <c r="Z35" s="5" t="s">
        <v>1546</v>
      </c>
      <c r="AA35" s="5" t="s">
        <v>1547</v>
      </c>
      <c r="AB35" s="5"/>
      <c r="AC35" s="5"/>
      <c r="AD35" s="5"/>
      <c r="AE35" s="5"/>
      <c r="AF35" s="5"/>
      <c r="AG35">
        <v>20</v>
      </c>
      <c r="AH35" s="5">
        <f t="shared" ref="AH35:AJ35" si="24">AH17/$AG17</f>
        <v>275.21735485098424</v>
      </c>
      <c r="AI35" s="5">
        <f t="shared" si="24"/>
        <v>176.02158471233111</v>
      </c>
      <c r="AJ35" s="5">
        <f t="shared" si="24"/>
        <v>378.39952145754455</v>
      </c>
      <c r="AK35" s="5"/>
      <c r="AL35" s="5">
        <f t="shared" si="22"/>
        <v>99.195770138653131</v>
      </c>
      <c r="AM35" s="5">
        <f t="shared" si="23"/>
        <v>103.18216660656032</v>
      </c>
      <c r="AN35" s="5"/>
      <c r="AO35" s="5"/>
      <c r="AP35" s="5"/>
      <c r="AQ35" s="5"/>
      <c r="AR35" s="5"/>
      <c r="AS35" s="5"/>
      <c r="AT35" s="5"/>
      <c r="AX35" s="15"/>
      <c r="AY35" s="5"/>
    </row>
    <row r="36" spans="5:60" x14ac:dyDescent="0.25">
      <c r="E36" s="157"/>
      <c r="I36" s="24">
        <v>12</v>
      </c>
      <c r="J36" s="42"/>
      <c r="K36" s="42">
        <f>'Septic Tank - BS'!AK$107</f>
        <v>554.82803408658242</v>
      </c>
      <c r="L36" s="42">
        <f>'Septic Tank - BS'!AK$170</f>
        <v>3358.7360128051878</v>
      </c>
      <c r="M36" s="12"/>
      <c r="Q36" s="157"/>
      <c r="U36" s="18">
        <v>15</v>
      </c>
      <c r="W36" s="5">
        <f t="shared" si="1"/>
        <v>554.82803408658242</v>
      </c>
      <c r="X36" s="5"/>
      <c r="Y36" s="5"/>
      <c r="Z36" s="5">
        <f>W36+$V$26</f>
        <v>2307.5850810154934</v>
      </c>
      <c r="AA36" s="5">
        <f>$V$27+W36</f>
        <v>2613.2591141296925</v>
      </c>
      <c r="AB36" s="5"/>
      <c r="AC36" s="5"/>
      <c r="AD36" s="5"/>
      <c r="AE36" s="5"/>
      <c r="AF36" s="5"/>
      <c r="AG36">
        <v>30</v>
      </c>
      <c r="AH36" s="5">
        <f t="shared" ref="AH36:AJ36" si="25">AH18/$AG18</f>
        <v>283.15289584469951</v>
      </c>
      <c r="AI36" s="5">
        <f t="shared" si="25"/>
        <v>196.89388934587811</v>
      </c>
      <c r="AJ36" s="5">
        <f t="shared" si="25"/>
        <v>377.72553489200612</v>
      </c>
      <c r="AK36" s="5"/>
      <c r="AL36" s="5">
        <f t="shared" si="22"/>
        <v>86.259006498821407</v>
      </c>
      <c r="AM36" s="5">
        <f t="shared" si="23"/>
        <v>94.572639047306609</v>
      </c>
      <c r="AN36" s="5"/>
      <c r="AO36" s="5"/>
      <c r="AP36" s="5"/>
      <c r="AQ36" s="5"/>
      <c r="AR36" s="5"/>
      <c r="AS36" t="s">
        <v>1483</v>
      </c>
      <c r="AT36" s="5">
        <f>AVERAGE(W36:W38)</f>
        <v>734.59460263956032</v>
      </c>
      <c r="AU36" s="5"/>
      <c r="AV36" s="5"/>
      <c r="AX36" s="15"/>
      <c r="AY36" s="5"/>
      <c r="BE36" s="15"/>
    </row>
    <row r="37" spans="5:60" x14ac:dyDescent="0.25">
      <c r="E37" s="157"/>
      <c r="I37" s="24">
        <v>20</v>
      </c>
      <c r="J37" s="42"/>
      <c r="K37" s="42">
        <f>'Septic Tank - BS'!AL$107</f>
        <v>689.65296050131587</v>
      </c>
      <c r="L37" s="42">
        <f>'Septic Tank - BS'!AL$170</f>
        <v>3759.8386514788363</v>
      </c>
      <c r="Q37" s="157"/>
      <c r="U37" s="18">
        <v>20</v>
      </c>
      <c r="W37" s="5">
        <f t="shared" si="1"/>
        <v>689.65296050131587</v>
      </c>
      <c r="X37" s="5"/>
      <c r="Y37" s="5"/>
      <c r="Z37" s="5">
        <f t="shared" ref="Z37:Z45" si="26">W37+$V$26</f>
        <v>2442.4100074302269</v>
      </c>
      <c r="AA37" s="5">
        <f t="shared" ref="AA37:AA45" si="27">$V$27+W37</f>
        <v>2748.084040544426</v>
      </c>
      <c r="AB37" s="5"/>
      <c r="AC37" s="5"/>
      <c r="AD37" s="5"/>
      <c r="AE37" s="5"/>
      <c r="AF37" s="5"/>
      <c r="AG37">
        <v>50</v>
      </c>
      <c r="AH37" s="5">
        <f t="shared" ref="AH37:AJ37" si="28">AH19/$AG19</f>
        <v>233.02556213299792</v>
      </c>
      <c r="AI37" s="5">
        <f t="shared" si="28"/>
        <v>141.69210212965447</v>
      </c>
      <c r="AJ37" s="5">
        <f t="shared" si="28"/>
        <v>332.49815570218243</v>
      </c>
      <c r="AK37" s="5"/>
      <c r="AL37" s="5">
        <f t="shared" si="22"/>
        <v>91.333460003343447</v>
      </c>
      <c r="AM37" s="5">
        <f t="shared" si="23"/>
        <v>99.472593569184511</v>
      </c>
      <c r="AN37" s="5"/>
      <c r="AO37" s="5"/>
      <c r="AP37" s="5"/>
      <c r="AQ37" s="5"/>
      <c r="AR37" s="5"/>
      <c r="AS37" t="s">
        <v>1484</v>
      </c>
      <c r="AT37" s="5">
        <f>AVERAGE(W39:W42)</f>
        <v>1488.9756884969313</v>
      </c>
      <c r="AU37" s="5"/>
      <c r="AV37" s="5"/>
      <c r="AX37" s="15"/>
      <c r="AY37" s="5"/>
      <c r="BE37" s="15"/>
    </row>
    <row r="38" spans="5:60" x14ac:dyDescent="0.25">
      <c r="E38" s="157"/>
      <c r="I38" s="24">
        <v>30</v>
      </c>
      <c r="J38" s="42"/>
      <c r="K38" s="42">
        <f>'Septic Tank - BS'!AM$107</f>
        <v>959.30281333078256</v>
      </c>
      <c r="L38" s="42">
        <f>'Septic Tank - BS'!AM$170</f>
        <v>4562.0439288261332</v>
      </c>
      <c r="Q38" s="157"/>
      <c r="U38" s="18">
        <v>30</v>
      </c>
      <c r="W38" s="5">
        <f t="shared" si="1"/>
        <v>959.30281333078256</v>
      </c>
      <c r="X38" s="5"/>
      <c r="Y38" s="5"/>
      <c r="Z38" s="5">
        <f t="shared" si="26"/>
        <v>2712.0598602596938</v>
      </c>
      <c r="AA38" s="5">
        <f t="shared" si="27"/>
        <v>3017.7338933738929</v>
      </c>
      <c r="AB38" s="5"/>
      <c r="AC38" s="5"/>
      <c r="AD38" s="5"/>
      <c r="AE38" s="5"/>
      <c r="AF38" s="5"/>
      <c r="AG38">
        <v>75</v>
      </c>
      <c r="AH38" s="5">
        <f t="shared" ref="AH38:AJ38" si="29">AH20/$AG20</f>
        <v>235.7058710572239</v>
      </c>
      <c r="AI38" s="5">
        <f t="shared" si="29"/>
        <v>142.83696608828168</v>
      </c>
      <c r="AJ38" s="5">
        <f t="shared" si="29"/>
        <v>336.09929113260944</v>
      </c>
      <c r="AK38" s="5"/>
      <c r="AL38" s="5">
        <f t="shared" si="22"/>
        <v>92.868904968942218</v>
      </c>
      <c r="AM38" s="5">
        <f t="shared" si="23"/>
        <v>100.39342007538554</v>
      </c>
      <c r="AN38" s="5"/>
      <c r="AO38" s="5"/>
      <c r="AP38" s="5"/>
      <c r="AQ38" s="5"/>
      <c r="AR38" s="5"/>
      <c r="AS38" t="s">
        <v>1485</v>
      </c>
      <c r="AT38" s="5">
        <f>AVERAGE(W43:W45)</f>
        <v>2148.4120774781168</v>
      </c>
      <c r="AU38" s="5"/>
      <c r="AV38" s="5"/>
      <c r="AX38" s="15"/>
      <c r="AY38" s="5"/>
      <c r="BE38" s="15"/>
    </row>
    <row r="39" spans="5:60" x14ac:dyDescent="0.25">
      <c r="E39" s="157"/>
      <c r="I39" s="24">
        <v>40</v>
      </c>
      <c r="J39" s="42"/>
      <c r="K39" s="42">
        <f>'Septic Tank - BS'!AN$107</f>
        <v>1228.9526661602495</v>
      </c>
      <c r="L39" s="42">
        <f>'Septic Tank - BS'!AN$170</f>
        <v>5364.2492061734292</v>
      </c>
      <c r="Q39" s="157"/>
      <c r="U39" s="18">
        <v>40</v>
      </c>
      <c r="W39" s="5">
        <f t="shared" si="1"/>
        <v>1228.9526661602495</v>
      </c>
      <c r="X39" s="5"/>
      <c r="Y39" s="5"/>
      <c r="Z39" s="5">
        <f t="shared" si="26"/>
        <v>2981.7097130891607</v>
      </c>
      <c r="AA39" s="5">
        <f t="shared" si="27"/>
        <v>3287.3837462033598</v>
      </c>
      <c r="AB39" s="5"/>
      <c r="AC39" s="5"/>
      <c r="AD39" s="5"/>
      <c r="AE39" s="5"/>
      <c r="AF39" s="5"/>
      <c r="AG39">
        <v>100</v>
      </c>
      <c r="AH39" s="5">
        <f t="shared" ref="AH39:AJ39" si="30">AH21/$AG21</f>
        <v>272.75912106067392</v>
      </c>
      <c r="AI39" s="5">
        <f t="shared" si="30"/>
        <v>198.06225883222893</v>
      </c>
      <c r="AJ39" s="5">
        <f t="shared" si="30"/>
        <v>354.92072532481939</v>
      </c>
      <c r="AK39" s="5"/>
      <c r="AL39" s="5">
        <f t="shared" si="22"/>
        <v>74.696862228444985</v>
      </c>
      <c r="AM39" s="5">
        <f t="shared" si="23"/>
        <v>82.161604264145467</v>
      </c>
      <c r="AN39" s="5"/>
      <c r="AO39" s="5"/>
      <c r="AP39" s="5"/>
      <c r="AQ39" s="5"/>
      <c r="AR39" s="5"/>
      <c r="AS39" s="5"/>
      <c r="AT39" s="5"/>
      <c r="AU39" s="5"/>
      <c r="AV39" s="5"/>
      <c r="AX39" s="15"/>
      <c r="AY39" s="5"/>
      <c r="BE39" s="15"/>
    </row>
    <row r="40" spans="5:60" x14ac:dyDescent="0.25">
      <c r="E40" s="157"/>
      <c r="I40" s="24">
        <v>50</v>
      </c>
      <c r="K40" s="42">
        <f>'Septic Tank - BS'!AO$107</f>
        <v>1369.4736726167596</v>
      </c>
      <c r="L40" s="42">
        <f>'Septic Tank - BS'!AO$170</f>
        <v>5504.7702126299391</v>
      </c>
      <c r="Q40" s="157"/>
      <c r="U40" s="18">
        <v>50</v>
      </c>
      <c r="W40" s="5">
        <f t="shared" si="1"/>
        <v>1369.4736726167596</v>
      </c>
      <c r="X40" s="5"/>
      <c r="Y40" s="5"/>
      <c r="Z40" s="5">
        <f t="shared" si="26"/>
        <v>3122.2307195456706</v>
      </c>
      <c r="AA40" s="5">
        <f t="shared" si="27"/>
        <v>3427.9047526598697</v>
      </c>
      <c r="AB40" s="5"/>
      <c r="AC40" s="5"/>
      <c r="AD40" s="5"/>
      <c r="AE40" s="5"/>
      <c r="AF40" s="5"/>
      <c r="AG40">
        <v>150</v>
      </c>
      <c r="AH40" s="5">
        <f t="shared" ref="AH40:AJ40" si="31">AH22/$AG22</f>
        <v>241.51145415732705</v>
      </c>
      <c r="AI40" s="5">
        <f t="shared" si="31"/>
        <v>171.16809747391196</v>
      </c>
      <c r="AJ40" s="5">
        <f t="shared" si="31"/>
        <v>319.22575063917378</v>
      </c>
      <c r="AK40" s="5"/>
      <c r="AL40" s="5">
        <f t="shared" si="22"/>
        <v>70.343356683415095</v>
      </c>
      <c r="AM40" s="5">
        <f t="shared" si="23"/>
        <v>77.714296481846731</v>
      </c>
      <c r="AN40" s="5"/>
      <c r="AO40" s="5"/>
      <c r="AP40" s="5"/>
      <c r="AQ40" s="5"/>
      <c r="AR40" s="5"/>
      <c r="AS40" s="5"/>
      <c r="AT40" s="5"/>
      <c r="AU40" s="5"/>
      <c r="AV40" s="5"/>
      <c r="AX40" s="15"/>
      <c r="AY40" s="5"/>
      <c r="BE40" s="15"/>
      <c r="BH40" t="s">
        <v>1476</v>
      </c>
    </row>
    <row r="41" spans="5:60" x14ac:dyDescent="0.25">
      <c r="E41" s="157"/>
      <c r="I41" s="24">
        <v>60</v>
      </c>
      <c r="K41" s="42">
        <f>'Septic Tank - BS'!AP$107</f>
        <v>1598.2624306873963</v>
      </c>
      <c r="L41" s="42">
        <f>'Septic Tank - BS'!AP$170</f>
        <v>5999.8366829594906</v>
      </c>
      <c r="Q41" s="157"/>
      <c r="U41" s="18">
        <v>60</v>
      </c>
      <c r="W41" s="5">
        <f t="shared" si="1"/>
        <v>1598.2624306873963</v>
      </c>
      <c r="X41" s="5"/>
      <c r="Y41" s="5"/>
      <c r="Z41" s="5">
        <f t="shared" si="26"/>
        <v>3351.0194776163075</v>
      </c>
      <c r="AA41" s="5">
        <f t="shared" si="27"/>
        <v>3656.6935107305067</v>
      </c>
      <c r="AB41" s="5"/>
      <c r="AC41" s="5"/>
      <c r="AD41" s="5"/>
      <c r="AE41" s="5"/>
      <c r="AF41" s="5"/>
      <c r="AG41">
        <v>200</v>
      </c>
      <c r="AH41" s="5">
        <f t="shared" ref="AH41:AJ41" si="32">AH23/$AG23</f>
        <v>219.90563610340629</v>
      </c>
      <c r="AI41" s="5">
        <f t="shared" si="32"/>
        <v>151.84786225559736</v>
      </c>
      <c r="AJ41" s="5">
        <f t="shared" si="32"/>
        <v>295.23288108145692</v>
      </c>
      <c r="AK41" s="5"/>
      <c r="AL41" s="5">
        <f t="shared" si="22"/>
        <v>68.057773847808932</v>
      </c>
      <c r="AM41" s="5">
        <f t="shared" si="23"/>
        <v>75.327244978050629</v>
      </c>
      <c r="AN41" s="5"/>
      <c r="AO41" s="5"/>
      <c r="AP41" s="5"/>
      <c r="AQ41" s="5"/>
      <c r="AR41" s="5"/>
      <c r="AS41" s="5"/>
      <c r="AT41" s="5"/>
      <c r="BH41" t="s">
        <v>1477</v>
      </c>
    </row>
    <row r="42" spans="5:60" x14ac:dyDescent="0.25">
      <c r="E42" s="157"/>
      <c r="I42" s="24">
        <v>70</v>
      </c>
      <c r="K42" s="42">
        <f>'Septic Tank - BS'!AQ$107</f>
        <v>1759.2139845233207</v>
      </c>
      <c r="L42" s="42">
        <f>'Septic Tank - BS'!AQ$170</f>
        <v>6160.7882367954153</v>
      </c>
      <c r="Q42" s="157"/>
      <c r="U42" s="18">
        <v>70</v>
      </c>
      <c r="W42" s="5">
        <f t="shared" si="1"/>
        <v>1759.2139845233207</v>
      </c>
      <c r="X42" s="5"/>
      <c r="Y42" s="5"/>
      <c r="Z42" s="5">
        <f t="shared" si="26"/>
        <v>3511.9710314522317</v>
      </c>
      <c r="AA42" s="5">
        <f t="shared" si="27"/>
        <v>3817.6450645664308</v>
      </c>
      <c r="AB42" s="5"/>
      <c r="AC42" s="5"/>
      <c r="AD42" s="5"/>
      <c r="AE42" s="5"/>
      <c r="AF42" s="5"/>
      <c r="AG42">
        <v>300</v>
      </c>
      <c r="AH42" s="5">
        <f t="shared" ref="AH42:AJ42" si="33">AH24/$AG24</f>
        <v>234.51011605221967</v>
      </c>
      <c r="AI42" s="5">
        <f t="shared" si="33"/>
        <v>169.64606745106255</v>
      </c>
      <c r="AJ42" s="5">
        <f t="shared" si="33"/>
        <v>306.54216711542858</v>
      </c>
      <c r="AK42" s="5"/>
      <c r="AL42" s="5">
        <f t="shared" si="22"/>
        <v>64.864048601157123</v>
      </c>
      <c r="AM42" s="5">
        <f t="shared" si="23"/>
        <v>72.032051063208911</v>
      </c>
      <c r="AN42" s="5"/>
      <c r="AO42" s="5"/>
      <c r="AP42" s="5"/>
      <c r="AQ42" s="5"/>
      <c r="AR42" s="5"/>
      <c r="AS42" s="5"/>
      <c r="AT42" s="5"/>
      <c r="AU42" s="5"/>
      <c r="AV42" s="5"/>
      <c r="AX42" s="15"/>
      <c r="BF42" s="15"/>
    </row>
    <row r="43" spans="5:60" x14ac:dyDescent="0.25">
      <c r="E43" s="157"/>
      <c r="I43" s="24">
        <v>80</v>
      </c>
      <c r="K43" s="42">
        <f>'Septic Tank - BS'!AR$107</f>
        <v>1967.5721952145432</v>
      </c>
      <c r="L43" s="42">
        <f>'Septic Tank - BS'!AR$170</f>
        <v>6635.4241597455521</v>
      </c>
      <c r="Q43" s="157"/>
      <c r="U43" s="18">
        <v>80</v>
      </c>
      <c r="W43" s="5">
        <f t="shared" si="1"/>
        <v>1967.5721952145432</v>
      </c>
      <c r="X43" s="5"/>
      <c r="Y43" s="5"/>
      <c r="Z43" s="5">
        <f t="shared" si="26"/>
        <v>3720.3292421434544</v>
      </c>
      <c r="AA43" s="5">
        <f t="shared" si="27"/>
        <v>4026.0032752576535</v>
      </c>
      <c r="AB43" s="5"/>
      <c r="AC43" s="5"/>
      <c r="AD43" s="5"/>
      <c r="AE43" s="5"/>
      <c r="AF43" s="5"/>
      <c r="AG43">
        <v>400</v>
      </c>
      <c r="AH43" s="5">
        <f t="shared" ref="AH43:AJ43" si="34">AH25/$AG25</f>
        <v>223.89054899992038</v>
      </c>
      <c r="AI43" s="5">
        <f t="shared" si="34"/>
        <v>160.16929181656633</v>
      </c>
      <c r="AJ43" s="5">
        <f t="shared" si="34"/>
        <v>294.72907431123122</v>
      </c>
      <c r="AK43" s="5"/>
      <c r="AL43" s="5">
        <f t="shared" si="22"/>
        <v>63.721257183354055</v>
      </c>
      <c r="AM43" s="5">
        <f t="shared" si="23"/>
        <v>70.838525311310832</v>
      </c>
      <c r="AN43" s="5"/>
      <c r="AO43" s="5"/>
      <c r="AP43" s="5"/>
      <c r="AQ43" s="5"/>
      <c r="AR43" s="5"/>
      <c r="AS43" s="5"/>
      <c r="AT43" s="5"/>
      <c r="AU43" s="5"/>
      <c r="AV43" s="5"/>
      <c r="AX43" s="15"/>
      <c r="BF43" s="15"/>
    </row>
    <row r="44" spans="5:60" x14ac:dyDescent="0.25">
      <c r="E44" s="157"/>
      <c r="I44" s="24">
        <v>90</v>
      </c>
      <c r="K44" s="42">
        <f>'Septic Tank - BS'!AS$107</f>
        <v>2140.7820774781167</v>
      </c>
      <c r="L44" s="42">
        <f>'Septic Tank - BS'!AS$170</f>
        <v>6808.6340420091256</v>
      </c>
      <c r="Q44" s="157"/>
      <c r="U44" s="18">
        <v>90</v>
      </c>
      <c r="W44" s="5">
        <f t="shared" si="1"/>
        <v>2140.7820774781167</v>
      </c>
      <c r="X44" s="5"/>
      <c r="Y44" s="5"/>
      <c r="Z44" s="5">
        <f t="shared" si="26"/>
        <v>3893.5391244070279</v>
      </c>
      <c r="AA44" s="5">
        <f t="shared" si="27"/>
        <v>4199.213157521227</v>
      </c>
      <c r="AB44" s="5"/>
      <c r="AC44" s="5"/>
      <c r="AD44" s="5"/>
      <c r="AE44" s="5"/>
      <c r="AF44" s="5"/>
      <c r="AG44">
        <v>500</v>
      </c>
      <c r="AH44" s="5">
        <f t="shared" ref="AH44:AJ44" si="35">AH26/$AG26</f>
        <v>236.56823770557199</v>
      </c>
      <c r="AI44" s="5">
        <f t="shared" si="35"/>
        <v>173.89591233731804</v>
      </c>
      <c r="AJ44" s="5">
        <f t="shared" si="35"/>
        <v>306.32739060132576</v>
      </c>
      <c r="AK44" s="5"/>
      <c r="AL44" s="5">
        <f t="shared" si="22"/>
        <v>62.672325368253951</v>
      </c>
      <c r="AM44" s="5">
        <f t="shared" si="23"/>
        <v>69.759152895753772</v>
      </c>
      <c r="AN44" s="5"/>
      <c r="AO44" s="5"/>
      <c r="AP44" s="5"/>
      <c r="AQ44" s="5"/>
      <c r="AR44" s="5"/>
      <c r="AS44" s="5"/>
      <c r="AT44" s="5"/>
      <c r="AU44" s="5"/>
      <c r="AV44" s="5"/>
      <c r="AX44" s="15"/>
      <c r="BF44" s="15"/>
    </row>
    <row r="45" spans="5:60" x14ac:dyDescent="0.25">
      <c r="E45" s="158"/>
      <c r="F45" s="43"/>
      <c r="G45" s="43"/>
      <c r="H45" s="43"/>
      <c r="I45" s="43">
        <v>100</v>
      </c>
      <c r="J45" s="43"/>
      <c r="K45" s="42">
        <f>'Septic Tank - BS'!AT$107</f>
        <v>2336.88195974169</v>
      </c>
      <c r="L45" s="42">
        <f>'Septic Tank - BS'!AT$170</f>
        <v>7271.0116365316135</v>
      </c>
      <c r="M45" s="11"/>
      <c r="N45" s="43"/>
      <c r="Q45" s="158"/>
      <c r="T45" s="40"/>
      <c r="U45" s="40">
        <v>100</v>
      </c>
      <c r="W45" s="5">
        <f t="shared" si="1"/>
        <v>2336.88195974169</v>
      </c>
      <c r="X45" s="5"/>
      <c r="Y45" s="5"/>
      <c r="Z45" s="5">
        <f t="shared" si="26"/>
        <v>4089.6390066706012</v>
      </c>
      <c r="AA45" s="5">
        <f t="shared" si="27"/>
        <v>4395.3130397847999</v>
      </c>
      <c r="AB45" s="5" t="s">
        <v>587</v>
      </c>
      <c r="AC45" s="5" t="s">
        <v>588</v>
      </c>
      <c r="AD45" s="5" t="s">
        <v>589</v>
      </c>
      <c r="AE45" s="5"/>
      <c r="AF45" s="5"/>
      <c r="AG45">
        <v>600</v>
      </c>
      <c r="AH45" s="5">
        <f t="shared" ref="AH45:AJ45" si="36">AH27/$AG27</f>
        <v>231.00944699966601</v>
      </c>
      <c r="AI45" s="5">
        <f t="shared" si="36"/>
        <v>168.88505243963786</v>
      </c>
      <c r="AJ45" s="5">
        <f t="shared" si="36"/>
        <v>300.20037535355601</v>
      </c>
      <c r="AK45" s="5"/>
      <c r="AL45" s="5">
        <f t="shared" si="22"/>
        <v>62.124394560028151</v>
      </c>
      <c r="AM45" s="5">
        <f t="shared" si="23"/>
        <v>69.190928353890001</v>
      </c>
      <c r="AN45" s="5"/>
      <c r="AO45" s="5"/>
      <c r="AP45" s="5"/>
      <c r="AQ45" s="5"/>
      <c r="AR45" s="5"/>
      <c r="AS45" s="5"/>
      <c r="AT45" s="5"/>
      <c r="AU45" s="5"/>
      <c r="AV45" s="5"/>
      <c r="AX45" s="15"/>
      <c r="BF45" s="15"/>
    </row>
    <row r="46" spans="5:60" x14ac:dyDescent="0.25">
      <c r="E46" s="20"/>
      <c r="F46" s="45"/>
      <c r="G46" s="45"/>
      <c r="H46" s="45"/>
      <c r="I46" s="45"/>
      <c r="J46" s="45"/>
      <c r="K46" s="45"/>
      <c r="L46" s="45"/>
      <c r="M46" s="46"/>
      <c r="N46" s="45"/>
      <c r="Q46" s="45"/>
      <c r="T46" s="20"/>
      <c r="U46" s="20"/>
      <c r="W46" s="5"/>
      <c r="X46" s="5"/>
      <c r="Y46" s="5"/>
      <c r="Z46" s="5"/>
      <c r="AA46" s="5"/>
      <c r="AB46" s="5">
        <f>AVERAGE(Z36:AA45)</f>
        <v>3366.0863429200858</v>
      </c>
      <c r="AC46" s="5">
        <f>Z36</f>
        <v>2307.5850810154934</v>
      </c>
      <c r="AD46" s="5">
        <f>AA45</f>
        <v>4395.3130397847999</v>
      </c>
      <c r="AE46" s="5"/>
      <c r="AF46" s="5"/>
      <c r="AG46">
        <v>800</v>
      </c>
      <c r="AH46" s="5">
        <f t="shared" ref="AH46:AJ46" si="37">AH28/$AG28</f>
        <v>221.37848751114402</v>
      </c>
      <c r="AI46" s="5">
        <f t="shared" si="37"/>
        <v>159.93900646139809</v>
      </c>
      <c r="AJ46" s="5">
        <f t="shared" si="37"/>
        <v>289.85913518770428</v>
      </c>
      <c r="AK46" s="5"/>
      <c r="AL46" s="5">
        <f t="shared" si="22"/>
        <v>61.439481049745922</v>
      </c>
      <c r="AM46" s="5">
        <f t="shared" si="23"/>
        <v>68.480647676560267</v>
      </c>
      <c r="AN46" s="5"/>
      <c r="AO46" s="5"/>
      <c r="AP46" s="5"/>
      <c r="AQ46" s="5"/>
      <c r="AR46" s="5"/>
      <c r="AS46" s="5"/>
      <c r="AT46" s="5"/>
      <c r="AU46" s="5"/>
      <c r="AV46" s="5"/>
      <c r="AX46" s="15"/>
      <c r="BF46" s="15"/>
    </row>
    <row r="47" spans="5:60" x14ac:dyDescent="0.25">
      <c r="E47" s="156">
        <v>20</v>
      </c>
      <c r="F47" s="51" t="s">
        <v>128</v>
      </c>
      <c r="G47" s="51" t="s">
        <v>37</v>
      </c>
      <c r="H47" s="51"/>
      <c r="I47" s="51"/>
      <c r="J47" s="42">
        <f>'Septic Tank - BS'!BP12</f>
        <v>2706.2527439662013</v>
      </c>
      <c r="K47" s="51"/>
      <c r="L47" s="51"/>
      <c r="M47" s="53"/>
      <c r="N47" s="51"/>
      <c r="Q47" s="156">
        <v>20</v>
      </c>
      <c r="R47" s="24" t="s">
        <v>128</v>
      </c>
      <c r="T47" s="52"/>
      <c r="U47" s="52"/>
      <c r="V47" s="5">
        <f>STS!$AO$9</f>
        <v>2561.1288809158395</v>
      </c>
      <c r="W47" s="5"/>
      <c r="X47" s="5"/>
      <c r="Y47" s="5"/>
      <c r="Z47" s="5"/>
      <c r="AA47" s="5"/>
      <c r="AB47" s="5"/>
      <c r="AC47" s="5"/>
      <c r="AD47" s="5"/>
      <c r="AE47" s="5"/>
      <c r="AF47" s="5"/>
      <c r="AG47">
        <v>1000</v>
      </c>
      <c r="AH47" s="5">
        <f t="shared" ref="AH47:AJ47" si="38">AH29/$AG29</f>
        <v>220.95369814320259</v>
      </c>
      <c r="AI47" s="5">
        <f t="shared" si="38"/>
        <v>159.92516519962598</v>
      </c>
      <c r="AJ47" s="5">
        <f t="shared" si="38"/>
        <v>289.00817741336499</v>
      </c>
      <c r="AK47" s="5"/>
      <c r="AL47" s="5">
        <f t="shared" si="22"/>
        <v>61.028532943576607</v>
      </c>
      <c r="AM47" s="5">
        <f t="shared" si="23"/>
        <v>68.054479270162403</v>
      </c>
      <c r="AN47" s="5"/>
      <c r="AO47" s="5"/>
      <c r="AP47" s="5"/>
      <c r="AQ47" s="5"/>
      <c r="AR47" s="5"/>
      <c r="AS47" s="5"/>
      <c r="AT47" s="5"/>
    </row>
    <row r="48" spans="5:60" x14ac:dyDescent="0.25">
      <c r="E48" s="157"/>
      <c r="F48" s="24" t="s">
        <v>129</v>
      </c>
      <c r="G48" s="24" t="s">
        <v>37</v>
      </c>
      <c r="J48" s="42">
        <f>'Septic Tank - BS'!BP26</f>
        <v>3017.2656669316293</v>
      </c>
      <c r="Q48" s="157"/>
      <c r="R48" s="24" t="s">
        <v>129</v>
      </c>
      <c r="V48" s="5">
        <f>STS!$AO$19</f>
        <v>3384.5596467734667</v>
      </c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X48" s="15"/>
      <c r="BG48" s="15"/>
    </row>
    <row r="49" spans="5:60" x14ac:dyDescent="0.25">
      <c r="E49" s="157"/>
      <c r="H49" s="24">
        <v>3</v>
      </c>
      <c r="M49" s="24">
        <f>'Septic Tank - BS'!CG182</f>
        <v>19350</v>
      </c>
      <c r="Q49" s="157"/>
      <c r="T49" s="18">
        <v>3</v>
      </c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X49" s="15"/>
      <c r="BG49" s="15"/>
    </row>
    <row r="50" spans="5:60" x14ac:dyDescent="0.25">
      <c r="E50" s="157"/>
      <c r="H50" s="24">
        <v>6</v>
      </c>
      <c r="J50" s="42"/>
      <c r="K50" s="42"/>
      <c r="M50" s="24">
        <f>'Septic Tank - BS'!CG183</f>
        <v>9675</v>
      </c>
      <c r="Q50" s="157"/>
      <c r="T50" s="18">
        <v>6</v>
      </c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X50" s="15"/>
      <c r="BG50" s="15"/>
    </row>
    <row r="51" spans="5:60" x14ac:dyDescent="0.25">
      <c r="E51" s="157"/>
      <c r="H51" s="24">
        <v>12</v>
      </c>
      <c r="J51" s="42"/>
      <c r="K51" s="42"/>
      <c r="M51" s="24">
        <f>'Septic Tank - BS'!CG184</f>
        <v>4837.5</v>
      </c>
      <c r="Q51" s="157"/>
      <c r="T51" s="18">
        <v>12</v>
      </c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X51" s="15"/>
      <c r="BG51" s="15"/>
    </row>
    <row r="52" spans="5:60" x14ac:dyDescent="0.25">
      <c r="E52" s="157"/>
      <c r="H52" s="24">
        <v>18</v>
      </c>
      <c r="J52" s="42"/>
      <c r="K52" s="42"/>
      <c r="M52" s="24">
        <f>'Septic Tank - BS'!CG185</f>
        <v>3096</v>
      </c>
      <c r="Q52" s="157"/>
      <c r="T52" s="18">
        <v>18</v>
      </c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X52" s="15"/>
      <c r="BG52" s="15"/>
    </row>
    <row r="53" spans="5:60" x14ac:dyDescent="0.25">
      <c r="E53" s="157"/>
      <c r="H53" s="24">
        <v>24</v>
      </c>
      <c r="J53" s="42"/>
      <c r="K53" s="42"/>
      <c r="M53" s="24">
        <f>'Septic Tank - BS'!CG186</f>
        <v>2322</v>
      </c>
      <c r="Q53" s="157"/>
      <c r="T53" s="18">
        <v>24</v>
      </c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</row>
    <row r="54" spans="5:60" x14ac:dyDescent="0.25">
      <c r="E54" s="157"/>
      <c r="H54" s="24">
        <v>48</v>
      </c>
      <c r="J54" s="42"/>
      <c r="K54" s="42"/>
      <c r="M54" s="24">
        <f>'Septic Tank - BS'!CG187</f>
        <v>1161</v>
      </c>
      <c r="Q54" s="157"/>
      <c r="T54" s="18">
        <v>48</v>
      </c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BH54" s="15"/>
    </row>
    <row r="55" spans="5:60" x14ac:dyDescent="0.25">
      <c r="E55" s="157"/>
      <c r="H55" s="24">
        <v>84</v>
      </c>
      <c r="J55" s="42"/>
      <c r="K55" s="42"/>
      <c r="M55" s="24">
        <f>'Septic Tank - BS'!CG188</f>
        <v>580.5</v>
      </c>
      <c r="Q55" s="157"/>
      <c r="T55" s="18">
        <v>84</v>
      </c>
      <c r="W55" s="5"/>
      <c r="X55" s="5"/>
      <c r="Y55" s="5"/>
      <c r="Z55" s="5" t="s">
        <v>1546</v>
      </c>
      <c r="AA55" s="5" t="s">
        <v>1547</v>
      </c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BH55" s="15"/>
    </row>
    <row r="56" spans="5:60" x14ac:dyDescent="0.25">
      <c r="E56" s="157"/>
      <c r="I56" s="24">
        <v>12</v>
      </c>
      <c r="K56" s="42">
        <f>'Septic Tank - BS'!BM$107</f>
        <v>959.30281333078256</v>
      </c>
      <c r="L56" s="42">
        <f>'Septic Tank - BS'!BM$170</f>
        <v>4828.3216410850473</v>
      </c>
      <c r="Q56" s="157"/>
      <c r="U56" s="18">
        <v>15</v>
      </c>
      <c r="W56" s="5">
        <f t="shared" ref="W56:W78" si="39">K56</f>
        <v>959.30281333078256</v>
      </c>
      <c r="X56" s="5"/>
      <c r="Y56" s="5"/>
      <c r="Z56" s="5">
        <f>W56+$V$47</f>
        <v>3520.4316942466221</v>
      </c>
      <c r="AA56" s="5">
        <f>$V$48+W56</f>
        <v>4343.8624601042493</v>
      </c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t="s">
        <v>1483</v>
      </c>
      <c r="AT56" s="5">
        <f>AVERAGE(W56:W58)</f>
        <v>1262.1726367261429</v>
      </c>
      <c r="BH56" s="15"/>
    </row>
    <row r="57" spans="5:60" x14ac:dyDescent="0.25">
      <c r="E57" s="157"/>
      <c r="I57" s="24">
        <v>20</v>
      </c>
      <c r="K57" s="42">
        <f>'Septic Tank - BS'!BN$107</f>
        <v>1228.9526661602495</v>
      </c>
      <c r="L57" s="42">
        <f>'Septic Tank - BS'!BN$170</f>
        <v>5630.5269184323442</v>
      </c>
      <c r="M57" s="12"/>
      <c r="Q57" s="157"/>
      <c r="U57" s="18">
        <v>20</v>
      </c>
      <c r="W57" s="5">
        <f t="shared" si="39"/>
        <v>1228.9526661602495</v>
      </c>
      <c r="X57" s="5"/>
      <c r="Y57" s="5"/>
      <c r="Z57" s="5">
        <f t="shared" ref="Z57:Z65" si="40">W57+$V$47</f>
        <v>3790.081547076089</v>
      </c>
      <c r="AA57" s="5">
        <f t="shared" ref="AA57:AA65" si="41">$V$48+W57</f>
        <v>4613.5123129337162</v>
      </c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t="s">
        <v>1484</v>
      </c>
      <c r="AT57" s="5">
        <f>AVERAGE(W59:W62)</f>
        <v>2521.5368420052637</v>
      </c>
      <c r="AU57" s="5"/>
      <c r="AV57" s="5"/>
      <c r="AX57" s="15"/>
      <c r="BH57" s="15"/>
    </row>
    <row r="58" spans="5:60" x14ac:dyDescent="0.25">
      <c r="E58" s="157"/>
      <c r="I58" s="24">
        <v>30</v>
      </c>
      <c r="K58" s="42">
        <f>'Septic Tank - BS'!BO$107</f>
        <v>1598.2624306873963</v>
      </c>
      <c r="L58" s="42">
        <f>'Septic Tank - BS'!BO$170</f>
        <v>6266.1143952184048</v>
      </c>
      <c r="Q58" s="157"/>
      <c r="U58" s="18">
        <v>30</v>
      </c>
      <c r="W58" s="5">
        <f t="shared" si="39"/>
        <v>1598.2624306873963</v>
      </c>
      <c r="X58" s="5"/>
      <c r="Y58" s="5"/>
      <c r="Z58" s="5">
        <f t="shared" si="40"/>
        <v>4159.3913116032363</v>
      </c>
      <c r="AA58" s="5">
        <f t="shared" si="41"/>
        <v>4982.8220774608635</v>
      </c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t="s">
        <v>1485</v>
      </c>
      <c r="AT58" s="5">
        <f>AVERAGE(W63:W65)</f>
        <v>3814.1210178502774</v>
      </c>
      <c r="AU58" s="5"/>
      <c r="AV58" s="5"/>
      <c r="AX58" s="15"/>
      <c r="BH58" s="15"/>
    </row>
    <row r="59" spans="5:60" x14ac:dyDescent="0.25">
      <c r="E59" s="157"/>
      <c r="I59" s="24">
        <v>40</v>
      </c>
      <c r="K59" s="42">
        <f>'Septic Tank - BS'!BP$107</f>
        <v>1967.5721952145432</v>
      </c>
      <c r="L59" s="42">
        <f>'Septic Tank - BS'!BP$170</f>
        <v>6901.7018720044671</v>
      </c>
      <c r="M59" s="12"/>
      <c r="Q59" s="157"/>
      <c r="U59" s="18">
        <v>40</v>
      </c>
      <c r="W59" s="5">
        <f t="shared" si="39"/>
        <v>1967.5721952145432</v>
      </c>
      <c r="X59" s="5"/>
      <c r="Y59" s="5"/>
      <c r="Z59" s="5">
        <f t="shared" si="40"/>
        <v>4528.7010761303827</v>
      </c>
      <c r="AA59" s="5">
        <f t="shared" si="41"/>
        <v>5352.1318419880099</v>
      </c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X59" s="15"/>
    </row>
    <row r="60" spans="5:60" x14ac:dyDescent="0.25">
      <c r="E60" s="157"/>
      <c r="I60" s="24">
        <v>50</v>
      </c>
      <c r="K60" s="42">
        <f>'Septic Tank - BS'!BQ$107</f>
        <v>2336.88195974169</v>
      </c>
      <c r="L60" s="42">
        <f>'Septic Tank - BS'!BQ$170</f>
        <v>7537.2893487905276</v>
      </c>
      <c r="M60" s="12"/>
      <c r="Q60" s="157"/>
      <c r="U60" s="18">
        <v>50</v>
      </c>
      <c r="W60" s="5">
        <f t="shared" si="39"/>
        <v>2336.88195974169</v>
      </c>
      <c r="X60" s="5"/>
      <c r="Y60" s="5"/>
      <c r="Z60" s="5">
        <f t="shared" si="40"/>
        <v>4898.0108406575291</v>
      </c>
      <c r="AA60" s="5">
        <f t="shared" si="41"/>
        <v>5721.4416065151563</v>
      </c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X60" s="15"/>
      <c r="BE60" s="15"/>
    </row>
    <row r="61" spans="5:60" x14ac:dyDescent="0.25">
      <c r="E61" s="157"/>
      <c r="I61" s="24">
        <v>60</v>
      </c>
      <c r="K61" s="42">
        <f>'Septic Tank - BS'!BR$107</f>
        <v>2706.1917242688369</v>
      </c>
      <c r="L61" s="42">
        <f>'Septic Tank - BS'!BR$170</f>
        <v>8172.8768255765908</v>
      </c>
      <c r="M61" s="12"/>
      <c r="Q61" s="157"/>
      <c r="U61" s="18">
        <v>60</v>
      </c>
      <c r="W61" s="5">
        <f t="shared" si="39"/>
        <v>2706.1917242688369</v>
      </c>
      <c r="X61" s="5"/>
      <c r="Y61" s="5"/>
      <c r="Z61" s="5">
        <f t="shared" si="40"/>
        <v>5267.3206051846764</v>
      </c>
      <c r="AA61" s="5">
        <f t="shared" si="41"/>
        <v>6090.7513710423036</v>
      </c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X61" s="15"/>
      <c r="BE61" s="15"/>
    </row>
    <row r="62" spans="5:60" x14ac:dyDescent="0.25">
      <c r="E62" s="157"/>
      <c r="I62" s="24">
        <v>70</v>
      </c>
      <c r="K62" s="42">
        <f>'Septic Tank - BS'!BS$107</f>
        <v>3075.5014887959842</v>
      </c>
      <c r="L62" s="42">
        <f>'Septic Tank - BS'!BS$170</f>
        <v>8808.4643023626522</v>
      </c>
      <c r="M62" s="12"/>
      <c r="Q62" s="157"/>
      <c r="U62" s="18">
        <v>70</v>
      </c>
      <c r="W62" s="5">
        <f t="shared" si="39"/>
        <v>3075.5014887959842</v>
      </c>
      <c r="X62" s="5"/>
      <c r="Y62" s="5"/>
      <c r="Z62" s="5">
        <f t="shared" si="40"/>
        <v>5636.6303697118237</v>
      </c>
      <c r="AA62" s="5">
        <f t="shared" si="41"/>
        <v>6460.0611355694509</v>
      </c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X62" s="15"/>
      <c r="BE62" s="15"/>
    </row>
    <row r="63" spans="5:60" x14ac:dyDescent="0.25">
      <c r="E63" s="157"/>
      <c r="I63" s="24">
        <v>80</v>
      </c>
      <c r="K63" s="42">
        <f>'Septic Tank - BS'!BT$107</f>
        <v>3444.8112533231306</v>
      </c>
      <c r="L63" s="42">
        <f>'Septic Tank - BS'!BT$170</f>
        <v>9444.0517791487127</v>
      </c>
      <c r="M63" s="12"/>
      <c r="Q63" s="157"/>
      <c r="U63" s="18">
        <v>80</v>
      </c>
      <c r="W63" s="5">
        <f t="shared" si="39"/>
        <v>3444.8112533231306</v>
      </c>
      <c r="X63" s="5"/>
      <c r="Y63" s="5"/>
      <c r="Z63" s="5">
        <f t="shared" si="40"/>
        <v>6005.9401342389701</v>
      </c>
      <c r="AA63" s="5">
        <f t="shared" si="41"/>
        <v>6829.3709000965973</v>
      </c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X63" s="15"/>
      <c r="BE63" s="15"/>
    </row>
    <row r="64" spans="5:60" x14ac:dyDescent="0.25">
      <c r="E64" s="157"/>
      <c r="I64" s="24">
        <v>90</v>
      </c>
      <c r="K64" s="42">
        <f>'Septic Tank - BS'!BU$107</f>
        <v>3814.1210178502779</v>
      </c>
      <c r="L64" s="42">
        <f>'Septic Tank - BS'!BU$170</f>
        <v>10079.639255934777</v>
      </c>
      <c r="M64" s="12"/>
      <c r="Q64" s="157"/>
      <c r="U64" s="18">
        <v>90</v>
      </c>
      <c r="W64" s="5">
        <f t="shared" si="39"/>
        <v>3814.1210178502779</v>
      </c>
      <c r="X64" s="5"/>
      <c r="Y64" s="5"/>
      <c r="Z64" s="5">
        <f t="shared" si="40"/>
        <v>6375.2498987661174</v>
      </c>
      <c r="AA64" s="5">
        <f t="shared" si="41"/>
        <v>7198.6806646237446</v>
      </c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X64" s="15"/>
      <c r="BE64" s="15"/>
    </row>
    <row r="65" spans="5:58" x14ac:dyDescent="0.25">
      <c r="E65" s="158"/>
      <c r="F65" s="43"/>
      <c r="G65" s="43"/>
      <c r="H65" s="43"/>
      <c r="I65" s="43">
        <v>100</v>
      </c>
      <c r="J65" s="43"/>
      <c r="K65" s="48">
        <f>'Septic Tank - BS'!BV$107</f>
        <v>4183.4307823774243</v>
      </c>
      <c r="L65" s="42">
        <f>'Septic Tank - BS'!BV$170</f>
        <v>10715.226732720836</v>
      </c>
      <c r="M65" s="49"/>
      <c r="N65" s="43"/>
      <c r="Q65" s="158"/>
      <c r="T65" s="40"/>
      <c r="U65" s="40">
        <v>100</v>
      </c>
      <c r="W65" s="5">
        <f t="shared" si="39"/>
        <v>4183.4307823774243</v>
      </c>
      <c r="X65" s="5"/>
      <c r="Y65" s="5"/>
      <c r="Z65" s="5">
        <f t="shared" si="40"/>
        <v>6744.5596632932638</v>
      </c>
      <c r="AA65" s="5">
        <f t="shared" si="41"/>
        <v>7567.990429150891</v>
      </c>
      <c r="AB65" s="5" t="s">
        <v>587</v>
      </c>
      <c r="AC65" s="5" t="s">
        <v>588</v>
      </c>
      <c r="AD65" s="5" t="s">
        <v>589</v>
      </c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X65" s="15"/>
      <c r="BE65" s="15"/>
    </row>
    <row r="66" spans="5:58" x14ac:dyDescent="0.25">
      <c r="E66" s="156">
        <v>30</v>
      </c>
      <c r="F66" s="51" t="s">
        <v>128</v>
      </c>
      <c r="G66" s="51" t="s">
        <v>37</v>
      </c>
      <c r="H66" s="51"/>
      <c r="I66" s="51"/>
      <c r="J66" s="54">
        <f>'Septic Tank - BS'!CF11</f>
        <v>3275.7503642471011</v>
      </c>
      <c r="K66" s="54"/>
      <c r="L66" s="51"/>
      <c r="M66" s="55"/>
      <c r="N66" s="51"/>
      <c r="Q66" s="156">
        <v>30</v>
      </c>
      <c r="R66" s="24" t="s">
        <v>128</v>
      </c>
      <c r="T66" s="52"/>
      <c r="U66" s="52"/>
      <c r="V66" s="5">
        <f>STS!$BC$9</f>
        <v>4543.0390878013604</v>
      </c>
      <c r="W66" s="5"/>
      <c r="X66" s="5"/>
      <c r="Y66" s="5"/>
      <c r="Z66" s="5"/>
      <c r="AA66" s="5"/>
      <c r="AB66" s="5">
        <f>AVERAGE(Z56:AA65)</f>
        <v>5504.347097019685</v>
      </c>
      <c r="AC66" s="5">
        <f>Z56</f>
        <v>3520.4316942466221</v>
      </c>
      <c r="AD66" s="5">
        <f>AA65</f>
        <v>7567.990429150891</v>
      </c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X66" s="15"/>
      <c r="BE66" s="15"/>
    </row>
    <row r="67" spans="5:58" x14ac:dyDescent="0.25">
      <c r="E67" s="157"/>
      <c r="F67" s="24" t="s">
        <v>129</v>
      </c>
      <c r="G67" s="24" t="s">
        <v>37</v>
      </c>
      <c r="J67" s="42">
        <f>'Septic Tank - BS'!CF25</f>
        <v>3799.9024390005898</v>
      </c>
      <c r="K67" s="42"/>
      <c r="M67" s="12"/>
      <c r="Q67" s="157"/>
      <c r="R67" s="24" t="s">
        <v>129</v>
      </c>
      <c r="V67" s="5">
        <f>STS!$BC$19</f>
        <v>5301.7864417470246</v>
      </c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BE67" s="15"/>
    </row>
    <row r="68" spans="5:58" x14ac:dyDescent="0.25">
      <c r="E68" s="157"/>
      <c r="J68" s="42"/>
      <c r="M68" s="42">
        <f t="shared" ref="M68:M73" si="42">M49</f>
        <v>19350</v>
      </c>
      <c r="Q68" s="157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X68" s="15"/>
      <c r="BE68" s="15"/>
    </row>
    <row r="69" spans="5:58" x14ac:dyDescent="0.25">
      <c r="E69" s="157"/>
      <c r="J69" s="42"/>
      <c r="K69" s="42"/>
      <c r="M69" s="42">
        <f t="shared" si="42"/>
        <v>9675</v>
      </c>
      <c r="Q69" s="157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X69" s="15"/>
    </row>
    <row r="70" spans="5:58" x14ac:dyDescent="0.25">
      <c r="E70" s="157"/>
      <c r="J70" s="42"/>
      <c r="K70" s="42"/>
      <c r="M70" s="42">
        <f t="shared" si="42"/>
        <v>4837.5</v>
      </c>
      <c r="Q70" s="157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X70" s="15"/>
      <c r="BF70" s="15"/>
    </row>
    <row r="71" spans="5:58" x14ac:dyDescent="0.25">
      <c r="E71" s="157"/>
      <c r="J71" s="42"/>
      <c r="K71" s="42"/>
      <c r="M71" s="42">
        <f t="shared" si="42"/>
        <v>3096</v>
      </c>
      <c r="Q71" s="157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X71" s="15"/>
      <c r="BF71" s="15"/>
    </row>
    <row r="72" spans="5:58" x14ac:dyDescent="0.25">
      <c r="E72" s="157"/>
      <c r="J72" s="42"/>
      <c r="K72" s="42"/>
      <c r="M72" s="42">
        <f t="shared" si="42"/>
        <v>2322</v>
      </c>
      <c r="Q72" s="157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X72" s="15"/>
      <c r="BF72" s="15"/>
    </row>
    <row r="73" spans="5:58" x14ac:dyDescent="0.25">
      <c r="E73" s="157"/>
      <c r="J73" s="42"/>
      <c r="K73" s="42"/>
      <c r="M73" s="42">
        <f t="shared" si="42"/>
        <v>1161</v>
      </c>
      <c r="Q73" s="157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X73" s="15"/>
      <c r="BF73" s="15"/>
    </row>
    <row r="74" spans="5:58" x14ac:dyDescent="0.25">
      <c r="E74" s="157"/>
      <c r="J74" s="42"/>
      <c r="K74" s="42"/>
      <c r="M74" s="42">
        <f>M55</f>
        <v>580.5</v>
      </c>
      <c r="Q74" s="157"/>
      <c r="V74" s="5"/>
      <c r="W74" s="5"/>
      <c r="X74" s="5"/>
      <c r="Y74" s="5"/>
      <c r="Z74" s="5" t="s">
        <v>1546</v>
      </c>
      <c r="AA74" s="5" t="s">
        <v>1547</v>
      </c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X74" s="15"/>
      <c r="BF74" s="15"/>
    </row>
    <row r="75" spans="5:58" x14ac:dyDescent="0.25">
      <c r="E75" s="157"/>
      <c r="I75" s="24">
        <v>12</v>
      </c>
      <c r="J75" s="42"/>
      <c r="K75" s="42">
        <f>'Septic Tank - BS'!CC$107</f>
        <v>1363.7775925749827</v>
      </c>
      <c r="L75" s="42">
        <f>'Septic Tank - BS'!CC$170</f>
        <v>5765.3518448470777</v>
      </c>
      <c r="M75" s="12"/>
      <c r="Q75" s="157"/>
      <c r="U75" s="18">
        <v>15</v>
      </c>
      <c r="V75" s="5"/>
      <c r="W75" s="5">
        <f t="shared" si="39"/>
        <v>1363.7775925749827</v>
      </c>
      <c r="X75" s="5"/>
      <c r="Y75" s="5"/>
      <c r="Z75" s="5">
        <f>W75+$V$66</f>
        <v>5906.8166803763434</v>
      </c>
      <c r="AA75" s="5">
        <f>$V$67+W75</f>
        <v>6665.5640343220075</v>
      </c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t="s">
        <v>1483</v>
      </c>
      <c r="AT75" s="5">
        <f>AVERAGE(W75:W77)</f>
        <v>1700.9407002468317</v>
      </c>
      <c r="AU75" s="5"/>
      <c r="AV75" s="5"/>
      <c r="AX75" s="15"/>
      <c r="BF75" s="15"/>
    </row>
    <row r="76" spans="5:58" x14ac:dyDescent="0.25">
      <c r="E76" s="157"/>
      <c r="I76" s="24">
        <v>20</v>
      </c>
      <c r="J76" s="42"/>
      <c r="K76" s="42">
        <f>'Septic Tank - BS'!CD$107</f>
        <v>1598.2624306873963</v>
      </c>
      <c r="L76" s="42">
        <f>'Septic Tank - BS'!CD$170</f>
        <v>5999.8366829594906</v>
      </c>
      <c r="M76" s="12"/>
      <c r="Q76" s="157"/>
      <c r="U76" s="18">
        <v>20</v>
      </c>
      <c r="V76" s="5"/>
      <c r="W76" s="5">
        <f t="shared" si="39"/>
        <v>1598.2624306873963</v>
      </c>
      <c r="X76" s="5"/>
      <c r="Y76" s="5"/>
      <c r="Z76" s="5">
        <f t="shared" ref="Z76:Z84" si="43">W76+$V$66</f>
        <v>6141.3015184887572</v>
      </c>
      <c r="AA76" s="5">
        <f t="shared" ref="AA76:AA84" si="44">$V$67+W76</f>
        <v>6900.0488724344214</v>
      </c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t="s">
        <v>1484</v>
      </c>
      <c r="AT76" s="5">
        <f>AVERAGE(W78:W81)</f>
        <v>3542.6994285758219</v>
      </c>
      <c r="AU76" s="5"/>
      <c r="AV76" s="5"/>
      <c r="AX76" s="15"/>
      <c r="BF76" s="15"/>
    </row>
    <row r="77" spans="5:58" x14ac:dyDescent="0.25">
      <c r="E77" s="157"/>
      <c r="I77" s="24">
        <v>30</v>
      </c>
      <c r="J77" s="42"/>
      <c r="K77" s="42">
        <f>'Septic Tank - BS'!CE$107</f>
        <v>2140.7820774781167</v>
      </c>
      <c r="L77" s="42">
        <f>'Septic Tank - BS'!CE$170</f>
        <v>7074.9117542680406</v>
      </c>
      <c r="M77" s="12"/>
      <c r="Q77" s="157"/>
      <c r="U77" s="18">
        <v>30</v>
      </c>
      <c r="V77" s="5"/>
      <c r="W77" s="5">
        <f t="shared" si="39"/>
        <v>2140.7820774781167</v>
      </c>
      <c r="X77" s="5"/>
      <c r="Y77" s="5"/>
      <c r="Z77" s="5">
        <f t="shared" si="43"/>
        <v>6683.8211652794771</v>
      </c>
      <c r="AA77" s="5">
        <f t="shared" si="44"/>
        <v>7442.5685192251412</v>
      </c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t="s">
        <v>1485</v>
      </c>
      <c r="AT77" s="5">
        <f>AVERAGE(W82:W84)</f>
        <v>5482.7070968747094</v>
      </c>
      <c r="BF77" s="15"/>
    </row>
    <row r="78" spans="5:58" x14ac:dyDescent="0.25">
      <c r="E78" s="157"/>
      <c r="I78" s="24">
        <v>40</v>
      </c>
      <c r="J78" s="42"/>
      <c r="K78" s="42">
        <f>'Septic Tank - BS'!CF$107</f>
        <v>2706.1917242688369</v>
      </c>
      <c r="L78" s="42">
        <f>'Septic Tank - BS'!CF$170</f>
        <v>7906.5991133176749</v>
      </c>
      <c r="M78" s="12"/>
      <c r="Q78" s="157"/>
      <c r="U78" s="18">
        <v>40</v>
      </c>
      <c r="V78" s="5"/>
      <c r="W78" s="5">
        <f t="shared" si="39"/>
        <v>2706.1917242688369</v>
      </c>
      <c r="X78" s="5"/>
      <c r="Y78" s="5"/>
      <c r="Z78" s="5">
        <f t="shared" si="43"/>
        <v>7249.2308120701973</v>
      </c>
      <c r="AA78" s="5">
        <f t="shared" si="44"/>
        <v>8007.9781660158615</v>
      </c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X78" s="15"/>
      <c r="BF78" s="15"/>
    </row>
    <row r="79" spans="5:58" x14ac:dyDescent="0.25">
      <c r="E79" s="157"/>
      <c r="I79" s="24">
        <v>50</v>
      </c>
      <c r="J79" s="42"/>
      <c r="K79" s="42">
        <f>'Septic Tank - BS'!CG$107</f>
        <v>3267.0988637010305</v>
      </c>
      <c r="L79" s="42">
        <f>'Septic Tank - BS'!CG$170</f>
        <v>9000.0616772676985</v>
      </c>
      <c r="Q79" s="157"/>
      <c r="U79" s="18">
        <v>50</v>
      </c>
      <c r="V79" s="5"/>
      <c r="W79" s="5">
        <f t="shared" ref="W79:W103" si="45">K79</f>
        <v>3267.0988637010305</v>
      </c>
      <c r="X79" s="5"/>
      <c r="Y79" s="5"/>
      <c r="Z79" s="5">
        <f t="shared" si="43"/>
        <v>7810.1379515023909</v>
      </c>
      <c r="AA79" s="5">
        <f t="shared" si="44"/>
        <v>8568.8853054480551</v>
      </c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X79" s="15"/>
      <c r="BF79" s="15"/>
    </row>
    <row r="80" spans="5:58" x14ac:dyDescent="0.25">
      <c r="E80" s="157"/>
      <c r="I80" s="24">
        <v>60</v>
      </c>
      <c r="J80" s="42"/>
      <c r="K80" s="42">
        <f>'Septic Tank - BS'!CH$107</f>
        <v>3814.1210178502779</v>
      </c>
      <c r="L80" s="42">
        <f>'Septic Tank - BS'!CH$170</f>
        <v>9813.3615436758591</v>
      </c>
      <c r="Q80" s="157"/>
      <c r="U80" s="18">
        <v>60</v>
      </c>
      <c r="V80" s="5"/>
      <c r="W80" s="5">
        <f t="shared" si="45"/>
        <v>3814.1210178502779</v>
      </c>
      <c r="X80" s="5"/>
      <c r="Y80" s="5"/>
      <c r="Z80" s="5">
        <f t="shared" si="43"/>
        <v>8357.1601056516374</v>
      </c>
      <c r="AA80" s="5">
        <f t="shared" si="44"/>
        <v>9115.9074595973034</v>
      </c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X80" s="15"/>
    </row>
    <row r="81" spans="5:60" x14ac:dyDescent="0.25">
      <c r="E81" s="157"/>
      <c r="I81" s="24">
        <v>70</v>
      </c>
      <c r="J81" s="42"/>
      <c r="K81" s="42">
        <f>'Septic Tank - BS'!CI$107</f>
        <v>4383.3861084831415</v>
      </c>
      <c r="L81" s="42">
        <f>'Septic Tank - BS'!CI$170</f>
        <v>10648.90434656764</v>
      </c>
      <c r="Q81" s="157"/>
      <c r="U81" s="18">
        <v>70</v>
      </c>
      <c r="V81" s="5"/>
      <c r="W81" s="5">
        <f t="shared" si="45"/>
        <v>4383.3861084831415</v>
      </c>
      <c r="X81" s="5"/>
      <c r="Y81" s="5"/>
      <c r="Z81" s="5">
        <f t="shared" si="43"/>
        <v>8926.425196284501</v>
      </c>
      <c r="AA81" s="5">
        <f t="shared" si="44"/>
        <v>9685.172550230167</v>
      </c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X81" s="15"/>
      <c r="BG81" s="15"/>
    </row>
    <row r="82" spans="5:60" x14ac:dyDescent="0.25">
      <c r="E82" s="157"/>
      <c r="I82" s="24">
        <v>80</v>
      </c>
      <c r="J82" s="42"/>
      <c r="K82" s="42">
        <f>'Septic Tank - BS'!CJ$107</f>
        <v>4922.0503114317189</v>
      </c>
      <c r="L82" s="42">
        <f>'Septic Tank - BS'!CJ$170</f>
        <v>11453.846261775132</v>
      </c>
      <c r="M82" s="12"/>
      <c r="Q82" s="157"/>
      <c r="U82" s="18">
        <v>80</v>
      </c>
      <c r="V82" s="5"/>
      <c r="W82" s="5">
        <f t="shared" si="45"/>
        <v>4922.0503114317189</v>
      </c>
      <c r="X82" s="5"/>
      <c r="Y82" s="5"/>
      <c r="Z82" s="5">
        <f t="shared" si="43"/>
        <v>9465.0893992330784</v>
      </c>
      <c r="AA82" s="5">
        <f t="shared" si="44"/>
        <v>10223.836753178744</v>
      </c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X82" s="15"/>
      <c r="BG82" s="15"/>
    </row>
    <row r="83" spans="5:60" x14ac:dyDescent="0.25">
      <c r="E83" s="157"/>
      <c r="I83" s="24">
        <v>90</v>
      </c>
      <c r="J83" s="42"/>
      <c r="K83" s="42">
        <f>'Septic Tank - BS'!CK$107</f>
        <v>5496.0913741792501</v>
      </c>
      <c r="L83" s="42">
        <f>'Septic Tank - BS'!CK$170</f>
        <v>12560.442749040492</v>
      </c>
      <c r="M83" s="12"/>
      <c r="Q83" s="157"/>
      <c r="U83" s="18">
        <v>90</v>
      </c>
      <c r="V83" s="5"/>
      <c r="W83" s="5">
        <f t="shared" si="45"/>
        <v>5496.0913741792501</v>
      </c>
      <c r="X83" s="5"/>
      <c r="Y83" s="5"/>
      <c r="Z83" s="5">
        <f t="shared" si="43"/>
        <v>10039.130461980611</v>
      </c>
      <c r="AA83" s="5">
        <f t="shared" si="44"/>
        <v>10797.877815926275</v>
      </c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X83" s="15"/>
      <c r="BG83" s="15"/>
    </row>
    <row r="84" spans="5:60" x14ac:dyDescent="0.25">
      <c r="E84" s="158"/>
      <c r="F84" s="43"/>
      <c r="G84" s="43"/>
      <c r="H84" s="43"/>
      <c r="I84" s="43">
        <v>100</v>
      </c>
      <c r="J84" s="48"/>
      <c r="K84" s="48">
        <f>'Septic Tank - BS'!CL$107</f>
        <v>6029.979605013159</v>
      </c>
      <c r="L84" s="48">
        <f>'Septic Tank - BS'!CL$170</f>
        <v>13360.608692133315</v>
      </c>
      <c r="M84" s="49"/>
      <c r="N84" s="43"/>
      <c r="Q84" s="158"/>
      <c r="T84" s="40"/>
      <c r="U84" s="40">
        <v>100</v>
      </c>
      <c r="V84" s="5"/>
      <c r="W84" s="5">
        <f t="shared" si="45"/>
        <v>6029.979605013159</v>
      </c>
      <c r="X84" s="5"/>
      <c r="Y84" s="5"/>
      <c r="Z84" s="5">
        <f t="shared" si="43"/>
        <v>10573.018692814519</v>
      </c>
      <c r="AA84" s="5">
        <f t="shared" si="44"/>
        <v>11331.766046760184</v>
      </c>
      <c r="AB84" s="5" t="s">
        <v>587</v>
      </c>
      <c r="AC84" s="5" t="s">
        <v>588</v>
      </c>
      <c r="AD84" s="5" t="s">
        <v>589</v>
      </c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X84" s="15"/>
      <c r="BG84" s="15"/>
    </row>
    <row r="85" spans="5:60" x14ac:dyDescent="0.25">
      <c r="E85" s="156">
        <v>50</v>
      </c>
      <c r="F85" s="51" t="s">
        <v>128</v>
      </c>
      <c r="G85" s="51" t="s">
        <v>37</v>
      </c>
      <c r="H85" s="51"/>
      <c r="I85" s="51"/>
      <c r="J85" s="54">
        <f>'Septic Tank - BS'!CT10</f>
        <v>4630.7321018863768</v>
      </c>
      <c r="K85" s="54"/>
      <c r="L85" s="51"/>
      <c r="M85" s="55"/>
      <c r="N85" s="51"/>
      <c r="Q85" s="156">
        <v>50</v>
      </c>
      <c r="R85" s="24" t="s">
        <v>128</v>
      </c>
      <c r="T85" s="52"/>
      <c r="U85" s="52"/>
      <c r="V85" s="5">
        <f>STS!$BQ$10</f>
        <v>5143.1595386893714</v>
      </c>
      <c r="W85" s="5"/>
      <c r="X85" s="5"/>
      <c r="Y85" s="5"/>
      <c r="Z85" s="5"/>
      <c r="AA85" s="5"/>
      <c r="AB85" s="5">
        <f>AVERAGE(Z75:AA84)</f>
        <v>8494.586875340985</v>
      </c>
      <c r="AC85" s="5">
        <f>Z75</f>
        <v>5906.8166803763434</v>
      </c>
      <c r="AD85" s="5">
        <f>AA84</f>
        <v>11331.766046760184</v>
      </c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X85" s="15"/>
      <c r="BG85" s="15"/>
    </row>
    <row r="86" spans="5:60" x14ac:dyDescent="0.25">
      <c r="E86" s="157"/>
      <c r="F86" s="24" t="s">
        <v>129</v>
      </c>
      <c r="G86" s="24" t="s">
        <v>37</v>
      </c>
      <c r="J86" s="42">
        <f>'Septic Tank - BS'!CT24</f>
        <v>6143.8685435328571</v>
      </c>
      <c r="K86" s="42"/>
      <c r="M86" s="12"/>
      <c r="Q86" s="157"/>
      <c r="R86" s="24" t="s">
        <v>129</v>
      </c>
      <c r="V86" s="5">
        <f>STS!$BQ$24</f>
        <v>6901.8305348244958</v>
      </c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X86" s="15"/>
      <c r="BG86" s="15"/>
    </row>
    <row r="87" spans="5:60" x14ac:dyDescent="0.25">
      <c r="E87" s="157"/>
      <c r="H87" s="24">
        <v>3</v>
      </c>
      <c r="J87" s="42"/>
      <c r="K87" s="42"/>
      <c r="M87" s="42">
        <f>'Septic Tank - BS'!DH182</f>
        <v>51770.000000000007</v>
      </c>
      <c r="Q87" s="157"/>
      <c r="T87" s="18">
        <v>3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X87" s="15"/>
      <c r="BG87" s="15"/>
    </row>
    <row r="88" spans="5:60" x14ac:dyDescent="0.25">
      <c r="E88" s="157"/>
      <c r="H88" s="24">
        <v>6</v>
      </c>
      <c r="J88" s="42"/>
      <c r="K88" s="42"/>
      <c r="M88" s="42">
        <f>'Septic Tank - BS'!DH183</f>
        <v>25885.000000000004</v>
      </c>
      <c r="Q88" s="157"/>
      <c r="T88" s="18">
        <v>6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BG88" s="15"/>
    </row>
    <row r="89" spans="5:60" x14ac:dyDescent="0.25">
      <c r="E89" s="157"/>
      <c r="H89" s="24">
        <v>12</v>
      </c>
      <c r="J89" s="42"/>
      <c r="K89" s="42"/>
      <c r="M89" s="42">
        <f>'Septic Tank - BS'!DH184</f>
        <v>12942.500000000002</v>
      </c>
      <c r="Q89" s="157"/>
      <c r="T89" s="18">
        <v>12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X89" s="15"/>
      <c r="BG89" s="15"/>
    </row>
    <row r="90" spans="5:60" x14ac:dyDescent="0.25">
      <c r="E90" s="157"/>
      <c r="H90" s="24">
        <v>18</v>
      </c>
      <c r="J90" s="42"/>
      <c r="K90" s="42"/>
      <c r="M90" s="42">
        <f>'Septic Tank - BS'!DH185</f>
        <v>8283.2000000000007</v>
      </c>
      <c r="Q90" s="157"/>
      <c r="T90" s="18">
        <v>18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X90" s="15"/>
      <c r="BG90" s="15"/>
    </row>
    <row r="91" spans="5:60" x14ac:dyDescent="0.25">
      <c r="E91" s="157"/>
      <c r="H91" s="24">
        <v>24</v>
      </c>
      <c r="J91" s="42"/>
      <c r="K91" s="42"/>
      <c r="M91" s="42">
        <f>'Septic Tank - BS'!DH186</f>
        <v>6212.4000000000005</v>
      </c>
      <c r="Q91" s="157"/>
      <c r="T91" s="18">
        <v>24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X91" s="15"/>
    </row>
    <row r="92" spans="5:60" x14ac:dyDescent="0.25">
      <c r="E92" s="157"/>
      <c r="H92" s="24">
        <v>48</v>
      </c>
      <c r="M92" s="42">
        <f>'Septic Tank - BS'!DH187</f>
        <v>3106.2000000000003</v>
      </c>
      <c r="Q92" s="157"/>
      <c r="T92" s="18">
        <v>48</v>
      </c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X92" s="15"/>
      <c r="BH92" s="15"/>
    </row>
    <row r="93" spans="5:60" x14ac:dyDescent="0.25">
      <c r="E93" s="157"/>
      <c r="H93" s="24">
        <v>84</v>
      </c>
      <c r="J93" s="42"/>
      <c r="K93" s="42"/>
      <c r="M93" s="42">
        <f>'Septic Tank - BS'!DH188</f>
        <v>1553.1000000000001</v>
      </c>
      <c r="Q93" s="157"/>
      <c r="T93" s="18">
        <v>84</v>
      </c>
      <c r="V93" s="5"/>
      <c r="W93" s="5"/>
      <c r="X93" s="5"/>
      <c r="Y93" s="5"/>
      <c r="Z93" s="5" t="s">
        <v>1546</v>
      </c>
      <c r="AA93" s="5" t="s">
        <v>1547</v>
      </c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X93" s="15"/>
      <c r="BH93" s="15"/>
    </row>
    <row r="94" spans="5:60" x14ac:dyDescent="0.25">
      <c r="E94" s="157"/>
      <c r="I94" s="24">
        <v>12</v>
      </c>
      <c r="J94" s="42"/>
      <c r="K94" s="42">
        <f>'Septic Tank - BS'!CQ$107</f>
        <v>1941.445567793352</v>
      </c>
      <c r="L94" s="42">
        <f>'Septic Tank - BS'!CQ$170</f>
        <v>7141.85295684219</v>
      </c>
      <c r="M94" s="12"/>
      <c r="Q94" s="157"/>
      <c r="U94" s="18">
        <v>15</v>
      </c>
      <c r="V94" s="5"/>
      <c r="W94" s="5">
        <f t="shared" si="45"/>
        <v>1941.445567793352</v>
      </c>
      <c r="X94" s="5"/>
      <c r="Y94" s="5"/>
      <c r="Z94" s="5">
        <f>W94+$V$85</f>
        <v>7084.6051064827234</v>
      </c>
      <c r="AA94" s="5">
        <f>$V$86+W94</f>
        <v>8843.2761026178487</v>
      </c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t="s">
        <v>1483</v>
      </c>
      <c r="AT94" s="5">
        <f>AVERAGE(W94:W96)</f>
        <v>2515.1421304120245</v>
      </c>
      <c r="AU94" s="5"/>
      <c r="AV94" s="5"/>
      <c r="AX94" s="15"/>
      <c r="BH94" s="15"/>
    </row>
    <row r="95" spans="5:60" x14ac:dyDescent="0.25">
      <c r="E95" s="157"/>
      <c r="I95" s="24">
        <v>20</v>
      </c>
      <c r="J95" s="42"/>
      <c r="K95" s="42">
        <f>'Septic Tank - BS'!CR$107</f>
        <v>2336.88195974169</v>
      </c>
      <c r="L95" s="42">
        <f>'Septic Tank - BS'!CR$170</f>
        <v>7537.2893487905276</v>
      </c>
      <c r="M95" s="12"/>
      <c r="Q95" s="157"/>
      <c r="U95" s="18">
        <v>20</v>
      </c>
      <c r="V95" s="5"/>
      <c r="W95" s="5">
        <f t="shared" si="45"/>
        <v>2336.88195974169</v>
      </c>
      <c r="X95" s="5"/>
      <c r="Y95" s="5"/>
      <c r="Z95" s="5">
        <f t="shared" ref="Z95:Z103" si="46">W95+$V$85</f>
        <v>7480.041498431061</v>
      </c>
      <c r="AA95" s="5">
        <f t="shared" ref="AA95:AA103" si="47">$V$86+W95</f>
        <v>9238.7124945661853</v>
      </c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t="s">
        <v>1484</v>
      </c>
      <c r="AT95" s="5">
        <f>AVERAGE(W97:W100)</f>
        <v>5579.0167232766789</v>
      </c>
      <c r="AU95" s="5"/>
      <c r="AV95" s="5"/>
      <c r="AX95" s="15"/>
      <c r="BH95" s="15"/>
    </row>
    <row r="96" spans="5:60" x14ac:dyDescent="0.25">
      <c r="E96" s="157"/>
      <c r="I96" s="24">
        <v>30</v>
      </c>
      <c r="J96" s="42"/>
      <c r="K96" s="42">
        <f>'Septic Tank - BS'!CS$107</f>
        <v>3267.0988637010305</v>
      </c>
      <c r="L96" s="42">
        <f>'Septic Tank - BS'!CS$170</f>
        <v>9000.0616772676985</v>
      </c>
      <c r="M96" s="12"/>
      <c r="Q96" s="157"/>
      <c r="U96" s="18">
        <v>30</v>
      </c>
      <c r="V96" s="5"/>
      <c r="W96" s="5">
        <f t="shared" si="45"/>
        <v>3267.0988637010305</v>
      </c>
      <c r="X96" s="5"/>
      <c r="Y96" s="5"/>
      <c r="Z96" s="5">
        <f t="shared" si="46"/>
        <v>8410.2584023904019</v>
      </c>
      <c r="AA96" s="5">
        <f t="shared" si="47"/>
        <v>10168.929398525526</v>
      </c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t="s">
        <v>1485</v>
      </c>
      <c r="AT96" s="5">
        <f>AVERAGE(W101:W103)</f>
        <v>8808.7791381956104</v>
      </c>
      <c r="AU96" s="5"/>
      <c r="AV96" s="5"/>
      <c r="AX96" s="15"/>
      <c r="BH96" s="15"/>
    </row>
    <row r="97" spans="5:60" x14ac:dyDescent="0.25">
      <c r="E97" s="157"/>
      <c r="I97" s="24">
        <v>40</v>
      </c>
      <c r="J97" s="42"/>
      <c r="K97" s="42">
        <f>'Septic Tank - BS'!CT$107</f>
        <v>4183.4307823774243</v>
      </c>
      <c r="L97" s="42">
        <f>'Septic Tank - BS'!CT$170</f>
        <v>10715.226732720836</v>
      </c>
      <c r="M97" s="12"/>
      <c r="Q97" s="157"/>
      <c r="U97" s="18">
        <v>40</v>
      </c>
      <c r="V97" s="5"/>
      <c r="W97" s="5">
        <f t="shared" si="45"/>
        <v>4183.4307823774243</v>
      </c>
      <c r="X97" s="5"/>
      <c r="Y97" s="5"/>
      <c r="Z97" s="5">
        <f t="shared" si="46"/>
        <v>9326.5903210667966</v>
      </c>
      <c r="AA97" s="5">
        <f t="shared" si="47"/>
        <v>11085.261317201919</v>
      </c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X97" s="15"/>
      <c r="BH97" s="15"/>
    </row>
    <row r="98" spans="5:60" x14ac:dyDescent="0.25">
      <c r="E98" s="157"/>
      <c r="I98" s="24">
        <v>50</v>
      </c>
      <c r="J98" s="42"/>
      <c r="K98" s="42">
        <f>'Septic Tank - BS'!CU$107</f>
        <v>5125.4345405941194</v>
      </c>
      <c r="L98" s="42">
        <f>'Septic Tank - BS'!CU$170</f>
        <v>12189.785915455363</v>
      </c>
      <c r="M98" s="12"/>
      <c r="Q98" s="157"/>
      <c r="U98" s="18">
        <v>50</v>
      </c>
      <c r="V98" s="5"/>
      <c r="W98" s="5">
        <f t="shared" si="45"/>
        <v>5125.4345405941194</v>
      </c>
      <c r="X98" s="5"/>
      <c r="Y98" s="5"/>
      <c r="Z98" s="5">
        <f t="shared" si="46"/>
        <v>10268.594079283492</v>
      </c>
      <c r="AA98" s="5">
        <f t="shared" si="47"/>
        <v>12027.265075418614</v>
      </c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X98" s="15"/>
      <c r="BH98" s="15"/>
    </row>
    <row r="99" spans="5:60" x14ac:dyDescent="0.25">
      <c r="E99" s="157"/>
      <c r="I99" s="24">
        <v>60</v>
      </c>
      <c r="J99" s="42"/>
      <c r="K99" s="42">
        <f>'Septic Tank - BS'!CV$107</f>
        <v>6029.979605013159</v>
      </c>
      <c r="L99" s="42">
        <f>'Septic Tank - BS'!CV$170</f>
        <v>13626.886404392231</v>
      </c>
      <c r="M99" s="12"/>
      <c r="Q99" s="157"/>
      <c r="U99" s="18">
        <v>60</v>
      </c>
      <c r="V99" s="5"/>
      <c r="W99" s="5">
        <f t="shared" si="45"/>
        <v>6029.979605013159</v>
      </c>
      <c r="X99" s="5"/>
      <c r="Y99" s="5"/>
      <c r="Z99" s="5">
        <f t="shared" si="46"/>
        <v>11173.13914370253</v>
      </c>
      <c r="AA99" s="5">
        <f t="shared" si="47"/>
        <v>12931.810139837655</v>
      </c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BH99" s="15"/>
    </row>
    <row r="100" spans="5:60" x14ac:dyDescent="0.25">
      <c r="E100" s="157"/>
      <c r="I100" s="24">
        <v>70</v>
      </c>
      <c r="J100" s="42"/>
      <c r="K100" s="42">
        <f>'Septic Tank - BS'!CW$107</f>
        <v>6977.2219651220121</v>
      </c>
      <c r="L100" s="42">
        <f>'Septic Tank - BS'!CW$170</f>
        <v>15372.961901277828</v>
      </c>
      <c r="M100" s="12"/>
      <c r="Q100" s="157"/>
      <c r="U100" s="18">
        <v>70</v>
      </c>
      <c r="V100" s="5"/>
      <c r="W100" s="5">
        <f t="shared" si="45"/>
        <v>6977.2219651220121</v>
      </c>
      <c r="X100" s="5"/>
      <c r="Y100" s="5"/>
      <c r="Z100" s="5">
        <f t="shared" si="46"/>
        <v>12120.381503811383</v>
      </c>
      <c r="AA100" s="5">
        <f t="shared" si="47"/>
        <v>13879.052499946509</v>
      </c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BH100" s="15"/>
    </row>
    <row r="101" spans="5:60" x14ac:dyDescent="0.25">
      <c r="E101" s="157"/>
      <c r="I101" s="24">
        <v>80</v>
      </c>
      <c r="J101" s="42"/>
      <c r="K101" s="42">
        <f>'Septic Tank - BS'!CX$107</f>
        <v>7876.5284276488928</v>
      </c>
      <c r="L101" s="42">
        <f>'Septic Tank - BS'!CX$170</f>
        <v>16804.823788322537</v>
      </c>
      <c r="M101" s="12"/>
      <c r="Q101" s="157"/>
      <c r="U101" s="18">
        <v>80</v>
      </c>
      <c r="V101" s="5"/>
      <c r="W101" s="5">
        <f t="shared" si="45"/>
        <v>7876.5284276488928</v>
      </c>
      <c r="X101" s="5"/>
      <c r="Y101" s="5"/>
      <c r="Z101" s="5">
        <f t="shared" si="46"/>
        <v>13019.687966338264</v>
      </c>
      <c r="AA101" s="5">
        <f t="shared" si="47"/>
        <v>14778.358962473389</v>
      </c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BH101" s="15"/>
    </row>
    <row r="102" spans="5:60" x14ac:dyDescent="0.25">
      <c r="E102" s="157"/>
      <c r="I102" s="24">
        <v>90</v>
      </c>
      <c r="J102" s="42"/>
      <c r="K102" s="42">
        <f>'Septic Tank - BS'!CY$107</f>
        <v>8826.7317366533134</v>
      </c>
      <c r="L102" s="42">
        <f>'Septic Tank - BS'!CY$170</f>
        <v>18287.582521844786</v>
      </c>
      <c r="M102" s="12"/>
      <c r="Q102" s="157"/>
      <c r="U102" s="18">
        <v>90</v>
      </c>
      <c r="V102" s="5"/>
      <c r="W102" s="5">
        <f t="shared" si="45"/>
        <v>8826.7317366533134</v>
      </c>
      <c r="X102" s="5"/>
      <c r="Y102" s="5"/>
      <c r="Z102" s="5">
        <f t="shared" si="46"/>
        <v>13969.891275342685</v>
      </c>
      <c r="AA102" s="5">
        <f t="shared" si="47"/>
        <v>15728.562271477809</v>
      </c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</row>
    <row r="103" spans="5:60" x14ac:dyDescent="0.25">
      <c r="E103" s="158"/>
      <c r="F103" s="43"/>
      <c r="G103" s="43"/>
      <c r="H103" s="43"/>
      <c r="I103" s="43">
        <v>100</v>
      </c>
      <c r="J103" s="43"/>
      <c r="K103" s="48">
        <f>'Septic Tank - BS'!CZ$107</f>
        <v>9723.0772502846266</v>
      </c>
      <c r="L103" s="48">
        <f>'Septic Tank - BS'!CZ$170</f>
        <v>19716.483459993931</v>
      </c>
      <c r="M103" s="11"/>
      <c r="N103" s="43"/>
      <c r="Q103" s="158"/>
      <c r="T103" s="40"/>
      <c r="U103" s="40">
        <v>100</v>
      </c>
      <c r="V103" s="5"/>
      <c r="W103" s="5">
        <f t="shared" si="45"/>
        <v>9723.0772502846266</v>
      </c>
      <c r="X103" s="5"/>
      <c r="Y103" s="5"/>
      <c r="Z103" s="5">
        <f t="shared" si="46"/>
        <v>14866.236788973998</v>
      </c>
      <c r="AA103" s="5">
        <f t="shared" si="47"/>
        <v>16624.907785109121</v>
      </c>
      <c r="AB103" s="5" t="s">
        <v>587</v>
      </c>
      <c r="AC103" s="5" t="s">
        <v>588</v>
      </c>
      <c r="AD103" s="5" t="s">
        <v>589</v>
      </c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</row>
    <row r="104" spans="5:60" x14ac:dyDescent="0.25">
      <c r="E104" s="156">
        <v>75</v>
      </c>
      <c r="F104" s="51" t="s">
        <v>128</v>
      </c>
      <c r="G104" s="51" t="s">
        <v>37</v>
      </c>
      <c r="H104" s="51"/>
      <c r="I104" s="51"/>
      <c r="J104" s="54">
        <f>'Septic Tank - BS'!DG10</f>
        <v>5143.1595386893714</v>
      </c>
      <c r="K104" s="54"/>
      <c r="L104" s="51"/>
      <c r="M104" s="55"/>
      <c r="N104" s="51"/>
      <c r="Q104" s="156">
        <v>75</v>
      </c>
      <c r="R104" s="24" t="s">
        <v>128</v>
      </c>
      <c r="T104" s="52"/>
      <c r="U104" s="52"/>
      <c r="V104" s="5">
        <f>STS!$CE$10</f>
        <v>8130.7656440499704</v>
      </c>
      <c r="W104" s="5"/>
      <c r="X104" s="5"/>
      <c r="Y104" s="5"/>
      <c r="Z104" s="5"/>
      <c r="AA104" s="5"/>
      <c r="AB104" s="5">
        <f>AVERAGE(Z94:AA103)</f>
        <v>11651.278106649896</v>
      </c>
      <c r="AC104" s="5">
        <f>Z94</f>
        <v>7084.6051064827234</v>
      </c>
      <c r="AD104" s="5">
        <f>AA103</f>
        <v>16624.907785109121</v>
      </c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</row>
    <row r="105" spans="5:60" x14ac:dyDescent="0.25">
      <c r="E105" s="157"/>
      <c r="F105" s="24" t="s">
        <v>129</v>
      </c>
      <c r="G105" s="24" t="s">
        <v>37</v>
      </c>
      <c r="J105" s="42">
        <f>'Septic Tank - BS'!DG24</f>
        <v>6901.8305348244958</v>
      </c>
      <c r="K105" s="42"/>
      <c r="M105" s="12"/>
      <c r="Q105" s="157"/>
      <c r="R105" s="24" t="s">
        <v>129</v>
      </c>
      <c r="V105" s="5">
        <f>STS!$CE$25</f>
        <v>10836.860966165177</v>
      </c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</row>
    <row r="106" spans="5:60" x14ac:dyDescent="0.25">
      <c r="E106" s="157"/>
      <c r="H106" s="24">
        <v>3</v>
      </c>
      <c r="J106" s="42"/>
      <c r="K106" s="42"/>
      <c r="M106" s="42">
        <f>'Septic Tank - BS'!DH182</f>
        <v>51770.000000000007</v>
      </c>
      <c r="Q106" s="157"/>
      <c r="T106" s="18">
        <v>3</v>
      </c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</row>
    <row r="107" spans="5:60" x14ac:dyDescent="0.25">
      <c r="E107" s="157"/>
      <c r="H107" s="24">
        <v>6</v>
      </c>
      <c r="J107" s="42"/>
      <c r="K107" s="42"/>
      <c r="M107" s="42">
        <f>'Septic Tank - BS'!DH183</f>
        <v>25885.000000000004</v>
      </c>
      <c r="Q107" s="157"/>
      <c r="T107" s="18">
        <v>6</v>
      </c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</row>
    <row r="108" spans="5:60" x14ac:dyDescent="0.25">
      <c r="E108" s="157"/>
      <c r="H108" s="24">
        <v>12</v>
      </c>
      <c r="J108" s="42"/>
      <c r="K108" s="42"/>
      <c r="M108" s="42">
        <f>'Septic Tank - BS'!DH184</f>
        <v>12942.500000000002</v>
      </c>
      <c r="Q108" s="157"/>
      <c r="T108" s="18">
        <v>12</v>
      </c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</row>
    <row r="109" spans="5:60" x14ac:dyDescent="0.25">
      <c r="E109" s="157"/>
      <c r="H109" s="24">
        <v>18</v>
      </c>
      <c r="J109" s="42"/>
      <c r="K109" s="42"/>
      <c r="M109" s="42">
        <f>'Septic Tank - BS'!DH185</f>
        <v>8283.2000000000007</v>
      </c>
      <c r="Q109" s="157"/>
      <c r="T109" s="18">
        <v>18</v>
      </c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</row>
    <row r="110" spans="5:60" x14ac:dyDescent="0.25">
      <c r="E110" s="157"/>
      <c r="H110" s="24">
        <v>24</v>
      </c>
      <c r="J110" s="42"/>
      <c r="K110" s="42"/>
      <c r="M110" s="42">
        <f>'Septic Tank - BS'!DH186</f>
        <v>6212.4000000000005</v>
      </c>
      <c r="Q110" s="157"/>
      <c r="T110" s="18">
        <v>24</v>
      </c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</row>
    <row r="111" spans="5:60" x14ac:dyDescent="0.25">
      <c r="E111" s="157"/>
      <c r="H111" s="24">
        <v>48</v>
      </c>
      <c r="J111" s="42"/>
      <c r="K111" s="42"/>
      <c r="M111" s="42">
        <f>'Septic Tank - BS'!DH187</f>
        <v>3106.2000000000003</v>
      </c>
      <c r="Q111" s="157"/>
      <c r="T111" s="18">
        <v>48</v>
      </c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</row>
    <row r="112" spans="5:60" x14ac:dyDescent="0.25">
      <c r="E112" s="157"/>
      <c r="H112" s="24">
        <v>84</v>
      </c>
      <c r="J112" s="42"/>
      <c r="K112" s="42"/>
      <c r="M112" s="42">
        <f>'Septic Tank - BS'!DH188</f>
        <v>1553.1000000000001</v>
      </c>
      <c r="Q112" s="157"/>
      <c r="T112" s="18">
        <v>84</v>
      </c>
      <c r="V112" s="5"/>
      <c r="W112" s="5"/>
      <c r="X112" s="5"/>
      <c r="Y112" s="5"/>
      <c r="Z112" s="5" t="s">
        <v>1546</v>
      </c>
      <c r="AA112" s="5" t="s">
        <v>1547</v>
      </c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</row>
    <row r="113" spans="5:46" x14ac:dyDescent="0.25">
      <c r="E113" s="157"/>
      <c r="I113" s="24">
        <v>12</v>
      </c>
      <c r="J113" s="42"/>
      <c r="K113" s="42">
        <f>'Septic Tank - BS'!DD$107</f>
        <v>2582.0068125711568</v>
      </c>
      <c r="L113" s="42">
        <f>'Septic Tank - BS'!DD$170</f>
        <v>8048.6919138789108</v>
      </c>
      <c r="M113" s="12"/>
      <c r="Q113" s="157"/>
      <c r="U113" s="18">
        <v>15</v>
      </c>
      <c r="V113" s="5"/>
      <c r="W113" s="5">
        <f t="shared" ref="W113:W141" si="48">K113</f>
        <v>2582.0068125711568</v>
      </c>
      <c r="X113" s="5"/>
      <c r="Y113" s="5"/>
      <c r="Z113" s="5">
        <f>W113+$V$104</f>
        <v>10712.772456621127</v>
      </c>
      <c r="AA113" s="5">
        <f>$V$105+W113</f>
        <v>13418.867778736334</v>
      </c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t="s">
        <v>1483</v>
      </c>
      <c r="AT113" s="5">
        <f>AVERAGE(W113:W115)</f>
        <v>3506.6367712684391</v>
      </c>
    </row>
    <row r="114" spans="5:46" x14ac:dyDescent="0.25">
      <c r="E114" s="157"/>
      <c r="I114" s="24">
        <v>20</v>
      </c>
      <c r="K114" s="42">
        <f>'Septic Tank - BS'!DE$107</f>
        <v>3267.0988637010305</v>
      </c>
      <c r="L114" s="42">
        <f>'Septic Tank - BS'!DE$170</f>
        <v>9266.3393895266126</v>
      </c>
      <c r="M114" s="12"/>
      <c r="Q114" s="157"/>
      <c r="U114" s="18">
        <v>20</v>
      </c>
      <c r="V114" s="5"/>
      <c r="W114" s="5">
        <f t="shared" si="48"/>
        <v>3267.0988637010305</v>
      </c>
      <c r="X114" s="5"/>
      <c r="Y114" s="5"/>
      <c r="Z114" s="5">
        <f t="shared" ref="Z114:Z122" si="49">W114+$V$104</f>
        <v>11397.864507751001</v>
      </c>
      <c r="AA114" s="5">
        <f t="shared" ref="AA114:AA122" si="50">$V$105+W114</f>
        <v>14103.959829866208</v>
      </c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t="s">
        <v>1484</v>
      </c>
      <c r="AT114" s="5">
        <f>AVERAGE(W116:W119)</f>
        <v>8127.8553825743866</v>
      </c>
    </row>
    <row r="115" spans="5:46" x14ac:dyDescent="0.25">
      <c r="E115" s="157"/>
      <c r="I115" s="24">
        <v>30</v>
      </c>
      <c r="J115" s="42"/>
      <c r="K115" s="42">
        <f>'Septic Tank - BS'!DF$107</f>
        <v>4670.8046375331296</v>
      </c>
      <c r="L115" s="42">
        <f>'Septic Tank - BS'!DF$170</f>
        <v>11468.878300135457</v>
      </c>
      <c r="M115" s="12"/>
      <c r="Q115" s="157"/>
      <c r="U115" s="18">
        <v>30</v>
      </c>
      <c r="V115" s="5"/>
      <c r="W115" s="5">
        <f t="shared" si="48"/>
        <v>4670.8046375331296</v>
      </c>
      <c r="X115" s="5"/>
      <c r="Y115" s="5"/>
      <c r="Z115" s="5">
        <f t="shared" si="49"/>
        <v>12801.570281583099</v>
      </c>
      <c r="AA115" s="5">
        <f t="shared" si="50"/>
        <v>15507.665603698308</v>
      </c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t="s">
        <v>1485</v>
      </c>
      <c r="AT115" s="5">
        <f>AVERAGE(W120:W122)</f>
        <v>12969.979465913115</v>
      </c>
    </row>
    <row r="116" spans="5:46" x14ac:dyDescent="0.25">
      <c r="E116" s="157"/>
      <c r="I116" s="24">
        <v>40</v>
      </c>
      <c r="J116" s="42"/>
      <c r="K116" s="42">
        <f>'Septic Tank - BS'!DG$107</f>
        <v>6029.979605013159</v>
      </c>
      <c r="L116" s="42">
        <f>'Septic Tank - BS'!DG$170</f>
        <v>13626.886404392231</v>
      </c>
      <c r="M116" s="12"/>
      <c r="Q116" s="157"/>
      <c r="U116" s="18">
        <v>40</v>
      </c>
      <c r="V116" s="5"/>
      <c r="W116" s="5">
        <f t="shared" si="48"/>
        <v>6029.979605013159</v>
      </c>
      <c r="X116" s="5"/>
      <c r="Y116" s="5"/>
      <c r="Z116" s="5">
        <f t="shared" si="49"/>
        <v>14160.745249063129</v>
      </c>
      <c r="AA116" s="5">
        <f t="shared" si="50"/>
        <v>16866.840571178334</v>
      </c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</row>
    <row r="117" spans="5:46" x14ac:dyDescent="0.25">
      <c r="E117" s="157"/>
      <c r="I117" s="24">
        <v>50</v>
      </c>
      <c r="J117" s="42"/>
      <c r="K117" s="42">
        <f>'Septic Tank - BS'!DH$107</f>
        <v>7427.2336270412316</v>
      </c>
      <c r="L117" s="42">
        <f>'Septic Tank - BS'!DH$170</f>
        <v>16089.251275455961</v>
      </c>
      <c r="M117" s="12"/>
      <c r="Q117" s="157"/>
      <c r="U117" s="18">
        <v>50</v>
      </c>
      <c r="V117" s="5"/>
      <c r="W117" s="5">
        <f t="shared" si="48"/>
        <v>7427.2336270412316</v>
      </c>
      <c r="X117" s="5"/>
      <c r="Y117" s="5"/>
      <c r="Z117" s="5">
        <f t="shared" si="49"/>
        <v>15557.999271091201</v>
      </c>
      <c r="AA117" s="5">
        <f t="shared" si="50"/>
        <v>18264.09459320641</v>
      </c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</row>
    <row r="118" spans="5:46" x14ac:dyDescent="0.25">
      <c r="E118" s="157"/>
      <c r="I118" s="24">
        <v>60</v>
      </c>
      <c r="J118" s="42"/>
      <c r="K118" s="42">
        <f>'Septic Tank - BS'!DI$107</f>
        <v>8826.7317366533134</v>
      </c>
      <c r="L118" s="42">
        <f>'Septic Tank - BS'!DI$170</f>
        <v>18287.582521844786</v>
      </c>
      <c r="M118" s="12"/>
      <c r="Q118" s="157"/>
      <c r="U118" s="18">
        <v>60</v>
      </c>
      <c r="V118" s="5"/>
      <c r="W118" s="5">
        <f t="shared" si="48"/>
        <v>8826.7317366533134</v>
      </c>
      <c r="X118" s="5"/>
      <c r="Y118" s="5"/>
      <c r="Z118" s="5">
        <f t="shared" si="49"/>
        <v>16957.497380703284</v>
      </c>
      <c r="AA118" s="5">
        <f t="shared" si="50"/>
        <v>19663.592702818489</v>
      </c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</row>
    <row r="119" spans="5:46" x14ac:dyDescent="0.25">
      <c r="E119" s="157"/>
      <c r="I119" s="24">
        <v>70</v>
      </c>
      <c r="J119" s="42"/>
      <c r="K119" s="42">
        <f>'Septic Tank - BS'!DJ$107</f>
        <v>10227.476561589843</v>
      </c>
      <c r="L119" s="42">
        <f>'Septic Tank - BS'!DJ$170</f>
        <v>20753.438195816976</v>
      </c>
      <c r="M119" s="12"/>
      <c r="Q119" s="157"/>
      <c r="U119" s="18">
        <v>70</v>
      </c>
      <c r="V119" s="5"/>
      <c r="W119" s="5">
        <f t="shared" si="48"/>
        <v>10227.476561589843</v>
      </c>
      <c r="X119" s="5"/>
      <c r="Y119" s="5"/>
      <c r="Z119" s="5">
        <f t="shared" si="49"/>
        <v>18358.242205639814</v>
      </c>
      <c r="AA119" s="5">
        <f t="shared" si="50"/>
        <v>21064.337527755022</v>
      </c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</row>
    <row r="120" spans="5:46" x14ac:dyDescent="0.25">
      <c r="E120" s="157"/>
      <c r="I120" s="24">
        <v>80</v>
      </c>
      <c r="J120" s="42"/>
      <c r="K120" s="42">
        <f>'Septic Tank - BS'!DK$107</f>
        <v>11569.626072920362</v>
      </c>
      <c r="L120" s="42">
        <f>'Septic Tank - BS'!DK$170</f>
        <v>22894.420843924243</v>
      </c>
      <c r="M120" s="12"/>
      <c r="Q120" s="157"/>
      <c r="U120" s="18">
        <v>80</v>
      </c>
      <c r="V120" s="5"/>
      <c r="W120" s="5">
        <f t="shared" si="48"/>
        <v>11569.626072920362</v>
      </c>
      <c r="X120" s="5"/>
      <c r="Y120" s="5"/>
      <c r="Z120" s="5">
        <f t="shared" si="49"/>
        <v>19700.391716970335</v>
      </c>
      <c r="AA120" s="5">
        <f t="shared" si="50"/>
        <v>22406.487039085539</v>
      </c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</row>
    <row r="121" spans="5:46" x14ac:dyDescent="0.25">
      <c r="E121" s="157"/>
      <c r="I121" s="24">
        <v>90</v>
      </c>
      <c r="J121" s="42"/>
      <c r="K121" s="42">
        <f>'Septic Tank - BS'!DL$107</f>
        <v>12969.726456038446</v>
      </c>
      <c r="L121" s="42">
        <f>'Septic Tank - BS'!DL$170</f>
        <v>25093.354363819068</v>
      </c>
      <c r="M121" s="12"/>
      <c r="Q121" s="157"/>
      <c r="U121" s="18">
        <v>90</v>
      </c>
      <c r="V121" s="5"/>
      <c r="W121" s="5">
        <f t="shared" si="48"/>
        <v>12969.726456038446</v>
      </c>
      <c r="X121" s="5"/>
      <c r="Y121" s="5"/>
      <c r="Z121" s="5">
        <f t="shared" si="49"/>
        <v>21100.492100088417</v>
      </c>
      <c r="AA121" s="5">
        <f t="shared" si="50"/>
        <v>23806.587422203622</v>
      </c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</row>
    <row r="122" spans="5:46" x14ac:dyDescent="0.25">
      <c r="E122" s="158"/>
      <c r="F122" s="43"/>
      <c r="G122" s="43"/>
      <c r="H122" s="43"/>
      <c r="I122" s="43">
        <v>100</v>
      </c>
      <c r="J122" s="48"/>
      <c r="K122" s="48">
        <f>'Septic Tank - BS'!DM$107</f>
        <v>14370.585868780534</v>
      </c>
      <c r="L122" s="48">
        <f>'Septic Tank - BS'!DM$170</f>
        <v>27559.324625596815</v>
      </c>
      <c r="M122" s="49"/>
      <c r="N122" s="43"/>
      <c r="Q122" s="158"/>
      <c r="T122" s="40"/>
      <c r="U122" s="40">
        <v>100</v>
      </c>
      <c r="V122" s="5"/>
      <c r="W122" s="5">
        <f t="shared" si="48"/>
        <v>14370.585868780534</v>
      </c>
      <c r="X122" s="5"/>
      <c r="Y122" s="5"/>
      <c r="Z122" s="5">
        <f t="shared" si="49"/>
        <v>22501.351512830504</v>
      </c>
      <c r="AA122" s="5">
        <f t="shared" si="50"/>
        <v>25207.446834945709</v>
      </c>
      <c r="AB122" s="5" t="s">
        <v>587</v>
      </c>
      <c r="AC122" s="5" t="s">
        <v>588</v>
      </c>
      <c r="AD122" s="5" t="s">
        <v>589</v>
      </c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</row>
    <row r="123" spans="5:46" x14ac:dyDescent="0.25">
      <c r="E123" s="156">
        <v>100</v>
      </c>
      <c r="F123" s="51" t="s">
        <v>128</v>
      </c>
      <c r="G123" s="51" t="s">
        <v>37</v>
      </c>
      <c r="H123" s="51"/>
      <c r="I123" s="51"/>
      <c r="J123" s="42">
        <f>'Septic Tank - BS'!DT10</f>
        <v>8130.7656440499704</v>
      </c>
      <c r="K123" s="54"/>
      <c r="L123" s="51"/>
      <c r="M123" s="55"/>
      <c r="N123" s="51"/>
      <c r="Q123" s="156">
        <v>100</v>
      </c>
      <c r="R123" s="24" t="s">
        <v>128</v>
      </c>
      <c r="T123" s="52"/>
      <c r="U123" s="52"/>
      <c r="V123" s="5"/>
      <c r="W123" s="5"/>
      <c r="X123" s="5"/>
      <c r="Y123" s="5"/>
      <c r="Z123" s="5"/>
      <c r="AA123" s="5"/>
      <c r="AB123" s="5">
        <f>AVERAGE(Z113:AA122)</f>
        <v>17677.940329291792</v>
      </c>
      <c r="AC123" s="5">
        <f>Z113</f>
        <v>10712.772456621127</v>
      </c>
      <c r="AD123" s="5">
        <f>AA122</f>
        <v>25207.446834945709</v>
      </c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</row>
    <row r="124" spans="5:46" x14ac:dyDescent="0.25">
      <c r="E124" s="157"/>
      <c r="F124" s="24" t="s">
        <v>129</v>
      </c>
      <c r="G124" s="24" t="s">
        <v>37</v>
      </c>
      <c r="J124" s="42">
        <v>9930.5155549224</v>
      </c>
      <c r="K124" s="42"/>
      <c r="M124" s="12"/>
      <c r="Q124" s="157"/>
      <c r="R124" s="24" t="s">
        <v>129</v>
      </c>
      <c r="V124" s="5">
        <f>STS!$CS$25</f>
        <v>16536.251169018637</v>
      </c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</row>
    <row r="125" spans="5:46" x14ac:dyDescent="0.25">
      <c r="E125" s="157"/>
      <c r="H125" s="24">
        <v>3</v>
      </c>
      <c r="M125" s="24">
        <f>'Septic Tank - BS'!DS183</f>
        <v>66050</v>
      </c>
      <c r="Q125" s="157"/>
      <c r="T125" s="18">
        <v>3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</row>
    <row r="126" spans="5:46" x14ac:dyDescent="0.25">
      <c r="E126" s="157"/>
      <c r="H126" s="24">
        <v>6</v>
      </c>
      <c r="J126" s="42"/>
      <c r="K126" s="42"/>
      <c r="M126" s="24">
        <f>'Septic Tank - BS'!DS184</f>
        <v>33025</v>
      </c>
      <c r="Q126" s="157"/>
      <c r="T126" s="18">
        <v>6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</row>
    <row r="127" spans="5:46" x14ac:dyDescent="0.25">
      <c r="E127" s="157"/>
      <c r="H127" s="24">
        <v>12</v>
      </c>
      <c r="J127" s="42"/>
      <c r="K127" s="42"/>
      <c r="M127" s="24">
        <f>'Septic Tank - BS'!DS185</f>
        <v>16512.5</v>
      </c>
      <c r="Q127" s="157"/>
      <c r="T127" s="18">
        <v>12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</row>
    <row r="128" spans="5:46" x14ac:dyDescent="0.25">
      <c r="E128" s="157"/>
      <c r="H128" s="24">
        <v>18</v>
      </c>
      <c r="J128" s="42"/>
      <c r="K128" s="42"/>
      <c r="M128" s="24">
        <f>'Septic Tank - BS'!DS186</f>
        <v>10568</v>
      </c>
      <c r="Q128" s="157"/>
      <c r="T128" s="18">
        <v>18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</row>
    <row r="129" spans="5:46" x14ac:dyDescent="0.25">
      <c r="E129" s="157"/>
      <c r="H129" s="24">
        <v>24</v>
      </c>
      <c r="J129" s="42"/>
      <c r="K129" s="42"/>
      <c r="M129" s="24">
        <f>'Septic Tank - BS'!DS187</f>
        <v>7926</v>
      </c>
      <c r="Q129" s="157"/>
      <c r="T129" s="18">
        <v>24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</row>
    <row r="130" spans="5:46" x14ac:dyDescent="0.25">
      <c r="E130" s="157"/>
      <c r="H130" s="24">
        <v>48</v>
      </c>
      <c r="J130" s="42"/>
      <c r="K130" s="42"/>
      <c r="M130" s="24">
        <f>'Septic Tank - BS'!DS188</f>
        <v>3963</v>
      </c>
      <c r="Q130" s="157"/>
      <c r="T130" s="18">
        <v>48</v>
      </c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</row>
    <row r="131" spans="5:46" x14ac:dyDescent="0.25">
      <c r="E131" s="157"/>
      <c r="H131" s="24">
        <v>84</v>
      </c>
      <c r="J131" s="42"/>
      <c r="K131" s="42"/>
      <c r="M131" s="24">
        <f>'Septic Tank - BS'!DS189</f>
        <v>1981.5</v>
      </c>
      <c r="Q131" s="157"/>
      <c r="T131" s="18">
        <v>84</v>
      </c>
      <c r="V131" s="5"/>
      <c r="W131" s="5"/>
      <c r="X131" s="5"/>
      <c r="Y131" s="5"/>
      <c r="Z131" s="5" t="s">
        <v>1546</v>
      </c>
      <c r="AA131" s="5" t="s">
        <v>1547</v>
      </c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</row>
    <row r="132" spans="5:46" x14ac:dyDescent="0.25">
      <c r="E132" s="157"/>
      <c r="I132" s="24">
        <v>12</v>
      </c>
      <c r="J132" s="42"/>
      <c r="K132" s="42">
        <f>'Septic Tank - BS'!DQ$107</f>
        <v>3269.9747142042593</v>
      </c>
      <c r="L132" s="42">
        <f>'Septic Tank - BS'!DQ$170</f>
        <v>9269.2152400298419</v>
      </c>
      <c r="Q132" s="157"/>
      <c r="U132" s="18">
        <v>15</v>
      </c>
      <c r="V132" s="5"/>
      <c r="W132" s="5">
        <f t="shared" si="48"/>
        <v>3269.9747142042593</v>
      </c>
      <c r="X132" s="5"/>
      <c r="Y132" s="5"/>
      <c r="Z132" s="5">
        <f>W132+$V$124</f>
        <v>19806.225883222894</v>
      </c>
      <c r="AA132" s="5">
        <f>W132+$V$124</f>
        <v>19806.225883222894</v>
      </c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t="s">
        <v>1483</v>
      </c>
      <c r="AT132" s="5">
        <f>AVERAGE(W132:W134)</f>
        <v>4494.461700531614</v>
      </c>
    </row>
    <row r="133" spans="5:46" x14ac:dyDescent="0.25">
      <c r="E133" s="157"/>
      <c r="I133" s="24">
        <v>20</v>
      </c>
      <c r="J133" s="42"/>
      <c r="K133" s="42">
        <f>'Septic Tank - BS'!DR$107</f>
        <v>4183.4307823774243</v>
      </c>
      <c r="L133" s="42">
        <f>'Septic Tank - BS'!DR$170</f>
        <v>10715.226732720836</v>
      </c>
      <c r="Q133" s="157"/>
      <c r="U133" s="18">
        <v>20</v>
      </c>
      <c r="V133" s="5"/>
      <c r="W133" s="5">
        <f>K133</f>
        <v>4183.4307823774243</v>
      </c>
      <c r="X133" s="5"/>
      <c r="Y133" s="5"/>
      <c r="Z133" s="5">
        <f t="shared" ref="Z133:Z141" si="51">W133+$V$124</f>
        <v>20719.681951396062</v>
      </c>
      <c r="AA133" s="5">
        <f t="shared" ref="AA133:AA141" si="52">W133+$V$124</f>
        <v>20719.681951396062</v>
      </c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t="s">
        <v>1484</v>
      </c>
      <c r="AT133" s="5">
        <f>AVERAGE(W135:W138)</f>
        <v>10646.351661602495</v>
      </c>
    </row>
    <row r="134" spans="5:46" x14ac:dyDescent="0.25">
      <c r="E134" s="157"/>
      <c r="I134" s="24">
        <v>30</v>
      </c>
      <c r="J134" s="42"/>
      <c r="K134" s="42">
        <f>'Septic Tank - BS'!DS$107</f>
        <v>6029.979605013159</v>
      </c>
      <c r="L134" s="42">
        <f>'Septic Tank - BS'!DS$170</f>
        <v>13626.886404392231</v>
      </c>
      <c r="Q134" s="157"/>
      <c r="U134" s="18">
        <v>30</v>
      </c>
      <c r="V134" s="5"/>
      <c r="W134" s="5">
        <f t="shared" si="48"/>
        <v>6029.979605013159</v>
      </c>
      <c r="X134" s="5"/>
      <c r="Y134" s="5"/>
      <c r="Z134" s="5">
        <f t="shared" si="51"/>
        <v>22566.230774031796</v>
      </c>
      <c r="AA134" s="5">
        <f t="shared" si="52"/>
        <v>22566.230774031796</v>
      </c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t="s">
        <v>1485</v>
      </c>
      <c r="AT134" s="5">
        <f>AVERAGE(W139:W141)</f>
        <v>17109.272540827566</v>
      </c>
    </row>
    <row r="135" spans="5:46" x14ac:dyDescent="0.25">
      <c r="E135" s="157"/>
      <c r="I135" s="24">
        <v>40</v>
      </c>
      <c r="J135" s="42"/>
      <c r="K135" s="42">
        <f>'Septic Tank - BS'!DT$107</f>
        <v>7876.5284276488928</v>
      </c>
      <c r="L135" s="42">
        <f>'Septic Tank - BS'!DT$170</f>
        <v>16804.823788322537</v>
      </c>
      <c r="M135" s="12"/>
      <c r="Q135" s="157"/>
      <c r="U135" s="18">
        <v>40</v>
      </c>
      <c r="V135" s="5"/>
      <c r="W135" s="5">
        <f t="shared" si="48"/>
        <v>7876.5284276488928</v>
      </c>
      <c r="X135" s="5"/>
      <c r="Y135" s="5"/>
      <c r="Z135" s="5">
        <f t="shared" si="51"/>
        <v>24412.779596667529</v>
      </c>
      <c r="AA135" s="5">
        <f t="shared" si="52"/>
        <v>24412.779596667529</v>
      </c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</row>
    <row r="136" spans="5:46" x14ac:dyDescent="0.25">
      <c r="E136" s="157"/>
      <c r="I136" s="24">
        <v>50</v>
      </c>
      <c r="K136" s="42">
        <f>'Septic Tank - BS'!DU$107</f>
        <v>9723.0772502846266</v>
      </c>
      <c r="L136" s="42">
        <f>'Septic Tank - BS'!DU$170</f>
        <v>19716.483459993931</v>
      </c>
      <c r="Q136" s="157"/>
      <c r="U136" s="18">
        <v>50</v>
      </c>
      <c r="V136" s="5"/>
      <c r="W136" s="5">
        <f t="shared" si="48"/>
        <v>9723.0772502846266</v>
      </c>
      <c r="X136" s="5"/>
      <c r="Y136" s="5"/>
      <c r="Z136" s="5">
        <f t="shared" si="51"/>
        <v>26259.328419303263</v>
      </c>
      <c r="AA136" s="5">
        <f t="shared" si="52"/>
        <v>26259.328419303263</v>
      </c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</row>
    <row r="137" spans="5:46" x14ac:dyDescent="0.25">
      <c r="E137" s="157"/>
      <c r="I137" s="24">
        <v>60</v>
      </c>
      <c r="K137" s="42">
        <f>'Septic Tank - BS'!DV$107</f>
        <v>11569.626072920362</v>
      </c>
      <c r="L137" s="42">
        <f>'Septic Tank - BS'!DV$170</f>
        <v>22894.420843924243</v>
      </c>
      <c r="Q137" s="157"/>
      <c r="U137" s="18">
        <v>60</v>
      </c>
      <c r="V137" s="5"/>
      <c r="W137" s="5">
        <f t="shared" si="48"/>
        <v>11569.626072920362</v>
      </c>
      <c r="X137" s="5"/>
      <c r="Y137" s="5"/>
      <c r="Z137" s="5">
        <f t="shared" si="51"/>
        <v>28105.877241939001</v>
      </c>
      <c r="AA137" s="5">
        <f t="shared" si="52"/>
        <v>28105.877241939001</v>
      </c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</row>
    <row r="138" spans="5:46" x14ac:dyDescent="0.25">
      <c r="E138" s="157"/>
      <c r="I138" s="24">
        <v>70</v>
      </c>
      <c r="J138" s="42"/>
      <c r="K138" s="42">
        <f>'Septic Tank - BS'!DW$107</f>
        <v>13416.174895556096</v>
      </c>
      <c r="L138" s="42">
        <f>'Septic Tank - BS'!DW$170</f>
        <v>25806.080515595633</v>
      </c>
      <c r="M138" s="12"/>
      <c r="Q138" s="157"/>
      <c r="U138" s="18">
        <v>70</v>
      </c>
      <c r="V138" s="5"/>
      <c r="W138" s="5">
        <f t="shared" si="48"/>
        <v>13416.174895556096</v>
      </c>
      <c r="X138" s="5"/>
      <c r="Y138" s="5"/>
      <c r="Z138" s="5">
        <f t="shared" si="51"/>
        <v>29952.426064574734</v>
      </c>
      <c r="AA138" s="5">
        <f t="shared" si="52"/>
        <v>29952.426064574734</v>
      </c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</row>
    <row r="139" spans="5:46" x14ac:dyDescent="0.25">
      <c r="E139" s="157"/>
      <c r="I139" s="24">
        <v>80</v>
      </c>
      <c r="J139" s="42"/>
      <c r="K139" s="42">
        <f>'Septic Tank - BS'!DX$107</f>
        <v>15262.72371819183</v>
      </c>
      <c r="L139" s="42">
        <f>'Septic Tank - BS'!DX$170</f>
        <v>28984.017899525941</v>
      </c>
      <c r="M139" s="12"/>
      <c r="Q139" s="157"/>
      <c r="U139" s="18">
        <v>80</v>
      </c>
      <c r="V139" s="5"/>
      <c r="W139" s="5">
        <f t="shared" si="48"/>
        <v>15262.72371819183</v>
      </c>
      <c r="X139" s="5"/>
      <c r="Y139" s="5"/>
      <c r="Z139" s="5">
        <f t="shared" si="51"/>
        <v>31798.974887210468</v>
      </c>
      <c r="AA139" s="5">
        <f t="shared" si="52"/>
        <v>31798.974887210468</v>
      </c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</row>
    <row r="140" spans="5:46" x14ac:dyDescent="0.25">
      <c r="E140" s="157"/>
      <c r="I140" s="24">
        <v>90</v>
      </c>
      <c r="J140" s="42"/>
      <c r="K140" s="42">
        <f>'Septic Tank - BS'!DY$107</f>
        <v>17109.272540827566</v>
      </c>
      <c r="L140" s="42">
        <f>'Septic Tank - BS'!DY$170</f>
        <v>31895.677571197339</v>
      </c>
      <c r="M140" s="12"/>
      <c r="Q140" s="157"/>
      <c r="U140" s="18">
        <v>90</v>
      </c>
      <c r="V140" s="5"/>
      <c r="W140" s="5">
        <f t="shared" si="48"/>
        <v>17109.272540827566</v>
      </c>
      <c r="X140" s="5"/>
      <c r="Y140" s="5"/>
      <c r="Z140" s="5">
        <f t="shared" si="51"/>
        <v>33645.523709846202</v>
      </c>
      <c r="AA140" s="5">
        <f t="shared" si="52"/>
        <v>33645.523709846202</v>
      </c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</row>
    <row r="141" spans="5:46" x14ac:dyDescent="0.25">
      <c r="E141" s="158"/>
      <c r="F141" s="43"/>
      <c r="G141" s="43"/>
      <c r="H141" s="43"/>
      <c r="I141" s="43">
        <v>100</v>
      </c>
      <c r="J141" s="48"/>
      <c r="K141" s="48">
        <f>'Septic Tank - BS'!DZ$107</f>
        <v>18955.821363463299</v>
      </c>
      <c r="L141" s="48">
        <f>'Septic Tank - BS'!DZ$170</f>
        <v>35073.614955127647</v>
      </c>
      <c r="M141" s="49"/>
      <c r="N141" s="43"/>
      <c r="Q141" s="158"/>
      <c r="T141" s="40"/>
      <c r="U141" s="40">
        <v>100</v>
      </c>
      <c r="V141" s="5"/>
      <c r="W141" s="5">
        <f t="shared" si="48"/>
        <v>18955.821363463299</v>
      </c>
      <c r="X141" s="5"/>
      <c r="Y141" s="5"/>
      <c r="Z141" s="5">
        <f t="shared" si="51"/>
        <v>35492.072532481936</v>
      </c>
      <c r="AA141" s="5">
        <f t="shared" si="52"/>
        <v>35492.072532481936</v>
      </c>
      <c r="AB141" s="5" t="s">
        <v>587</v>
      </c>
      <c r="AC141" s="5" t="s">
        <v>588</v>
      </c>
      <c r="AD141" s="5" t="s">
        <v>589</v>
      </c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</row>
    <row r="142" spans="5:46" x14ac:dyDescent="0.25">
      <c r="J142" s="42"/>
      <c r="K142" s="42"/>
      <c r="M142" s="12"/>
      <c r="Q142" s="156">
        <v>150</v>
      </c>
      <c r="R142" s="24" t="s">
        <v>128</v>
      </c>
      <c r="T142" s="52"/>
      <c r="U142" s="52"/>
      <c r="V142" s="5"/>
      <c r="X142" s="5"/>
      <c r="Y142" s="5"/>
      <c r="Z142" s="5"/>
      <c r="AA142" s="5"/>
      <c r="AB142" s="5">
        <f>AVERAGE(Z132:AA141)</f>
        <v>27275.91210606739</v>
      </c>
      <c r="AC142" s="5">
        <f>Z132</f>
        <v>19806.225883222894</v>
      </c>
      <c r="AD142" s="5">
        <f>AA141</f>
        <v>35492.072532481936</v>
      </c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</row>
    <row r="143" spans="5:46" x14ac:dyDescent="0.25">
      <c r="J143" s="42"/>
      <c r="K143" s="42"/>
      <c r="M143" s="12"/>
      <c r="Q143" s="157"/>
      <c r="R143" s="24" t="s">
        <v>129</v>
      </c>
      <c r="V143" s="5">
        <f>STS!$DG$25</f>
        <v>20929.538351757299</v>
      </c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</row>
    <row r="144" spans="5:46" x14ac:dyDescent="0.25">
      <c r="J144" s="42"/>
      <c r="K144" s="42"/>
      <c r="M144" s="12"/>
      <c r="Q144" s="157"/>
      <c r="T144" s="18">
        <v>3</v>
      </c>
      <c r="V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</row>
    <row r="145" spans="10:46" x14ac:dyDescent="0.25">
      <c r="J145" s="42"/>
      <c r="K145" s="42"/>
      <c r="M145" s="12"/>
      <c r="Q145" s="157"/>
      <c r="T145" s="18">
        <v>6</v>
      </c>
      <c r="V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</row>
    <row r="146" spans="10:46" x14ac:dyDescent="0.25">
      <c r="J146" s="42"/>
      <c r="K146" s="42"/>
      <c r="M146" s="12"/>
      <c r="Q146" s="157"/>
      <c r="T146" s="18">
        <v>12</v>
      </c>
      <c r="V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</row>
    <row r="147" spans="10:46" x14ac:dyDescent="0.25">
      <c r="J147" s="42"/>
      <c r="K147" s="42"/>
      <c r="M147" s="12"/>
      <c r="Q147" s="157"/>
      <c r="T147" s="18">
        <v>18</v>
      </c>
      <c r="V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</row>
    <row r="148" spans="10:46" x14ac:dyDescent="0.25">
      <c r="J148" s="42"/>
      <c r="Q148" s="157"/>
      <c r="T148" s="18">
        <v>24</v>
      </c>
      <c r="V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</row>
    <row r="149" spans="10:46" x14ac:dyDescent="0.25">
      <c r="J149" s="42"/>
      <c r="K149" s="42"/>
      <c r="M149" s="12"/>
      <c r="Q149" s="157"/>
      <c r="T149" s="18">
        <v>48</v>
      </c>
      <c r="V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</row>
    <row r="150" spans="10:46" x14ac:dyDescent="0.25">
      <c r="Q150" s="157"/>
      <c r="T150" s="18">
        <v>84</v>
      </c>
      <c r="V150" s="5"/>
      <c r="Z150" s="5" t="s">
        <v>1546</v>
      </c>
      <c r="AA150" s="5" t="s">
        <v>1547</v>
      </c>
      <c r="AB150" s="5"/>
      <c r="AC150" s="5"/>
      <c r="AD150" s="5"/>
    </row>
    <row r="151" spans="10:46" x14ac:dyDescent="0.25">
      <c r="Q151" s="157"/>
      <c r="U151" s="18">
        <v>15</v>
      </c>
      <c r="V151" s="5"/>
      <c r="W151" s="5">
        <f>STS!DD92</f>
        <v>4745.676269329495</v>
      </c>
      <c r="Z151" s="5">
        <f>W151+$V$143</f>
        <v>25675.214621086794</v>
      </c>
      <c r="AA151" s="5">
        <f>W151+$V$143</f>
        <v>25675.214621086794</v>
      </c>
      <c r="AB151" s="5"/>
      <c r="AC151" s="5"/>
      <c r="AD151" s="5"/>
      <c r="AS151" t="s">
        <v>1483</v>
      </c>
      <c r="AT151" s="5">
        <f>AVERAGE(W151:W153)</f>
        <v>6445.4975930805604</v>
      </c>
    </row>
    <row r="152" spans="10:46" x14ac:dyDescent="0.25">
      <c r="Q152" s="157"/>
      <c r="U152" s="18">
        <v>20</v>
      </c>
      <c r="V152" s="5"/>
      <c r="W152" s="5">
        <f>STS!DE92</f>
        <v>5984.8138556785816</v>
      </c>
      <c r="Z152" s="5">
        <f t="shared" ref="Z152:Z160" si="53">W152+$V$143</f>
        <v>26914.352207435881</v>
      </c>
      <c r="AA152" s="5">
        <f t="shared" ref="AA152:AA160" si="54">W152+$V$143</f>
        <v>26914.352207435881</v>
      </c>
      <c r="AB152" s="5"/>
      <c r="AC152" s="5"/>
      <c r="AD152" s="5"/>
      <c r="AS152" t="s">
        <v>1484</v>
      </c>
      <c r="AT152" s="5">
        <f>AVERAGE(W154:W157)</f>
        <v>15158.974650621165</v>
      </c>
    </row>
    <row r="153" spans="10:46" x14ac:dyDescent="0.25">
      <c r="Q153" s="157"/>
      <c r="U153" s="18">
        <v>30</v>
      </c>
      <c r="V153" s="5"/>
      <c r="W153" s="5">
        <f>STS!DF92</f>
        <v>8606.0026542336054</v>
      </c>
      <c r="Z153" s="5">
        <f t="shared" si="53"/>
        <v>29535.541005990905</v>
      </c>
      <c r="AA153" s="5">
        <f t="shared" si="54"/>
        <v>29535.541005990905</v>
      </c>
      <c r="AB153" s="5"/>
      <c r="AC153" s="5"/>
      <c r="AD153" s="5"/>
      <c r="AS153" t="s">
        <v>1485</v>
      </c>
      <c r="AT153" s="5">
        <f>AVERAGE(W158:W160)</f>
        <v>24333.135445563745</v>
      </c>
    </row>
    <row r="154" spans="10:46" x14ac:dyDescent="0.25">
      <c r="Q154" s="157"/>
      <c r="U154" s="18">
        <v>40</v>
      </c>
      <c r="V154" s="5"/>
      <c r="W154" s="5">
        <f>STS!DG92</f>
        <v>11227.191452788629</v>
      </c>
      <c r="Z154" s="5">
        <f t="shared" si="53"/>
        <v>32156.729804545928</v>
      </c>
      <c r="AA154" s="5">
        <f t="shared" si="54"/>
        <v>32156.729804545928</v>
      </c>
      <c r="AB154" s="5"/>
      <c r="AC154" s="5"/>
      <c r="AD154" s="5"/>
    </row>
    <row r="155" spans="10:46" x14ac:dyDescent="0.25">
      <c r="Q155" s="157"/>
      <c r="U155" s="18">
        <v>50</v>
      </c>
      <c r="V155" s="5"/>
      <c r="W155" s="5">
        <f>STS!DH92</f>
        <v>13848.380251343653</v>
      </c>
      <c r="Z155" s="5">
        <f t="shared" si="53"/>
        <v>34777.918603100952</v>
      </c>
      <c r="AA155" s="5">
        <f t="shared" si="54"/>
        <v>34777.918603100952</v>
      </c>
      <c r="AB155" s="5"/>
      <c r="AC155" s="5"/>
      <c r="AD155" s="5"/>
    </row>
    <row r="156" spans="10:46" x14ac:dyDescent="0.25">
      <c r="Q156" s="157"/>
      <c r="U156" s="18">
        <v>60</v>
      </c>
      <c r="V156" s="5"/>
      <c r="W156" s="5">
        <f>STS!DI92</f>
        <v>16469.569049898677</v>
      </c>
      <c r="Z156" s="5">
        <f t="shared" si="53"/>
        <v>37399.107401655972</v>
      </c>
      <c r="AA156" s="5">
        <f t="shared" si="54"/>
        <v>37399.107401655972</v>
      </c>
      <c r="AB156" s="5"/>
      <c r="AC156" s="5"/>
      <c r="AD156" s="5"/>
    </row>
    <row r="157" spans="10:46" x14ac:dyDescent="0.25">
      <c r="Q157" s="157"/>
      <c r="U157" s="18">
        <v>70</v>
      </c>
      <c r="V157" s="5"/>
      <c r="W157" s="5">
        <f>STS!DJ92</f>
        <v>19090.757848453701</v>
      </c>
      <c r="Z157" s="5">
        <f t="shared" si="53"/>
        <v>40020.296200211</v>
      </c>
      <c r="AA157" s="5">
        <f t="shared" si="54"/>
        <v>40020.296200211</v>
      </c>
      <c r="AB157" s="5"/>
      <c r="AC157" s="5"/>
      <c r="AD157" s="5"/>
    </row>
    <row r="158" spans="10:46" x14ac:dyDescent="0.25">
      <c r="Q158" s="157"/>
      <c r="U158" s="18">
        <v>80</v>
      </c>
      <c r="V158" s="5"/>
      <c r="W158" s="5">
        <f>STS!DK92</f>
        <v>21711.946647008721</v>
      </c>
      <c r="Z158" s="5">
        <f t="shared" si="53"/>
        <v>42641.48499876602</v>
      </c>
      <c r="AA158" s="5">
        <f t="shared" si="54"/>
        <v>42641.48499876602</v>
      </c>
      <c r="AB158" s="5"/>
      <c r="AC158" s="5"/>
      <c r="AD158" s="5"/>
    </row>
    <row r="159" spans="10:46" x14ac:dyDescent="0.25">
      <c r="Q159" s="157"/>
      <c r="U159" s="18">
        <v>90</v>
      </c>
      <c r="V159" s="5"/>
      <c r="W159" s="5">
        <f>STS!DL92</f>
        <v>24333.135445563748</v>
      </c>
      <c r="Z159" s="5">
        <f t="shared" si="53"/>
        <v>45262.673797321047</v>
      </c>
      <c r="AA159" s="5">
        <f t="shared" si="54"/>
        <v>45262.673797321047</v>
      </c>
      <c r="AB159" s="5"/>
      <c r="AC159" s="5"/>
      <c r="AD159" s="5"/>
    </row>
    <row r="160" spans="10:46" x14ac:dyDescent="0.25">
      <c r="Q160" s="158"/>
      <c r="T160" s="40"/>
      <c r="U160" s="40">
        <v>100</v>
      </c>
      <c r="V160" s="5"/>
      <c r="W160" s="5">
        <f>STS!DM92</f>
        <v>26954.324244118769</v>
      </c>
      <c r="Z160" s="5">
        <f t="shared" si="53"/>
        <v>47883.862595876068</v>
      </c>
      <c r="AA160" s="5">
        <f t="shared" si="54"/>
        <v>47883.862595876068</v>
      </c>
      <c r="AB160" s="5" t="s">
        <v>587</v>
      </c>
      <c r="AC160" s="5" t="s">
        <v>588</v>
      </c>
      <c r="AD160" s="5" t="s">
        <v>589</v>
      </c>
    </row>
    <row r="161" spans="17:46" x14ac:dyDescent="0.25">
      <c r="Q161" s="156">
        <v>200</v>
      </c>
      <c r="R161" s="24" t="s">
        <v>128</v>
      </c>
      <c r="T161" s="52"/>
      <c r="U161" s="52"/>
      <c r="V161" s="5">
        <f>STS!$DX$25</f>
        <v>24194.207094298421</v>
      </c>
      <c r="Z161" s="5"/>
      <c r="AA161" s="5"/>
      <c r="AB161" s="5">
        <f>AVERAGE(Z151:AA160)</f>
        <v>36226.718123599057</v>
      </c>
      <c r="AC161" s="5">
        <f>Z151</f>
        <v>25675.214621086794</v>
      </c>
      <c r="AD161" s="5">
        <f>AA160</f>
        <v>47883.862595876068</v>
      </c>
    </row>
    <row r="162" spans="17:46" x14ac:dyDescent="0.25">
      <c r="Q162" s="157"/>
      <c r="R162" s="24" t="s">
        <v>129</v>
      </c>
      <c r="V162" s="5">
        <f>STS!$DX$27</f>
        <v>24375.835576507543</v>
      </c>
    </row>
    <row r="163" spans="17:46" x14ac:dyDescent="0.25">
      <c r="Q163" s="157"/>
      <c r="T163" s="18">
        <v>3</v>
      </c>
      <c r="V163" s="5"/>
    </row>
    <row r="164" spans="17:46" x14ac:dyDescent="0.25">
      <c r="Q164" s="157"/>
      <c r="T164" s="18">
        <v>6</v>
      </c>
      <c r="V164" s="5"/>
    </row>
    <row r="165" spans="17:46" x14ac:dyDescent="0.25">
      <c r="Q165" s="157"/>
      <c r="T165" s="18">
        <v>12</v>
      </c>
      <c r="V165" s="5"/>
    </row>
    <row r="166" spans="17:46" x14ac:dyDescent="0.25">
      <c r="Q166" s="157"/>
      <c r="T166" s="18">
        <v>18</v>
      </c>
      <c r="V166" s="5"/>
    </row>
    <row r="167" spans="17:46" x14ac:dyDescent="0.25">
      <c r="Q167" s="157"/>
      <c r="T167" s="18">
        <v>24</v>
      </c>
      <c r="V167" s="5"/>
    </row>
    <row r="168" spans="17:46" x14ac:dyDescent="0.25">
      <c r="Q168" s="157"/>
      <c r="T168" s="18">
        <v>48</v>
      </c>
      <c r="V168" s="5"/>
    </row>
    <row r="169" spans="17:46" x14ac:dyDescent="0.25">
      <c r="Q169" s="157"/>
      <c r="T169" s="18">
        <v>84</v>
      </c>
      <c r="V169" s="5"/>
      <c r="Z169" s="5" t="s">
        <v>1546</v>
      </c>
      <c r="AA169" s="5" t="s">
        <v>1547</v>
      </c>
      <c r="AB169" s="5"/>
      <c r="AC169" s="5"/>
      <c r="AD169" s="5"/>
    </row>
    <row r="170" spans="17:46" x14ac:dyDescent="0.25">
      <c r="Q170" s="157"/>
      <c r="U170" s="18">
        <v>15</v>
      </c>
      <c r="V170" s="5"/>
      <c r="W170" s="5">
        <f>STS!DQ92</f>
        <v>6175.365356821052</v>
      </c>
      <c r="Z170" s="5">
        <f>W170+$V$161</f>
        <v>30369.572451119471</v>
      </c>
      <c r="AA170" s="5">
        <f>W170+$V$162</f>
        <v>30551.200933328597</v>
      </c>
      <c r="AB170" s="5"/>
      <c r="AC170" s="5"/>
      <c r="AD170" s="5"/>
      <c r="AS170" t="s">
        <v>1483</v>
      </c>
      <c r="AT170" s="5">
        <f>AVERAGE(W170:W172)</f>
        <v>8331.8693979500131</v>
      </c>
    </row>
    <row r="171" spans="17:46" x14ac:dyDescent="0.25">
      <c r="Q171" s="157"/>
      <c r="U171" s="18">
        <v>20</v>
      </c>
      <c r="V171" s="5"/>
      <c r="W171" s="5">
        <f>STS!DR92</f>
        <v>7726.0801370965373</v>
      </c>
      <c r="Z171" s="5">
        <f t="shared" ref="Z171:Z179" si="55">W171+$V$161</f>
        <v>31920.287231394959</v>
      </c>
      <c r="AA171" s="5">
        <f t="shared" ref="AA171:AA179" si="56">W171+$V$162</f>
        <v>32101.915713604081</v>
      </c>
      <c r="AB171" s="5"/>
      <c r="AC171" s="5"/>
      <c r="AD171" s="5"/>
      <c r="AS171" t="s">
        <v>1484</v>
      </c>
      <c r="AT171" s="5">
        <f>AVERAGE(W173:W176)</f>
        <v>19514.369107022234</v>
      </c>
    </row>
    <row r="172" spans="17:46" x14ac:dyDescent="0.25">
      <c r="Q172" s="157"/>
      <c r="U172" s="18">
        <v>30</v>
      </c>
      <c r="V172" s="5"/>
      <c r="W172" s="5">
        <f>STS!DS92</f>
        <v>11094.162699932451</v>
      </c>
      <c r="Z172" s="5">
        <f t="shared" si="55"/>
        <v>35288.369794230872</v>
      </c>
      <c r="AA172" s="5">
        <f t="shared" si="56"/>
        <v>35469.99827643999</v>
      </c>
      <c r="AB172" s="5"/>
      <c r="AC172" s="5"/>
      <c r="AD172" s="5"/>
      <c r="AS172" t="s">
        <v>1485</v>
      </c>
      <c r="AT172" s="5">
        <f>AVERAGE(W177:W179)</f>
        <v>31302.65807694793</v>
      </c>
    </row>
    <row r="173" spans="17:46" x14ac:dyDescent="0.25">
      <c r="Q173" s="157"/>
      <c r="U173" s="18">
        <v>40</v>
      </c>
      <c r="V173" s="5"/>
      <c r="W173" s="5">
        <f>STS!DT92</f>
        <v>14462.245262768363</v>
      </c>
      <c r="Z173" s="5">
        <f t="shared" si="55"/>
        <v>38656.452357066781</v>
      </c>
      <c r="AA173" s="5">
        <f t="shared" si="56"/>
        <v>38838.080839275906</v>
      </c>
      <c r="AB173" s="5"/>
      <c r="AC173" s="5"/>
      <c r="AD173" s="5"/>
    </row>
    <row r="174" spans="17:46" x14ac:dyDescent="0.25">
      <c r="Q174" s="157"/>
      <c r="U174" s="18">
        <v>50</v>
      </c>
      <c r="V174" s="5"/>
      <c r="W174" s="5">
        <f>STS!DU92</f>
        <v>17830.327825604276</v>
      </c>
      <c r="Z174" s="5">
        <f t="shared" si="55"/>
        <v>42024.534919902697</v>
      </c>
      <c r="AA174" s="5">
        <f t="shared" si="56"/>
        <v>42206.163402111823</v>
      </c>
      <c r="AB174" s="5"/>
      <c r="AC174" s="5"/>
      <c r="AD174" s="5"/>
    </row>
    <row r="175" spans="17:46" x14ac:dyDescent="0.25">
      <c r="Q175" s="157"/>
      <c r="U175" s="18">
        <v>60</v>
      </c>
      <c r="V175" s="5"/>
      <c r="W175" s="5">
        <f>STS!DV92</f>
        <v>21198.410388440188</v>
      </c>
      <c r="Z175" s="5">
        <f t="shared" si="55"/>
        <v>45392.617482738613</v>
      </c>
      <c r="AA175" s="5">
        <f t="shared" si="56"/>
        <v>45574.245964947731</v>
      </c>
      <c r="AB175" s="5"/>
      <c r="AC175" s="5"/>
      <c r="AD175" s="5"/>
    </row>
    <row r="176" spans="17:46" x14ac:dyDescent="0.25">
      <c r="Q176" s="157"/>
      <c r="U176" s="18">
        <v>70</v>
      </c>
      <c r="V176" s="5"/>
      <c r="W176" s="5">
        <f>STS!DW92</f>
        <v>24566.492951276101</v>
      </c>
      <c r="Z176" s="5">
        <f t="shared" si="55"/>
        <v>48760.700045574522</v>
      </c>
      <c r="AA176" s="5">
        <f t="shared" si="56"/>
        <v>48942.32852778364</v>
      </c>
      <c r="AB176" s="5"/>
      <c r="AC176" s="5"/>
      <c r="AD176" s="5"/>
    </row>
    <row r="177" spans="17:46" x14ac:dyDescent="0.25">
      <c r="Q177" s="157"/>
      <c r="U177" s="18">
        <v>80</v>
      </c>
      <c r="V177" s="5"/>
      <c r="W177" s="5">
        <f>STS!DX92</f>
        <v>27934.575514112017</v>
      </c>
      <c r="Z177" s="5">
        <f t="shared" si="55"/>
        <v>52128.782608410438</v>
      </c>
      <c r="AA177" s="5">
        <f t="shared" si="56"/>
        <v>52310.411090619556</v>
      </c>
      <c r="AB177" s="5"/>
      <c r="AC177" s="5"/>
      <c r="AD177" s="5"/>
    </row>
    <row r="178" spans="17:46" x14ac:dyDescent="0.25">
      <c r="Q178" s="157"/>
      <c r="U178" s="18">
        <v>90</v>
      </c>
      <c r="V178" s="5"/>
      <c r="W178" s="5">
        <f>STS!DY92</f>
        <v>31302.658076947926</v>
      </c>
      <c r="Z178" s="5">
        <f t="shared" si="55"/>
        <v>55496.865171246347</v>
      </c>
      <c r="AA178" s="5">
        <f t="shared" si="56"/>
        <v>55678.493653455473</v>
      </c>
      <c r="AB178" s="5"/>
      <c r="AC178" s="5"/>
      <c r="AD178" s="5"/>
    </row>
    <row r="179" spans="17:46" x14ac:dyDescent="0.25">
      <c r="Q179" s="158"/>
      <c r="T179" s="40"/>
      <c r="U179" s="40">
        <v>100</v>
      </c>
      <c r="V179" s="5"/>
      <c r="W179" s="5">
        <f>STS!DZ92</f>
        <v>34670.740639783842</v>
      </c>
      <c r="Z179" s="5">
        <f t="shared" si="55"/>
        <v>58864.947734082263</v>
      </c>
      <c r="AA179" s="5">
        <f t="shared" si="56"/>
        <v>59046.576216291389</v>
      </c>
      <c r="AB179" s="5" t="s">
        <v>587</v>
      </c>
      <c r="AC179" s="5" t="s">
        <v>588</v>
      </c>
      <c r="AD179" s="5" t="s">
        <v>589</v>
      </c>
    </row>
    <row r="180" spans="17:46" x14ac:dyDescent="0.25">
      <c r="Q180" s="156">
        <v>300</v>
      </c>
      <c r="R180" s="24" t="s">
        <v>128</v>
      </c>
      <c r="T180" s="52"/>
      <c r="U180" s="52"/>
      <c r="V180" s="5"/>
      <c r="Z180" s="5"/>
      <c r="AA180" s="5"/>
      <c r="AB180" s="5">
        <f>AVERAGE(Z170:AA179)</f>
        <v>43981.127220681257</v>
      </c>
      <c r="AC180" s="5">
        <f>Z170</f>
        <v>30369.572451119471</v>
      </c>
      <c r="AD180" s="5">
        <f>AA179</f>
        <v>59046.576216291389</v>
      </c>
    </row>
    <row r="181" spans="17:46" x14ac:dyDescent="0.25">
      <c r="Q181" s="157"/>
      <c r="R181" s="24" t="s">
        <v>129</v>
      </c>
      <c r="V181" s="5">
        <f>STS!$EI$27</f>
        <v>41859.076703514598</v>
      </c>
    </row>
    <row r="182" spans="17:46" x14ac:dyDescent="0.25">
      <c r="Q182" s="157"/>
      <c r="T182" s="18">
        <v>3</v>
      </c>
      <c r="V182" s="5"/>
    </row>
    <row r="183" spans="17:46" x14ac:dyDescent="0.25">
      <c r="Q183" s="157"/>
      <c r="T183" s="18">
        <v>6</v>
      </c>
      <c r="V183" s="5"/>
    </row>
    <row r="184" spans="17:46" x14ac:dyDescent="0.25">
      <c r="Q184" s="157"/>
      <c r="T184" s="18">
        <v>12</v>
      </c>
      <c r="V184" s="5"/>
    </row>
    <row r="185" spans="17:46" x14ac:dyDescent="0.25">
      <c r="Q185" s="157"/>
      <c r="T185" s="18">
        <v>18</v>
      </c>
      <c r="V185" s="5"/>
    </row>
    <row r="186" spans="17:46" x14ac:dyDescent="0.25">
      <c r="Q186" s="157"/>
      <c r="T186" s="18">
        <v>24</v>
      </c>
      <c r="V186" s="5"/>
    </row>
    <row r="187" spans="17:46" x14ac:dyDescent="0.25">
      <c r="Q187" s="157"/>
      <c r="T187" s="18">
        <v>48</v>
      </c>
      <c r="V187" s="5"/>
    </row>
    <row r="188" spans="17:46" x14ac:dyDescent="0.25">
      <c r="Q188" s="157"/>
      <c r="T188" s="18">
        <v>84</v>
      </c>
      <c r="V188" s="5"/>
      <c r="Z188" s="5" t="s">
        <v>1546</v>
      </c>
      <c r="AA188" s="5" t="s">
        <v>1547</v>
      </c>
      <c r="AB188" s="5"/>
      <c r="AC188" s="5"/>
      <c r="AD188" s="5"/>
    </row>
    <row r="189" spans="17:46" x14ac:dyDescent="0.25">
      <c r="Q189" s="157"/>
      <c r="U189" s="18">
        <v>15</v>
      </c>
      <c r="V189" s="5"/>
      <c r="W189" s="5">
        <f>STS!EF92</f>
        <v>9034.7435318041644</v>
      </c>
      <c r="Z189" s="5">
        <f>W189+$V$181</f>
        <v>50893.820235318766</v>
      </c>
      <c r="AA189" s="5">
        <f>W189+$V$181</f>
        <v>50893.820235318766</v>
      </c>
      <c r="AB189" s="5"/>
      <c r="AC189" s="5"/>
      <c r="AD189" s="5"/>
      <c r="AS189" t="s">
        <v>1483</v>
      </c>
      <c r="AT189" s="5">
        <f>AVERAGE(W189:W191)</f>
        <v>12104.613007688919</v>
      </c>
    </row>
    <row r="190" spans="17:46" x14ac:dyDescent="0.25">
      <c r="Q190" s="157"/>
      <c r="U190" s="18">
        <v>20</v>
      </c>
      <c r="V190" s="5"/>
      <c r="W190" s="5">
        <f>STS!EG92</f>
        <v>11208.612699932452</v>
      </c>
      <c r="Z190" s="5">
        <f t="shared" ref="Z190:Z198" si="57">W190+$V$181</f>
        <v>53067.689403447046</v>
      </c>
      <c r="AA190" s="5">
        <f t="shared" ref="AA190:AA198" si="58">W190+$V$181</f>
        <v>53067.689403447046</v>
      </c>
      <c r="AB190" s="5"/>
      <c r="AC190" s="5"/>
      <c r="AD190" s="5"/>
      <c r="AS190" t="s">
        <v>1484</v>
      </c>
      <c r="AT190" s="5">
        <f>AVERAGE(W192:W195)</f>
        <v>28225.158019824376</v>
      </c>
    </row>
    <row r="191" spans="17:46" x14ac:dyDescent="0.25">
      <c r="Q191" s="157"/>
      <c r="U191" s="18">
        <v>30</v>
      </c>
      <c r="V191" s="5"/>
      <c r="W191" s="5">
        <f>STS!EH92</f>
        <v>16070.482791330141</v>
      </c>
      <c r="Z191" s="5">
        <f t="shared" si="57"/>
        <v>57929.55949484474</v>
      </c>
      <c r="AA191" s="5">
        <f t="shared" si="58"/>
        <v>57929.55949484474</v>
      </c>
      <c r="AB191" s="5"/>
      <c r="AC191" s="5"/>
      <c r="AD191" s="5"/>
      <c r="AS191" t="s">
        <v>1485</v>
      </c>
      <c r="AT191" s="5">
        <f>AVERAGE(W196:W198)</f>
        <v>45241.703339716281</v>
      </c>
    </row>
    <row r="192" spans="17:46" x14ac:dyDescent="0.25">
      <c r="Q192" s="157"/>
      <c r="U192" s="18">
        <v>40</v>
      </c>
      <c r="V192" s="5"/>
      <c r="W192" s="5">
        <f>STS!EI92</f>
        <v>20932.352882727835</v>
      </c>
      <c r="Z192" s="5">
        <f t="shared" si="57"/>
        <v>62791.429586242433</v>
      </c>
      <c r="AA192" s="5">
        <f t="shared" si="58"/>
        <v>62791.429586242433</v>
      </c>
      <c r="AB192" s="5"/>
      <c r="AC192" s="5"/>
      <c r="AD192" s="5"/>
    </row>
    <row r="193" spans="17:46" x14ac:dyDescent="0.25">
      <c r="Q193" s="157"/>
      <c r="U193" s="18">
        <v>50</v>
      </c>
      <c r="V193" s="5"/>
      <c r="W193" s="5">
        <f>STS!EJ92</f>
        <v>25794.222974125525</v>
      </c>
      <c r="Z193" s="5">
        <f t="shared" si="57"/>
        <v>67653.299677640127</v>
      </c>
      <c r="AA193" s="5">
        <f t="shared" si="58"/>
        <v>67653.299677640127</v>
      </c>
      <c r="AB193" s="5"/>
      <c r="AC193" s="5"/>
      <c r="AD193" s="5"/>
    </row>
    <row r="194" spans="17:46" x14ac:dyDescent="0.25">
      <c r="Q194" s="157"/>
      <c r="U194" s="18">
        <v>60</v>
      </c>
      <c r="V194" s="5"/>
      <c r="W194" s="5">
        <f>STS!EK92</f>
        <v>30656.093065523215</v>
      </c>
      <c r="Z194" s="5">
        <f t="shared" si="57"/>
        <v>72515.169769037806</v>
      </c>
      <c r="AA194" s="5">
        <f t="shared" si="58"/>
        <v>72515.169769037806</v>
      </c>
      <c r="AB194" s="5"/>
      <c r="AC194" s="5"/>
      <c r="AD194" s="5"/>
    </row>
    <row r="195" spans="17:46" x14ac:dyDescent="0.25">
      <c r="Q195" s="157"/>
      <c r="U195" s="18">
        <v>70</v>
      </c>
      <c r="V195" s="5"/>
      <c r="W195" s="5">
        <f>STS!EL92</f>
        <v>35517.963156920909</v>
      </c>
      <c r="Z195" s="5">
        <f t="shared" si="57"/>
        <v>77377.0398604355</v>
      </c>
      <c r="AA195" s="5">
        <f t="shared" si="58"/>
        <v>77377.0398604355</v>
      </c>
      <c r="AB195" s="5"/>
      <c r="AC195" s="5"/>
      <c r="AD195" s="5"/>
    </row>
    <row r="196" spans="17:46" x14ac:dyDescent="0.25">
      <c r="Q196" s="157"/>
      <c r="U196" s="18">
        <v>80</v>
      </c>
      <c r="V196" s="5"/>
      <c r="W196" s="5">
        <f>STS!EM92</f>
        <v>40379.833248318602</v>
      </c>
      <c r="Z196" s="5">
        <f t="shared" si="57"/>
        <v>82238.909951833193</v>
      </c>
      <c r="AA196" s="5">
        <f t="shared" si="58"/>
        <v>82238.909951833193</v>
      </c>
      <c r="AB196" s="5"/>
      <c r="AC196" s="5"/>
      <c r="AD196" s="5"/>
    </row>
    <row r="197" spans="17:46" x14ac:dyDescent="0.25">
      <c r="Q197" s="157"/>
      <c r="U197" s="18">
        <v>90</v>
      </c>
      <c r="V197" s="5"/>
      <c r="W197" s="5">
        <f>STS!EN92</f>
        <v>45241.703339716289</v>
      </c>
      <c r="Z197" s="5">
        <f t="shared" si="57"/>
        <v>87100.780043230887</v>
      </c>
      <c r="AA197" s="5">
        <f t="shared" si="58"/>
        <v>87100.780043230887</v>
      </c>
      <c r="AB197" s="5"/>
      <c r="AC197" s="5"/>
      <c r="AD197" s="5"/>
    </row>
    <row r="198" spans="17:46" x14ac:dyDescent="0.25">
      <c r="Q198" s="158"/>
      <c r="T198" s="40"/>
      <c r="U198" s="40">
        <v>100</v>
      </c>
      <c r="V198" s="5"/>
      <c r="W198" s="5">
        <f>STS!EO92</f>
        <v>50103.573431113982</v>
      </c>
      <c r="Z198" s="5">
        <f t="shared" si="57"/>
        <v>91962.65013462858</v>
      </c>
      <c r="AA198" s="5">
        <f t="shared" si="58"/>
        <v>91962.65013462858</v>
      </c>
      <c r="AB198" s="5" t="s">
        <v>587</v>
      </c>
      <c r="AC198" s="5" t="s">
        <v>588</v>
      </c>
      <c r="AD198" s="5" t="s">
        <v>589</v>
      </c>
    </row>
    <row r="199" spans="17:46" x14ac:dyDescent="0.25">
      <c r="Q199" s="156">
        <v>400</v>
      </c>
      <c r="R199" s="24" t="s">
        <v>128</v>
      </c>
      <c r="T199" s="52"/>
      <c r="U199" s="52"/>
      <c r="V199" s="5">
        <f>STS!$EZ$25</f>
        <v>52173.595019839253</v>
      </c>
      <c r="W199" s="5"/>
      <c r="Z199" s="5"/>
      <c r="AA199" s="5"/>
      <c r="AB199" s="5">
        <f>AVERAGE(Z189:AA198)</f>
        <v>70353.034815665902</v>
      </c>
      <c r="AC199" s="5">
        <f>Z189</f>
        <v>50893.820235318766</v>
      </c>
      <c r="AD199" s="5">
        <f>AA198</f>
        <v>91962.65013462858</v>
      </c>
    </row>
    <row r="200" spans="17:46" x14ac:dyDescent="0.25">
      <c r="Q200" s="157"/>
      <c r="R200" s="24" t="s">
        <v>129</v>
      </c>
      <c r="V200" s="5">
        <f>STS!$EZ$27</f>
        <v>52355.223502048379</v>
      </c>
      <c r="W200" s="5"/>
    </row>
    <row r="201" spans="17:46" x14ac:dyDescent="0.25">
      <c r="Q201" s="157"/>
      <c r="T201" s="18">
        <v>3</v>
      </c>
      <c r="V201" s="5"/>
      <c r="W201" s="5"/>
    </row>
    <row r="202" spans="17:46" x14ac:dyDescent="0.25">
      <c r="Q202" s="157"/>
      <c r="T202" s="18">
        <v>6</v>
      </c>
      <c r="V202" s="5"/>
      <c r="W202" s="5"/>
    </row>
    <row r="203" spans="17:46" x14ac:dyDescent="0.25">
      <c r="Q203" s="157"/>
      <c r="T203" s="18">
        <v>12</v>
      </c>
      <c r="V203" s="5"/>
      <c r="W203" s="5"/>
    </row>
    <row r="204" spans="17:46" x14ac:dyDescent="0.25">
      <c r="Q204" s="157"/>
      <c r="T204" s="18">
        <v>18</v>
      </c>
      <c r="V204" s="5"/>
      <c r="W204" s="5"/>
    </row>
    <row r="205" spans="17:46" x14ac:dyDescent="0.25">
      <c r="Q205" s="157"/>
      <c r="T205" s="18">
        <v>24</v>
      </c>
      <c r="V205" s="5"/>
      <c r="W205" s="5"/>
    </row>
    <row r="206" spans="17:46" x14ac:dyDescent="0.25">
      <c r="Q206" s="157"/>
      <c r="T206" s="18">
        <v>48</v>
      </c>
      <c r="V206" s="5"/>
      <c r="W206" s="5"/>
    </row>
    <row r="207" spans="17:46" x14ac:dyDescent="0.25">
      <c r="Q207" s="157"/>
      <c r="T207" s="18">
        <v>84</v>
      </c>
      <c r="V207" s="5"/>
      <c r="W207" s="5"/>
      <c r="Z207" s="5" t="s">
        <v>1546</v>
      </c>
      <c r="AA207" s="5" t="s">
        <v>1547</v>
      </c>
      <c r="AB207" s="5"/>
      <c r="AC207" s="5"/>
      <c r="AD207" s="5"/>
    </row>
    <row r="208" spans="17:46" x14ac:dyDescent="0.25">
      <c r="Q208" s="157"/>
      <c r="U208" s="18">
        <v>15</v>
      </c>
      <c r="V208" s="5"/>
      <c r="W208" s="5">
        <f>STS!ET92</f>
        <v>11894.121706787277</v>
      </c>
      <c r="Z208" s="5">
        <f>W208+$V$199</f>
        <v>64067.716726626531</v>
      </c>
      <c r="AA208" s="5">
        <f>W208+$V$200</f>
        <v>64249.345208835657</v>
      </c>
      <c r="AB208" s="5"/>
      <c r="AC208" s="5"/>
      <c r="AD208" s="5"/>
      <c r="AS208" t="s">
        <v>1483</v>
      </c>
      <c r="AT208" s="5">
        <f>AVERAGE(W208:W210)</f>
        <v>15877.356617427824</v>
      </c>
    </row>
    <row r="209" spans="17:46" x14ac:dyDescent="0.25">
      <c r="Q209" s="157"/>
      <c r="U209" s="18">
        <v>20</v>
      </c>
      <c r="V209" s="5"/>
      <c r="W209" s="5">
        <f>STS!EU92</f>
        <v>14691.145262768365</v>
      </c>
      <c r="Z209" s="5">
        <f t="shared" ref="Z209:Z217" si="59">W209+$V$199</f>
        <v>66864.740282607614</v>
      </c>
      <c r="AA209" s="5">
        <f t="shared" ref="AA209:AA217" si="60">W209+$V$200</f>
        <v>67046.36876481674</v>
      </c>
      <c r="AB209" s="5"/>
      <c r="AC209" s="5"/>
      <c r="AD209" s="5"/>
      <c r="AS209" t="s">
        <v>1484</v>
      </c>
      <c r="AT209" s="5">
        <f>AVERAGE(W211:W214)</f>
        <v>36935.94693262651</v>
      </c>
    </row>
    <row r="210" spans="17:46" x14ac:dyDescent="0.25">
      <c r="Q210" s="157"/>
      <c r="U210" s="18">
        <v>30</v>
      </c>
      <c r="V210" s="5"/>
      <c r="W210" s="5">
        <f>STS!EV92</f>
        <v>21046.802882727832</v>
      </c>
      <c r="Z210" s="5">
        <f t="shared" si="59"/>
        <v>73220.397902567085</v>
      </c>
      <c r="AA210" s="5">
        <f t="shared" si="60"/>
        <v>73402.026384776211</v>
      </c>
      <c r="AB210" s="5"/>
      <c r="AC210" s="5"/>
      <c r="AD210" s="5"/>
      <c r="AS210" t="s">
        <v>1485</v>
      </c>
      <c r="AT210" s="5">
        <f>AVERAGE(W215:W217)</f>
        <v>59180.748602484651</v>
      </c>
    </row>
    <row r="211" spans="17:46" x14ac:dyDescent="0.25">
      <c r="Q211" s="157"/>
      <c r="U211" s="18">
        <v>40</v>
      </c>
      <c r="V211" s="5"/>
      <c r="W211" s="5">
        <f>STS!EW92</f>
        <v>27402.460502687303</v>
      </c>
      <c r="Z211" s="5">
        <f t="shared" si="59"/>
        <v>79576.055522526556</v>
      </c>
      <c r="AA211" s="5">
        <f t="shared" si="60"/>
        <v>79757.684004735682</v>
      </c>
      <c r="AB211" s="5"/>
      <c r="AC211" s="5"/>
      <c r="AD211" s="5"/>
    </row>
    <row r="212" spans="17:46" x14ac:dyDescent="0.25">
      <c r="Q212" s="157"/>
      <c r="U212" s="18">
        <v>50</v>
      </c>
      <c r="V212" s="5"/>
      <c r="W212" s="5">
        <f>STS!EX92</f>
        <v>33758.118122646774</v>
      </c>
      <c r="Z212" s="5">
        <f t="shared" si="59"/>
        <v>85931.713142486027</v>
      </c>
      <c r="AA212" s="5">
        <f t="shared" si="60"/>
        <v>86113.341624695153</v>
      </c>
      <c r="AB212" s="5"/>
      <c r="AC212" s="5"/>
      <c r="AD212" s="5"/>
    </row>
    <row r="213" spans="17:46" x14ac:dyDescent="0.25">
      <c r="Q213" s="157"/>
      <c r="U213" s="18">
        <v>60</v>
      </c>
      <c r="V213" s="5"/>
      <c r="W213" s="5">
        <f>STS!EY92</f>
        <v>40113.775742606245</v>
      </c>
      <c r="Z213" s="5">
        <f t="shared" si="59"/>
        <v>92287.370762445498</v>
      </c>
      <c r="AA213" s="5">
        <f t="shared" si="60"/>
        <v>92468.999244654624</v>
      </c>
      <c r="AB213" s="5"/>
      <c r="AC213" s="5"/>
      <c r="AD213" s="5"/>
    </row>
    <row r="214" spans="17:46" x14ac:dyDescent="0.25">
      <c r="Q214" s="157"/>
      <c r="U214" s="18">
        <v>70</v>
      </c>
      <c r="V214" s="5"/>
      <c r="W214" s="5">
        <f>STS!EZ92</f>
        <v>46469.433362565716</v>
      </c>
      <c r="Z214" s="5">
        <f t="shared" si="59"/>
        <v>98643.028382404969</v>
      </c>
      <c r="AA214" s="5">
        <f t="shared" si="60"/>
        <v>98824.656864614095</v>
      </c>
      <c r="AB214" s="5"/>
      <c r="AC214" s="5"/>
      <c r="AD214" s="5"/>
    </row>
    <row r="215" spans="17:46" x14ac:dyDescent="0.25">
      <c r="Q215" s="157"/>
      <c r="U215" s="18">
        <v>80</v>
      </c>
      <c r="V215" s="5"/>
      <c r="W215" s="5">
        <f>STS!FA92</f>
        <v>52825.090982525187</v>
      </c>
      <c r="Z215" s="5">
        <f t="shared" si="59"/>
        <v>104998.68600236444</v>
      </c>
      <c r="AA215" s="5">
        <f t="shared" si="60"/>
        <v>105180.31448457357</v>
      </c>
      <c r="AB215" s="5"/>
      <c r="AC215" s="5"/>
      <c r="AD215" s="5"/>
    </row>
    <row r="216" spans="17:46" x14ac:dyDescent="0.25">
      <c r="Q216" s="157"/>
      <c r="U216" s="18">
        <v>90</v>
      </c>
      <c r="V216" s="5"/>
      <c r="W216" s="5">
        <f>STS!FB92</f>
        <v>59180.748602484651</v>
      </c>
      <c r="Z216" s="5">
        <f t="shared" si="59"/>
        <v>111354.34362232391</v>
      </c>
      <c r="AA216" s="5">
        <f t="shared" si="60"/>
        <v>111535.97210453302</v>
      </c>
      <c r="AB216" s="5"/>
      <c r="AC216" s="5"/>
      <c r="AD216" s="5"/>
    </row>
    <row r="217" spans="17:46" x14ac:dyDescent="0.25">
      <c r="Q217" s="158"/>
      <c r="T217" s="40"/>
      <c r="U217" s="40">
        <v>100</v>
      </c>
      <c r="V217" s="5"/>
      <c r="W217" s="5">
        <f>STS!FC92</f>
        <v>65536.406222444115</v>
      </c>
      <c r="Z217" s="5">
        <f t="shared" si="59"/>
        <v>117710.00124228337</v>
      </c>
      <c r="AA217" s="5">
        <f t="shared" si="60"/>
        <v>117891.62972449249</v>
      </c>
      <c r="AB217" s="5" t="s">
        <v>587</v>
      </c>
      <c r="AC217" s="5" t="s">
        <v>588</v>
      </c>
      <c r="AD217" s="5" t="s">
        <v>589</v>
      </c>
    </row>
    <row r="218" spans="17:46" x14ac:dyDescent="0.25">
      <c r="Q218" s="156">
        <v>500</v>
      </c>
      <c r="R218" s="24" t="s">
        <v>128</v>
      </c>
      <c r="T218" s="52"/>
      <c r="U218" s="52"/>
      <c r="V218" s="5"/>
      <c r="W218" s="5"/>
      <c r="Z218" s="5"/>
      <c r="AA218" s="5"/>
      <c r="AB218" s="5">
        <f>AVERAGE(Z208:AA217)</f>
        <v>89556.219599968157</v>
      </c>
      <c r="AC218" s="5">
        <f>Z208</f>
        <v>64067.716726626531</v>
      </c>
      <c r="AD218" s="5">
        <f>AA217</f>
        <v>117891.62972449249</v>
      </c>
    </row>
    <row r="219" spans="17:46" x14ac:dyDescent="0.25">
      <c r="Q219" s="157"/>
      <c r="R219" s="24" t="s">
        <v>129</v>
      </c>
      <c r="V219" s="5">
        <f>STS!$FK$18</f>
        <v>72194.456286888628</v>
      </c>
      <c r="W219" s="5"/>
    </row>
    <row r="220" spans="17:46" x14ac:dyDescent="0.25">
      <c r="Q220" s="157"/>
      <c r="T220" s="18">
        <v>3</v>
      </c>
      <c r="V220" s="5"/>
      <c r="W220" s="5"/>
    </row>
    <row r="221" spans="17:46" x14ac:dyDescent="0.25">
      <c r="Q221" s="157"/>
      <c r="T221" s="18">
        <v>6</v>
      </c>
      <c r="V221" s="5"/>
      <c r="W221" s="5"/>
    </row>
    <row r="222" spans="17:46" x14ac:dyDescent="0.25">
      <c r="Q222" s="157"/>
      <c r="T222" s="18">
        <v>12</v>
      </c>
      <c r="V222" s="5"/>
      <c r="W222" s="5"/>
    </row>
    <row r="223" spans="17:46" x14ac:dyDescent="0.25">
      <c r="Q223" s="157"/>
      <c r="T223" s="18">
        <v>18</v>
      </c>
      <c r="V223" s="5"/>
      <c r="W223" s="5"/>
    </row>
    <row r="224" spans="17:46" x14ac:dyDescent="0.25">
      <c r="Q224" s="157"/>
      <c r="T224" s="18">
        <v>24</v>
      </c>
      <c r="V224" s="5"/>
      <c r="W224" s="5"/>
    </row>
    <row r="225" spans="17:46" x14ac:dyDescent="0.25">
      <c r="Q225" s="157"/>
      <c r="T225" s="18">
        <v>48</v>
      </c>
      <c r="V225" s="5"/>
      <c r="W225" s="5"/>
    </row>
    <row r="226" spans="17:46" x14ac:dyDescent="0.25">
      <c r="Q226" s="157"/>
      <c r="T226" s="18">
        <v>84</v>
      </c>
      <c r="V226" s="5"/>
      <c r="W226" s="5"/>
      <c r="Z226" s="5" t="s">
        <v>1546</v>
      </c>
      <c r="AA226" s="5" t="s">
        <v>1547</v>
      </c>
      <c r="AB226" s="5"/>
      <c r="AC226" s="5"/>
      <c r="AD226" s="5"/>
    </row>
    <row r="227" spans="17:46" x14ac:dyDescent="0.25">
      <c r="Q227" s="157"/>
      <c r="U227" s="18">
        <v>15</v>
      </c>
      <c r="V227" s="5"/>
      <c r="W227" s="5">
        <f>STS!FH92</f>
        <v>14753.499881770389</v>
      </c>
      <c r="Z227" s="5">
        <f>W227+$V$219</f>
        <v>86947.956168659017</v>
      </c>
      <c r="AA227" s="5">
        <f>W227+$V$219</f>
        <v>86947.956168659017</v>
      </c>
      <c r="AB227" s="5"/>
      <c r="AC227" s="5"/>
      <c r="AD227" s="5"/>
      <c r="AS227" t="s">
        <v>1483</v>
      </c>
      <c r="AT227" s="5">
        <f>AVERAGE(W227:W229)</f>
        <v>19650.100227166728</v>
      </c>
    </row>
    <row r="228" spans="17:46" x14ac:dyDescent="0.25">
      <c r="Q228" s="157"/>
      <c r="U228" s="18">
        <v>20</v>
      </c>
      <c r="V228" s="5"/>
      <c r="W228" s="5">
        <f>STS!FI92</f>
        <v>18173.677825604274</v>
      </c>
      <c r="Z228" s="5">
        <f t="shared" ref="Z228:Z236" si="61">W228+$V$219</f>
        <v>90368.134112492902</v>
      </c>
      <c r="AA228" s="5">
        <f t="shared" ref="AA228:AA236" si="62">W228+$V$219</f>
        <v>90368.134112492902</v>
      </c>
      <c r="AB228" s="5"/>
      <c r="AC228" s="5"/>
      <c r="AD228" s="5"/>
      <c r="AS228" t="s">
        <v>1484</v>
      </c>
      <c r="AT228" s="5">
        <f>AVERAGE(W230:W233)</f>
        <v>45646.735845428644</v>
      </c>
    </row>
    <row r="229" spans="17:46" x14ac:dyDescent="0.25">
      <c r="Q229" s="157"/>
      <c r="U229" s="18">
        <v>30</v>
      </c>
      <c r="V229" s="5"/>
      <c r="W229" s="5">
        <f>STS!FJ92</f>
        <v>26023.122974125523</v>
      </c>
      <c r="Z229" s="5">
        <f t="shared" si="61"/>
        <v>98217.579261014151</v>
      </c>
      <c r="AA229" s="5">
        <f t="shared" si="62"/>
        <v>98217.579261014151</v>
      </c>
      <c r="AB229" s="5"/>
      <c r="AC229" s="5"/>
      <c r="AD229" s="5"/>
      <c r="AS229" t="s">
        <v>1485</v>
      </c>
      <c r="AT229" s="5">
        <f>AVERAGE(W234:W236)</f>
        <v>73119.793865253014</v>
      </c>
    </row>
    <row r="230" spans="17:46" x14ac:dyDescent="0.25">
      <c r="Q230" s="157"/>
      <c r="U230" s="18">
        <v>40</v>
      </c>
      <c r="V230" s="5"/>
      <c r="W230" s="5">
        <f>STS!FK92</f>
        <v>33872.568122646771</v>
      </c>
      <c r="Z230" s="5">
        <f t="shared" si="61"/>
        <v>106067.0244095354</v>
      </c>
      <c r="AA230" s="5">
        <f t="shared" si="62"/>
        <v>106067.0244095354</v>
      </c>
      <c r="AB230" s="5"/>
      <c r="AC230" s="5"/>
      <c r="AD230" s="5"/>
    </row>
    <row r="231" spans="17:46" x14ac:dyDescent="0.25">
      <c r="Q231" s="157"/>
      <c r="U231" s="18">
        <v>50</v>
      </c>
      <c r="V231" s="5"/>
      <c r="W231" s="5">
        <f>STS!FL92</f>
        <v>41722.01327116802</v>
      </c>
      <c r="Z231" s="5">
        <f t="shared" si="61"/>
        <v>113916.46955805665</v>
      </c>
      <c r="AA231" s="5">
        <f t="shared" si="62"/>
        <v>113916.46955805665</v>
      </c>
      <c r="AB231" s="5"/>
      <c r="AC231" s="5"/>
      <c r="AD231" s="5"/>
    </row>
    <row r="232" spans="17:46" x14ac:dyDescent="0.25">
      <c r="Q232" s="157"/>
      <c r="U232" s="18">
        <v>60</v>
      </c>
      <c r="V232" s="5"/>
      <c r="W232" s="5">
        <f>STS!FM92</f>
        <v>49571.458419689268</v>
      </c>
      <c r="Z232" s="5">
        <f t="shared" si="61"/>
        <v>121765.9147065779</v>
      </c>
      <c r="AA232" s="5">
        <f t="shared" si="62"/>
        <v>121765.9147065779</v>
      </c>
      <c r="AB232" s="5"/>
      <c r="AC232" s="5"/>
      <c r="AD232" s="5"/>
    </row>
    <row r="233" spans="17:46" x14ac:dyDescent="0.25">
      <c r="Q233" s="157"/>
      <c r="U233" s="18">
        <v>70</v>
      </c>
      <c r="V233" s="5"/>
      <c r="W233" s="5">
        <f>STS!FN92</f>
        <v>57420.903568210517</v>
      </c>
      <c r="Z233" s="5">
        <f t="shared" si="61"/>
        <v>129615.35985509914</v>
      </c>
      <c r="AA233" s="5">
        <f t="shared" si="62"/>
        <v>129615.35985509914</v>
      </c>
      <c r="AB233" s="5"/>
      <c r="AC233" s="5"/>
      <c r="AD233" s="5"/>
    </row>
    <row r="234" spans="17:46" x14ac:dyDescent="0.25">
      <c r="Q234" s="157"/>
      <c r="U234" s="18">
        <v>80</v>
      </c>
      <c r="V234" s="5"/>
      <c r="W234" s="5">
        <f>STS!FO92</f>
        <v>65270.348716731773</v>
      </c>
      <c r="Z234" s="5">
        <f t="shared" si="61"/>
        <v>137464.80500362039</v>
      </c>
      <c r="AA234" s="5">
        <f t="shared" si="62"/>
        <v>137464.80500362039</v>
      </c>
      <c r="AB234" s="5"/>
      <c r="AC234" s="5"/>
      <c r="AD234" s="5"/>
    </row>
    <row r="235" spans="17:46" x14ac:dyDescent="0.25">
      <c r="Q235" s="157"/>
      <c r="U235" s="18">
        <v>90</v>
      </c>
      <c r="V235" s="5"/>
      <c r="W235" s="5">
        <f>STS!FP92</f>
        <v>73119.793865253014</v>
      </c>
      <c r="Z235" s="5">
        <f t="shared" si="61"/>
        <v>145314.25015214164</v>
      </c>
      <c r="AA235" s="5">
        <f t="shared" si="62"/>
        <v>145314.25015214164</v>
      </c>
      <c r="AB235" s="5"/>
      <c r="AC235" s="5"/>
      <c r="AD235" s="5"/>
    </row>
    <row r="236" spans="17:46" x14ac:dyDescent="0.25">
      <c r="Q236" s="158"/>
      <c r="T236" s="40"/>
      <c r="U236" s="40">
        <v>100</v>
      </c>
      <c r="V236" s="5"/>
      <c r="W236" s="5">
        <f>STS!FQ92</f>
        <v>80969.239013774262</v>
      </c>
      <c r="Z236" s="5">
        <f t="shared" si="61"/>
        <v>153163.69530066289</v>
      </c>
      <c r="AA236" s="5">
        <f t="shared" si="62"/>
        <v>153163.69530066289</v>
      </c>
      <c r="AB236" s="5" t="s">
        <v>587</v>
      </c>
      <c r="AC236" s="5" t="s">
        <v>588</v>
      </c>
      <c r="AD236" s="5" t="s">
        <v>589</v>
      </c>
    </row>
    <row r="237" spans="17:46" x14ac:dyDescent="0.25">
      <c r="Q237" s="156">
        <v>600</v>
      </c>
      <c r="R237" s="24" t="s">
        <v>128</v>
      </c>
      <c r="T237" s="52"/>
      <c r="U237" s="52"/>
      <c r="V237" s="5"/>
      <c r="W237" s="5"/>
      <c r="Z237" s="5"/>
      <c r="AA237" s="5"/>
      <c r="AB237" s="5">
        <f>AVERAGE(Z227:AA236)</f>
        <v>118284.11885278599</v>
      </c>
      <c r="AC237" s="5">
        <f>Z227</f>
        <v>86947.956168659017</v>
      </c>
      <c r="AD237" s="5">
        <f>AA236</f>
        <v>153163.69530066289</v>
      </c>
    </row>
    <row r="238" spans="17:46" x14ac:dyDescent="0.25">
      <c r="Q238" s="157"/>
      <c r="R238" s="24" t="s">
        <v>129</v>
      </c>
      <c r="V238" s="5">
        <f>STS!$FY$27</f>
        <v>83718.153407029196</v>
      </c>
      <c r="W238" s="5"/>
    </row>
    <row r="239" spans="17:46" x14ac:dyDescent="0.25">
      <c r="Q239" s="157"/>
      <c r="T239" s="18">
        <v>3</v>
      </c>
      <c r="V239" s="5"/>
      <c r="W239" s="5"/>
    </row>
    <row r="240" spans="17:46" x14ac:dyDescent="0.25">
      <c r="Q240" s="157"/>
      <c r="T240" s="18">
        <v>6</v>
      </c>
      <c r="V240" s="5"/>
      <c r="W240" s="5"/>
    </row>
    <row r="241" spans="17:46" x14ac:dyDescent="0.25">
      <c r="Q241" s="157"/>
      <c r="T241" s="18">
        <v>12</v>
      </c>
      <c r="V241" s="5"/>
      <c r="W241" s="5"/>
    </row>
    <row r="242" spans="17:46" x14ac:dyDescent="0.25">
      <c r="Q242" s="157"/>
      <c r="T242" s="18">
        <v>18</v>
      </c>
      <c r="V242" s="5"/>
      <c r="W242" s="5"/>
    </row>
    <row r="243" spans="17:46" x14ac:dyDescent="0.25">
      <c r="Q243" s="157"/>
      <c r="T243" s="18">
        <v>24</v>
      </c>
      <c r="V243" s="5"/>
      <c r="W243" s="5"/>
    </row>
    <row r="244" spans="17:46" x14ac:dyDescent="0.25">
      <c r="Q244" s="157"/>
      <c r="T244" s="18">
        <v>48</v>
      </c>
      <c r="V244" s="5"/>
      <c r="W244" s="5"/>
    </row>
    <row r="245" spans="17:46" x14ac:dyDescent="0.25">
      <c r="Q245" s="157"/>
      <c r="T245" s="18">
        <v>84</v>
      </c>
      <c r="V245" s="5"/>
      <c r="W245" s="5"/>
      <c r="Z245" s="5" t="s">
        <v>1546</v>
      </c>
      <c r="AA245" s="5" t="s">
        <v>1547</v>
      </c>
      <c r="AB245" s="5"/>
      <c r="AC245" s="5"/>
      <c r="AD245" s="5"/>
    </row>
    <row r="246" spans="17:46" x14ac:dyDescent="0.25">
      <c r="Q246" s="157"/>
      <c r="U246" s="18">
        <v>15</v>
      </c>
      <c r="V246" s="5"/>
      <c r="W246" s="5">
        <f>STS!FV92</f>
        <v>17612.878056753507</v>
      </c>
      <c r="Z246" s="5">
        <f>W246+$V$238</f>
        <v>101331.03146378271</v>
      </c>
      <c r="AA246" s="5">
        <f>W246+$V$238</f>
        <v>101331.03146378271</v>
      </c>
      <c r="AB246" s="5"/>
      <c r="AC246" s="5"/>
      <c r="AD246" s="5"/>
      <c r="AS246" t="s">
        <v>1483</v>
      </c>
      <c r="AT246" s="5">
        <f>AVERAGE(W246:W248)</f>
        <v>23422.843836905638</v>
      </c>
    </row>
    <row r="247" spans="17:46" x14ac:dyDescent="0.25">
      <c r="Q247" s="157"/>
      <c r="U247" s="18">
        <v>20</v>
      </c>
      <c r="V247" s="5"/>
      <c r="W247" s="5">
        <f>STS!FW92</f>
        <v>21656.210388440188</v>
      </c>
      <c r="Z247" s="5">
        <f t="shared" ref="Z247:Z255" si="63">W247+$V$238</f>
        <v>105374.36379546938</v>
      </c>
      <c r="AA247" s="5">
        <f t="shared" ref="AA247:AA255" si="64">W247+$V$238</f>
        <v>105374.36379546938</v>
      </c>
      <c r="AB247" s="5"/>
      <c r="AC247" s="5"/>
      <c r="AD247" s="5"/>
      <c r="AS247" t="s">
        <v>1484</v>
      </c>
      <c r="AT247" s="5">
        <f>AVERAGE(W249:W252)</f>
        <v>54357.524758230786</v>
      </c>
    </row>
    <row r="248" spans="17:46" x14ac:dyDescent="0.25">
      <c r="Q248" s="157"/>
      <c r="U248" s="18">
        <v>30</v>
      </c>
      <c r="V248" s="5"/>
      <c r="W248" s="5">
        <f>STS!FX92</f>
        <v>30999.443065523217</v>
      </c>
      <c r="Z248" s="5">
        <f t="shared" si="63"/>
        <v>114717.59647255241</v>
      </c>
      <c r="AA248" s="5">
        <f t="shared" si="64"/>
        <v>114717.59647255241</v>
      </c>
      <c r="AB248" s="5"/>
      <c r="AC248" s="5"/>
      <c r="AD248" s="5"/>
      <c r="AS248" t="s">
        <v>1485</v>
      </c>
      <c r="AT248" s="5">
        <f>AVERAGE(W253:W255)</f>
        <v>87058.839128021384</v>
      </c>
    </row>
    <row r="249" spans="17:46" x14ac:dyDescent="0.25">
      <c r="Q249" s="157"/>
      <c r="U249" s="18">
        <v>40</v>
      </c>
      <c r="V249" s="5"/>
      <c r="W249" s="5">
        <f>STS!FY92</f>
        <v>40342.675742606247</v>
      </c>
      <c r="Z249" s="5">
        <f t="shared" si="63"/>
        <v>124060.82914963545</v>
      </c>
      <c r="AA249" s="5">
        <f t="shared" si="64"/>
        <v>124060.82914963545</v>
      </c>
      <c r="AB249" s="5"/>
      <c r="AC249" s="5"/>
      <c r="AD249" s="5"/>
    </row>
    <row r="250" spans="17:46" x14ac:dyDescent="0.25">
      <c r="Q250" s="157"/>
      <c r="U250" s="18">
        <v>50</v>
      </c>
      <c r="V250" s="5"/>
      <c r="W250" s="5">
        <f>STS!FZ92</f>
        <v>49685.908419689273</v>
      </c>
      <c r="Z250" s="5">
        <f t="shared" si="63"/>
        <v>133404.06182671848</v>
      </c>
      <c r="AA250" s="5">
        <f t="shared" si="64"/>
        <v>133404.06182671848</v>
      </c>
      <c r="AB250" s="5"/>
      <c r="AC250" s="5"/>
      <c r="AD250" s="5"/>
    </row>
    <row r="251" spans="17:46" x14ac:dyDescent="0.25">
      <c r="Q251" s="157"/>
      <c r="U251" s="18">
        <v>60</v>
      </c>
      <c r="V251" s="5"/>
      <c r="W251" s="5">
        <f>STS!GA92</f>
        <v>59029.141096772299</v>
      </c>
      <c r="Z251" s="5">
        <f t="shared" si="63"/>
        <v>142747.2945038015</v>
      </c>
      <c r="AA251" s="5">
        <f t="shared" si="64"/>
        <v>142747.2945038015</v>
      </c>
      <c r="AB251" s="5"/>
      <c r="AC251" s="5"/>
      <c r="AD251" s="5"/>
    </row>
    <row r="252" spans="17:46" x14ac:dyDescent="0.25">
      <c r="Q252" s="157"/>
      <c r="U252" s="18">
        <v>70</v>
      </c>
      <c r="V252" s="5"/>
      <c r="W252" s="5">
        <f>STS!GB92</f>
        <v>68372.373773855332</v>
      </c>
      <c r="Z252" s="5">
        <f t="shared" si="63"/>
        <v>152090.52718088453</v>
      </c>
      <c r="AA252" s="5">
        <f t="shared" si="64"/>
        <v>152090.52718088453</v>
      </c>
      <c r="AB252" s="5"/>
      <c r="AC252" s="5"/>
      <c r="AD252" s="5"/>
    </row>
    <row r="253" spans="17:46" x14ac:dyDescent="0.25">
      <c r="Q253" s="157"/>
      <c r="U253" s="18">
        <v>80</v>
      </c>
      <c r="V253" s="5"/>
      <c r="W253" s="5">
        <f>STS!GC92</f>
        <v>77715.606450938358</v>
      </c>
      <c r="Z253" s="5">
        <f t="shared" si="63"/>
        <v>161433.75985796755</v>
      </c>
      <c r="AA253" s="5">
        <f t="shared" si="64"/>
        <v>161433.75985796755</v>
      </c>
      <c r="AB253" s="5"/>
      <c r="AC253" s="5"/>
      <c r="AD253" s="5"/>
    </row>
    <row r="254" spans="17:46" x14ac:dyDescent="0.25">
      <c r="Q254" s="157"/>
      <c r="U254" s="18">
        <v>90</v>
      </c>
      <c r="V254" s="5"/>
      <c r="W254" s="5">
        <f>STS!GD92</f>
        <v>87058.839128021384</v>
      </c>
      <c r="Z254" s="5">
        <f t="shared" si="63"/>
        <v>170776.99253505058</v>
      </c>
      <c r="AA254" s="5">
        <f t="shared" si="64"/>
        <v>170776.99253505058</v>
      </c>
      <c r="AB254" s="5"/>
      <c r="AC254" s="5"/>
      <c r="AD254" s="5"/>
    </row>
    <row r="255" spans="17:46" x14ac:dyDescent="0.25">
      <c r="Q255" s="158"/>
      <c r="T255" s="40"/>
      <c r="U255" s="40">
        <v>100</v>
      </c>
      <c r="V255" s="5"/>
      <c r="W255" s="5">
        <f>STS!GE92</f>
        <v>96402.07180510441</v>
      </c>
      <c r="Z255" s="5">
        <f t="shared" si="63"/>
        <v>180120.22521213361</v>
      </c>
      <c r="AA255" s="5">
        <f t="shared" si="64"/>
        <v>180120.22521213361</v>
      </c>
      <c r="AB255" s="5" t="s">
        <v>587</v>
      </c>
      <c r="AC255" s="5" t="s">
        <v>588</v>
      </c>
      <c r="AD255" s="5" t="s">
        <v>589</v>
      </c>
    </row>
    <row r="256" spans="17:46" x14ac:dyDescent="0.25">
      <c r="Q256" s="156">
        <v>800</v>
      </c>
      <c r="R256" s="24" t="s">
        <v>128</v>
      </c>
      <c r="T256" s="52"/>
      <c r="U256" s="52"/>
      <c r="V256" s="5"/>
      <c r="W256" s="5"/>
      <c r="Z256" s="5"/>
      <c r="AA256" s="5"/>
      <c r="AB256" s="5">
        <f>AVERAGE(Z246:AA255)</f>
        <v>138605.66819979961</v>
      </c>
      <c r="AC256" s="5">
        <f>Z246</f>
        <v>101331.03146378271</v>
      </c>
      <c r="AD256" s="5">
        <f>AA255</f>
        <v>180120.22521213361</v>
      </c>
    </row>
    <row r="257" spans="17:46" x14ac:dyDescent="0.25">
      <c r="Q257" s="157"/>
      <c r="R257" s="24" t="s">
        <v>129</v>
      </c>
      <c r="V257" s="5">
        <f>STS!$GM$31</f>
        <v>104619.57076239875</v>
      </c>
      <c r="W257" s="5"/>
    </row>
    <row r="258" spans="17:46" x14ac:dyDescent="0.25">
      <c r="Q258" s="157"/>
      <c r="T258" s="18">
        <v>3</v>
      </c>
      <c r="V258" s="5"/>
      <c r="W258" s="5"/>
    </row>
    <row r="259" spans="17:46" x14ac:dyDescent="0.25">
      <c r="Q259" s="157"/>
      <c r="T259" s="18">
        <v>6</v>
      </c>
      <c r="V259" s="5"/>
      <c r="W259" s="5"/>
    </row>
    <row r="260" spans="17:46" x14ac:dyDescent="0.25">
      <c r="Q260" s="157"/>
      <c r="T260" s="18">
        <v>12</v>
      </c>
      <c r="V260" s="5"/>
      <c r="W260" s="5"/>
    </row>
    <row r="261" spans="17:46" x14ac:dyDescent="0.25">
      <c r="Q261" s="157"/>
      <c r="T261" s="18">
        <v>18</v>
      </c>
      <c r="V261" s="5"/>
      <c r="W261" s="5"/>
    </row>
    <row r="262" spans="17:46" x14ac:dyDescent="0.25">
      <c r="Q262" s="157"/>
      <c r="T262" s="18">
        <v>24</v>
      </c>
      <c r="V262" s="5"/>
      <c r="W262" s="5"/>
    </row>
    <row r="263" spans="17:46" x14ac:dyDescent="0.25">
      <c r="Q263" s="157"/>
      <c r="T263" s="18">
        <v>48</v>
      </c>
      <c r="V263" s="5"/>
      <c r="W263" s="5"/>
    </row>
    <row r="264" spans="17:46" x14ac:dyDescent="0.25">
      <c r="Q264" s="157"/>
      <c r="T264" s="18">
        <v>84</v>
      </c>
      <c r="V264" s="5"/>
      <c r="W264" s="5"/>
      <c r="Z264" s="5" t="s">
        <v>1546</v>
      </c>
      <c r="AA264" s="5" t="s">
        <v>1547</v>
      </c>
      <c r="AB264" s="5"/>
      <c r="AC264" s="5"/>
      <c r="AD264" s="5"/>
    </row>
    <row r="265" spans="17:46" x14ac:dyDescent="0.25">
      <c r="Q265" s="157"/>
      <c r="U265" s="18">
        <v>15</v>
      </c>
      <c r="V265" s="5"/>
      <c r="W265" s="5">
        <f>STS!GJ92</f>
        <v>23331.634406719728</v>
      </c>
      <c r="Z265" s="5">
        <f>W265+$V$257</f>
        <v>127951.20516911848</v>
      </c>
      <c r="AA265" s="5">
        <f>Z265</f>
        <v>127951.20516911848</v>
      </c>
      <c r="AB265" s="5"/>
      <c r="AC265" s="5"/>
      <c r="AD265" s="5"/>
      <c r="AS265" t="s">
        <v>1483</v>
      </c>
      <c r="AT265" s="5">
        <f>AVERAGE(W265:W267)</f>
        <v>30968.331056383449</v>
      </c>
    </row>
    <row r="266" spans="17:46" x14ac:dyDescent="0.25">
      <c r="Q266" s="157"/>
      <c r="U266" s="18">
        <v>20</v>
      </c>
      <c r="V266" s="5"/>
      <c r="W266" s="5">
        <f>STS!GK92</f>
        <v>28621.275514112014</v>
      </c>
      <c r="Z266" s="5">
        <f t="shared" ref="Z266:Z274" si="65">W266+$V$257</f>
        <v>133240.84627651077</v>
      </c>
      <c r="AA266" s="5">
        <f t="shared" ref="AA266:AA274" si="66">Z266</f>
        <v>133240.84627651077</v>
      </c>
      <c r="AB266" s="5"/>
      <c r="AC266" s="5"/>
      <c r="AD266" s="5"/>
      <c r="AS266" t="s">
        <v>1484</v>
      </c>
      <c r="AT266" s="5">
        <f>AVERAGE(W268:W271)</f>
        <v>71779.102583835062</v>
      </c>
    </row>
    <row r="267" spans="17:46" x14ac:dyDescent="0.25">
      <c r="Q267" s="157"/>
      <c r="U267" s="18">
        <v>30</v>
      </c>
      <c r="V267" s="5"/>
      <c r="W267" s="5">
        <f>STS!GL92</f>
        <v>40952.083248318602</v>
      </c>
      <c r="Z267" s="5">
        <f t="shared" si="65"/>
        <v>145571.65401071735</v>
      </c>
      <c r="AA267" s="5">
        <f t="shared" si="66"/>
        <v>145571.65401071735</v>
      </c>
      <c r="AB267" s="5"/>
      <c r="AC267" s="5"/>
      <c r="AD267" s="5"/>
      <c r="AS267" t="s">
        <v>1485</v>
      </c>
      <c r="AT267" s="5">
        <f>AVERAGE(W272:W274)</f>
        <v>114936.92965355811</v>
      </c>
    </row>
    <row r="268" spans="17:46" x14ac:dyDescent="0.25">
      <c r="Q268" s="157"/>
      <c r="U268" s="18">
        <v>40</v>
      </c>
      <c r="V268" s="5"/>
      <c r="W268" s="5">
        <f>STS!GM92</f>
        <v>53282.890982525183</v>
      </c>
      <c r="Z268" s="5">
        <f t="shared" si="65"/>
        <v>157902.46174492393</v>
      </c>
      <c r="AA268" s="5">
        <f t="shared" si="66"/>
        <v>157902.46174492393</v>
      </c>
      <c r="AB268" s="5"/>
      <c r="AC268" s="5"/>
      <c r="AD268" s="5"/>
    </row>
    <row r="269" spans="17:46" x14ac:dyDescent="0.25">
      <c r="Q269" s="157"/>
      <c r="U269" s="18">
        <v>50</v>
      </c>
      <c r="V269" s="5"/>
      <c r="W269" s="5">
        <f>STS!GN92</f>
        <v>65613.698716731771</v>
      </c>
      <c r="Z269" s="5">
        <f t="shared" si="65"/>
        <v>170233.26947913051</v>
      </c>
      <c r="AA269" s="5">
        <f t="shared" si="66"/>
        <v>170233.26947913051</v>
      </c>
      <c r="AB269" s="5"/>
      <c r="AC269" s="5"/>
      <c r="AD269" s="5"/>
    </row>
    <row r="270" spans="17:46" x14ac:dyDescent="0.25">
      <c r="Q270" s="157"/>
      <c r="U270" s="18">
        <v>60</v>
      </c>
      <c r="V270" s="5"/>
      <c r="W270" s="5">
        <f>STS!GO92</f>
        <v>77944.506450938352</v>
      </c>
      <c r="Z270" s="5">
        <f t="shared" si="65"/>
        <v>182564.07721333712</v>
      </c>
      <c r="AA270" s="5">
        <f t="shared" si="66"/>
        <v>182564.07721333712</v>
      </c>
      <c r="AB270" s="5"/>
      <c r="AC270" s="5"/>
      <c r="AD270" s="5"/>
    </row>
    <row r="271" spans="17:46" x14ac:dyDescent="0.25">
      <c r="Q271" s="157"/>
      <c r="U271" s="18">
        <v>70</v>
      </c>
      <c r="V271" s="5"/>
      <c r="W271" s="5">
        <f>STS!GP92</f>
        <v>90275.314185144933</v>
      </c>
      <c r="Z271" s="5">
        <f t="shared" si="65"/>
        <v>194894.88494754367</v>
      </c>
      <c r="AA271" s="5">
        <f t="shared" si="66"/>
        <v>194894.88494754367</v>
      </c>
      <c r="AB271" s="5"/>
      <c r="AC271" s="5"/>
      <c r="AD271" s="5"/>
    </row>
    <row r="272" spans="17:46" x14ac:dyDescent="0.25">
      <c r="Q272" s="157"/>
      <c r="U272" s="18">
        <v>80</v>
      </c>
      <c r="V272" s="5"/>
      <c r="W272" s="5">
        <f>STS!GQ92</f>
        <v>102606.12191935151</v>
      </c>
      <c r="Z272" s="5">
        <f t="shared" si="65"/>
        <v>207225.69268175028</v>
      </c>
      <c r="AA272" s="5">
        <f t="shared" si="66"/>
        <v>207225.69268175028</v>
      </c>
      <c r="AB272" s="5"/>
      <c r="AC272" s="5"/>
      <c r="AD272" s="5"/>
    </row>
    <row r="273" spans="17:46" x14ac:dyDescent="0.25">
      <c r="Q273" s="157"/>
      <c r="U273" s="18">
        <v>90</v>
      </c>
      <c r="V273" s="5"/>
      <c r="W273" s="5">
        <f>STS!GR92</f>
        <v>114936.92965355809</v>
      </c>
      <c r="Z273" s="5">
        <f t="shared" si="65"/>
        <v>219556.50041595683</v>
      </c>
      <c r="AA273" s="5">
        <f t="shared" si="66"/>
        <v>219556.50041595683</v>
      </c>
      <c r="AB273" s="5"/>
      <c r="AC273" s="5"/>
      <c r="AD273" s="5"/>
    </row>
    <row r="274" spans="17:46" x14ac:dyDescent="0.25">
      <c r="Q274" s="158"/>
      <c r="T274" s="40"/>
      <c r="U274" s="40">
        <v>100</v>
      </c>
      <c r="V274" s="5"/>
      <c r="W274" s="5">
        <f>STS!GS92</f>
        <v>127267.7373877647</v>
      </c>
      <c r="Z274" s="5">
        <f t="shared" si="65"/>
        <v>231887.30815016344</v>
      </c>
      <c r="AA274" s="5">
        <f t="shared" si="66"/>
        <v>231887.30815016344</v>
      </c>
      <c r="AB274" s="5" t="s">
        <v>587</v>
      </c>
      <c r="AC274" s="5" t="s">
        <v>588</v>
      </c>
      <c r="AD274" s="5" t="s">
        <v>589</v>
      </c>
    </row>
    <row r="275" spans="17:46" x14ac:dyDescent="0.25">
      <c r="Q275" s="156">
        <v>1000</v>
      </c>
      <c r="R275" s="24" t="s">
        <v>128</v>
      </c>
      <c r="T275" s="52"/>
      <c r="U275" s="52"/>
      <c r="V275" s="5"/>
      <c r="W275" s="5"/>
      <c r="Z275" s="5"/>
      <c r="AA275" s="5"/>
      <c r="AB275" s="5">
        <f>AVERAGE(Z265:AA274)</f>
        <v>177102.79000891521</v>
      </c>
      <c r="AC275" s="5">
        <f>Z265</f>
        <v>127951.20516911848</v>
      </c>
      <c r="AD275" s="5">
        <f>AA274</f>
        <v>231887.30815016344</v>
      </c>
    </row>
    <row r="276" spans="17:46" x14ac:dyDescent="0.25">
      <c r="Q276" s="157"/>
      <c r="R276" s="24" t="s">
        <v>129</v>
      </c>
      <c r="V276" s="5">
        <f>STS!$HA$31</f>
        <v>130874.77444294002</v>
      </c>
      <c r="W276" s="5"/>
    </row>
    <row r="277" spans="17:46" x14ac:dyDescent="0.25">
      <c r="Q277" s="157"/>
      <c r="T277" s="18">
        <v>3</v>
      </c>
      <c r="W277" s="5"/>
    </row>
    <row r="278" spans="17:46" x14ac:dyDescent="0.25">
      <c r="Q278" s="157"/>
      <c r="T278" s="18">
        <v>6</v>
      </c>
      <c r="W278" s="5"/>
    </row>
    <row r="279" spans="17:46" x14ac:dyDescent="0.25">
      <c r="Q279" s="157"/>
      <c r="T279" s="18">
        <v>12</v>
      </c>
      <c r="W279" s="5"/>
    </row>
    <row r="280" spans="17:46" x14ac:dyDescent="0.25">
      <c r="Q280" s="157"/>
      <c r="T280" s="18">
        <v>18</v>
      </c>
      <c r="W280" s="5"/>
    </row>
    <row r="281" spans="17:46" x14ac:dyDescent="0.25">
      <c r="Q281" s="157"/>
      <c r="T281" s="18">
        <v>24</v>
      </c>
      <c r="W281" s="5"/>
    </row>
    <row r="282" spans="17:46" x14ac:dyDescent="0.25">
      <c r="Q282" s="157"/>
      <c r="T282" s="18">
        <v>48</v>
      </c>
      <c r="W282" s="5"/>
    </row>
    <row r="283" spans="17:46" x14ac:dyDescent="0.25">
      <c r="Q283" s="157"/>
      <c r="T283" s="18">
        <v>84</v>
      </c>
      <c r="W283" s="5"/>
      <c r="Z283" s="5" t="s">
        <v>1546</v>
      </c>
      <c r="AA283" s="5" t="s">
        <v>1547</v>
      </c>
      <c r="AB283" s="5"/>
      <c r="AC283" s="5"/>
      <c r="AD283" s="5"/>
    </row>
    <row r="284" spans="17:46" x14ac:dyDescent="0.25">
      <c r="Q284" s="157"/>
      <c r="U284" s="18">
        <v>15</v>
      </c>
      <c r="W284" s="5">
        <f>STS!GX92</f>
        <v>29050.390756685956</v>
      </c>
      <c r="Z284" s="5">
        <f>W284+$V$276</f>
        <v>159925.16519962598</v>
      </c>
      <c r="AA284" s="5">
        <f>Z284</f>
        <v>159925.16519962598</v>
      </c>
      <c r="AB284" s="5"/>
      <c r="AC284" s="5"/>
      <c r="AD284" s="5"/>
      <c r="AS284" t="s">
        <v>1483</v>
      </c>
      <c r="AT284" s="5">
        <f>AVERAGE(W284:W286)</f>
        <v>38513.81827586126</v>
      </c>
    </row>
    <row r="285" spans="17:46" x14ac:dyDescent="0.25">
      <c r="Q285" s="157"/>
      <c r="U285" s="18">
        <v>20</v>
      </c>
      <c r="W285" s="5">
        <f>STS!GY92</f>
        <v>35586.340639783841</v>
      </c>
      <c r="Z285" s="5">
        <f t="shared" ref="Z285:Z293" si="67">W285+$V$276</f>
        <v>166461.11508272385</v>
      </c>
      <c r="AA285" s="5">
        <f t="shared" ref="AA285:AA293" si="68">Z285</f>
        <v>166461.11508272385</v>
      </c>
      <c r="AB285" s="5"/>
      <c r="AC285" s="5"/>
      <c r="AD285" s="5"/>
      <c r="AS285" t="s">
        <v>1484</v>
      </c>
      <c r="AT285" s="5">
        <f>AVERAGE(W287:W290)</f>
        <v>89200.680409439345</v>
      </c>
    </row>
    <row r="286" spans="17:46" x14ac:dyDescent="0.25">
      <c r="Q286" s="157"/>
      <c r="U286" s="18">
        <v>30</v>
      </c>
      <c r="W286" s="5">
        <f>STS!GZ92</f>
        <v>50904.723431113984</v>
      </c>
      <c r="Z286" s="5">
        <f t="shared" si="67"/>
        <v>181779.49787405401</v>
      </c>
      <c r="AA286" s="5">
        <f t="shared" si="68"/>
        <v>181779.49787405401</v>
      </c>
      <c r="AB286" s="5"/>
      <c r="AC286" s="5"/>
      <c r="AD286" s="5"/>
      <c r="AS286" t="s">
        <v>1485</v>
      </c>
      <c r="AT286" s="5">
        <f>AVERAGE(W291:W293)</f>
        <v>142815.02017909483</v>
      </c>
    </row>
    <row r="287" spans="17:46" x14ac:dyDescent="0.25">
      <c r="Q287" s="157"/>
      <c r="U287" s="18">
        <v>40</v>
      </c>
      <c r="W287" s="5">
        <f>STS!HA92</f>
        <v>66223.106222444127</v>
      </c>
      <c r="Z287" s="5">
        <f t="shared" si="67"/>
        <v>197097.88066538415</v>
      </c>
      <c r="AA287" s="5">
        <f t="shared" si="68"/>
        <v>197097.88066538415</v>
      </c>
      <c r="AB287" s="5"/>
      <c r="AC287" s="5"/>
      <c r="AD287" s="5"/>
    </row>
    <row r="288" spans="17:46" x14ac:dyDescent="0.25">
      <c r="Q288" s="157"/>
      <c r="U288" s="18">
        <v>50</v>
      </c>
      <c r="W288" s="5">
        <f>STS!HB92</f>
        <v>81541.489013774262</v>
      </c>
      <c r="Z288" s="5">
        <f t="shared" si="67"/>
        <v>212416.26345671428</v>
      </c>
      <c r="AA288" s="5">
        <f t="shared" si="68"/>
        <v>212416.26345671428</v>
      </c>
      <c r="AB288" s="5"/>
      <c r="AC288" s="5"/>
      <c r="AD288" s="5"/>
    </row>
    <row r="289" spans="17:30" x14ac:dyDescent="0.25">
      <c r="Q289" s="157"/>
      <c r="U289" s="18">
        <v>60</v>
      </c>
      <c r="W289" s="5">
        <f>STS!HC92</f>
        <v>96859.871805104412</v>
      </c>
      <c r="Z289" s="5">
        <f t="shared" si="67"/>
        <v>227734.64624804445</v>
      </c>
      <c r="AA289" s="5">
        <f t="shared" si="68"/>
        <v>227734.64624804445</v>
      </c>
      <c r="AB289" s="5"/>
      <c r="AC289" s="5"/>
      <c r="AD289" s="5"/>
    </row>
    <row r="290" spans="17:30" x14ac:dyDescent="0.25">
      <c r="Q290" s="157"/>
      <c r="U290" s="18">
        <v>70</v>
      </c>
      <c r="W290" s="5">
        <f>STS!HD92</f>
        <v>112178.25459643456</v>
      </c>
      <c r="Z290" s="5">
        <f t="shared" si="67"/>
        <v>243053.02903937458</v>
      </c>
      <c r="AA290" s="5">
        <f t="shared" si="68"/>
        <v>243053.02903937458</v>
      </c>
      <c r="AB290" s="5"/>
      <c r="AC290" s="5"/>
      <c r="AD290" s="5"/>
    </row>
    <row r="291" spans="17:30" x14ac:dyDescent="0.25">
      <c r="Q291" s="157"/>
      <c r="U291" s="18">
        <v>80</v>
      </c>
      <c r="W291" s="5">
        <f>STS!HE92</f>
        <v>127496.6373877647</v>
      </c>
      <c r="Z291" s="5">
        <f t="shared" si="67"/>
        <v>258371.41183070472</v>
      </c>
      <c r="AA291" s="5">
        <f t="shared" si="68"/>
        <v>258371.41183070472</v>
      </c>
      <c r="AB291" s="5"/>
      <c r="AC291" s="5"/>
      <c r="AD291" s="5"/>
    </row>
    <row r="292" spans="17:30" x14ac:dyDescent="0.25">
      <c r="Q292" s="157"/>
      <c r="U292" s="18">
        <v>90</v>
      </c>
      <c r="W292" s="5">
        <f>STS!HF92</f>
        <v>142815.02017909483</v>
      </c>
      <c r="Z292" s="5">
        <f t="shared" si="67"/>
        <v>273689.79462203488</v>
      </c>
      <c r="AA292" s="5">
        <f t="shared" si="68"/>
        <v>273689.79462203488</v>
      </c>
      <c r="AB292" s="5"/>
      <c r="AC292" s="5"/>
      <c r="AD292" s="5"/>
    </row>
    <row r="293" spans="17:30" x14ac:dyDescent="0.25">
      <c r="Q293" s="158"/>
      <c r="T293" s="40"/>
      <c r="U293" s="40">
        <v>100</v>
      </c>
      <c r="W293" s="5">
        <f>STS!HG92</f>
        <v>158133.40297042497</v>
      </c>
      <c r="Z293" s="5">
        <f t="shared" si="67"/>
        <v>289008.17741336499</v>
      </c>
      <c r="AA293" s="5">
        <f t="shared" si="68"/>
        <v>289008.17741336499</v>
      </c>
      <c r="AB293" s="5" t="s">
        <v>587</v>
      </c>
      <c r="AC293" s="5" t="s">
        <v>588</v>
      </c>
      <c r="AD293" s="5" t="s">
        <v>589</v>
      </c>
    </row>
    <row r="294" spans="17:30" x14ac:dyDescent="0.25">
      <c r="Z294" s="5"/>
      <c r="AA294" s="5"/>
      <c r="AB294" s="5">
        <f>AVERAGE(Z284:AA293)</f>
        <v>220953.69814320258</v>
      </c>
      <c r="AC294" s="5">
        <f>Z284</f>
        <v>159925.16519962598</v>
      </c>
      <c r="AD294" s="5">
        <f>AA293</f>
        <v>289008.17741336499</v>
      </c>
    </row>
  </sheetData>
  <mergeCells count="24">
    <mergeCell ref="Q275:Q293"/>
    <mergeCell ref="Q180:Q198"/>
    <mergeCell ref="Q199:Q217"/>
    <mergeCell ref="Q218:Q236"/>
    <mergeCell ref="Q237:Q255"/>
    <mergeCell ref="Q256:Q274"/>
    <mergeCell ref="Q85:Q103"/>
    <mergeCell ref="Q104:Q122"/>
    <mergeCell ref="Q123:Q141"/>
    <mergeCell ref="Q142:Q160"/>
    <mergeCell ref="Q161:Q179"/>
    <mergeCell ref="Q1:Y2"/>
    <mergeCell ref="Q4:Q24"/>
    <mergeCell ref="Q26:Q45"/>
    <mergeCell ref="Q47:Q65"/>
    <mergeCell ref="Q66:Q84"/>
    <mergeCell ref="E1:N2"/>
    <mergeCell ref="E66:E84"/>
    <mergeCell ref="E85:E103"/>
    <mergeCell ref="E104:E122"/>
    <mergeCell ref="E123:E141"/>
    <mergeCell ref="E4:E24"/>
    <mergeCell ref="E26:E45"/>
    <mergeCell ref="E47:E6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928E-E6AD-41EC-B980-8C787D225F33}">
  <sheetPr>
    <tabColor theme="9"/>
  </sheetPr>
  <dimension ref="B3:X113"/>
  <sheetViews>
    <sheetView zoomScale="85" zoomScaleNormal="85" workbookViewId="0">
      <selection activeCell="L126" sqref="L126"/>
    </sheetView>
  </sheetViews>
  <sheetFormatPr defaultRowHeight="15" x14ac:dyDescent="0.25"/>
  <cols>
    <col min="5" max="5" width="0" hidden="1" customWidth="1"/>
  </cols>
  <sheetData>
    <row r="3" spans="2:24" s="39" customFormat="1" ht="15.75" thickBot="1" x14ac:dyDescent="0.3">
      <c r="B3" s="40" t="s">
        <v>156</v>
      </c>
      <c r="C3" s="39" t="s">
        <v>136</v>
      </c>
      <c r="E3" s="47" t="s">
        <v>529</v>
      </c>
      <c r="F3" s="47" t="s">
        <v>529</v>
      </c>
      <c r="G3" s="47" t="s">
        <v>204</v>
      </c>
      <c r="H3" s="47" t="s">
        <v>511</v>
      </c>
      <c r="I3" s="39" t="s">
        <v>530</v>
      </c>
    </row>
    <row r="4" spans="2:24" x14ac:dyDescent="0.25">
      <c r="B4" s="162">
        <v>5</v>
      </c>
      <c r="C4" t="s">
        <v>484</v>
      </c>
      <c r="G4" s="5">
        <f>SAF!$H$12</f>
        <v>3542.3426391858593</v>
      </c>
      <c r="H4" s="5">
        <f>SAF!$E$98</f>
        <v>2005.3987939527428</v>
      </c>
      <c r="Q4" t="s">
        <v>129</v>
      </c>
    </row>
    <row r="5" spans="2:24" ht="15.75" thickBot="1" x14ac:dyDescent="0.3">
      <c r="B5" s="163"/>
      <c r="C5" t="s">
        <v>470</v>
      </c>
      <c r="G5" s="5">
        <f>SAF!$H$26</f>
        <v>4310.856782680853</v>
      </c>
      <c r="H5" s="5">
        <f>SAF!$E$98</f>
        <v>2005.3987939527428</v>
      </c>
      <c r="P5" t="s">
        <v>156</v>
      </c>
      <c r="Q5" s="47" t="s">
        <v>204</v>
      </c>
      <c r="R5" s="5"/>
      <c r="S5" s="5"/>
      <c r="W5" t="s">
        <v>156</v>
      </c>
    </row>
    <row r="6" spans="2:24" x14ac:dyDescent="0.25">
      <c r="B6" s="163"/>
      <c r="E6">
        <v>6</v>
      </c>
      <c r="F6" s="5">
        <f>365/E6</f>
        <v>60.833333333333336</v>
      </c>
      <c r="I6" s="5">
        <f>SAF!D145</f>
        <v>1234.5290300627341</v>
      </c>
      <c r="P6">
        <v>5</v>
      </c>
      <c r="Q6" s="5">
        <f>G5</f>
        <v>4310.856782680853</v>
      </c>
      <c r="S6" s="5"/>
      <c r="W6">
        <v>5</v>
      </c>
      <c r="X6">
        <v>4310.856782680853</v>
      </c>
    </row>
    <row r="7" spans="2:24" x14ac:dyDescent="0.25">
      <c r="B7" s="163"/>
      <c r="E7" s="10">
        <v>4</v>
      </c>
      <c r="F7" s="5">
        <f t="shared" ref="F7:F13" si="0">365/E7</f>
        <v>91.25</v>
      </c>
      <c r="I7" s="5">
        <f>SAF!D146</f>
        <v>1192.7816715581973</v>
      </c>
      <c r="P7">
        <v>10</v>
      </c>
      <c r="Q7" s="5">
        <f>G15</f>
        <v>7798.871939738181</v>
      </c>
      <c r="S7" s="5"/>
      <c r="W7">
        <v>10</v>
      </c>
      <c r="X7">
        <v>7798.871939738181</v>
      </c>
    </row>
    <row r="8" spans="2:24" x14ac:dyDescent="0.25">
      <c r="B8" s="163"/>
      <c r="E8">
        <v>3</v>
      </c>
      <c r="F8" s="5">
        <f t="shared" si="0"/>
        <v>121.66666666666667</v>
      </c>
      <c r="I8" s="5">
        <f>SAF!D147</f>
        <v>1152.4460594765192</v>
      </c>
      <c r="P8">
        <v>20</v>
      </c>
      <c r="Q8" s="5">
        <f>G25</f>
        <v>13798.986695028789</v>
      </c>
      <c r="S8" s="5"/>
      <c r="W8">
        <v>20</v>
      </c>
      <c r="X8">
        <v>13798.986695028789</v>
      </c>
    </row>
    <row r="9" spans="2:24" x14ac:dyDescent="0.25">
      <c r="B9" s="163"/>
      <c r="E9" s="10">
        <v>2</v>
      </c>
      <c r="F9" s="5">
        <f t="shared" si="0"/>
        <v>182.5</v>
      </c>
      <c r="I9" s="5">
        <f>SAF!D148</f>
        <v>1113.4744536005019</v>
      </c>
      <c r="P9">
        <v>30</v>
      </c>
      <c r="Q9">
        <f>G34</f>
        <v>17603.468725420695</v>
      </c>
      <c r="S9" s="5"/>
      <c r="W9">
        <v>30</v>
      </c>
      <c r="X9">
        <v>17603.468725420695</v>
      </c>
    </row>
    <row r="10" spans="2:24" x14ac:dyDescent="0.25">
      <c r="B10" s="163"/>
      <c r="E10" s="10">
        <v>1.5208333333333333</v>
      </c>
      <c r="F10" s="5">
        <f>365/E10</f>
        <v>240</v>
      </c>
      <c r="I10" s="5">
        <f>SAF!D149</f>
        <v>1075.8207281164268</v>
      </c>
      <c r="P10">
        <v>50</v>
      </c>
      <c r="Q10">
        <f>G44</f>
        <v>27289.768307617476</v>
      </c>
      <c r="S10" s="5"/>
      <c r="W10">
        <v>50</v>
      </c>
      <c r="X10">
        <v>27289.768307617476</v>
      </c>
    </row>
    <row r="11" spans="2:24" x14ac:dyDescent="0.25">
      <c r="B11" s="163"/>
      <c r="E11" s="22">
        <v>1</v>
      </c>
      <c r="F11" s="5">
        <f t="shared" si="0"/>
        <v>365</v>
      </c>
      <c r="I11" s="5">
        <f>SAF!D150</f>
        <v>1039.4403170207024</v>
      </c>
      <c r="P11">
        <v>75</v>
      </c>
      <c r="Q11">
        <f>G53</f>
        <v>35779.116616618536</v>
      </c>
      <c r="S11" s="5"/>
      <c r="W11">
        <v>75</v>
      </c>
      <c r="X11">
        <v>35779.116616618536</v>
      </c>
    </row>
    <row r="12" spans="2:24" x14ac:dyDescent="0.25">
      <c r="B12" s="163"/>
      <c r="E12" s="10">
        <v>0.5</v>
      </c>
      <c r="F12" s="5">
        <f t="shared" si="0"/>
        <v>730</v>
      </c>
      <c r="I12" s="5">
        <f>SAF!D151</f>
        <v>1004.2901613726594</v>
      </c>
      <c r="P12">
        <v>100</v>
      </c>
      <c r="Q12">
        <f>G60</f>
        <v>39998.994026037602</v>
      </c>
      <c r="W12">
        <v>100</v>
      </c>
      <c r="X12">
        <v>39998.994026037602</v>
      </c>
    </row>
    <row r="13" spans="2:24" x14ac:dyDescent="0.25">
      <c r="B13" s="163"/>
      <c r="E13" s="21">
        <v>0.33333333333333331</v>
      </c>
      <c r="F13" s="5">
        <f t="shared" si="0"/>
        <v>1095</v>
      </c>
      <c r="I13" s="5">
        <f>SAF!D152</f>
        <v>970.32865833107212</v>
      </c>
      <c r="P13">
        <v>150</v>
      </c>
      <c r="R13">
        <f>G66</f>
        <v>11630.936750392539</v>
      </c>
      <c r="S13">
        <v>20772.710212175865</v>
      </c>
      <c r="T13">
        <f>1352.7*P13^0.7545</f>
        <v>59301.044786547631</v>
      </c>
      <c r="W13">
        <v>150</v>
      </c>
      <c r="X13">
        <f>S13+Pumping!I11</f>
        <v>85258.857035245921</v>
      </c>
    </row>
    <row r="14" spans="2:24" x14ac:dyDescent="0.25">
      <c r="B14" s="162">
        <v>10</v>
      </c>
      <c r="C14" t="s">
        <v>484</v>
      </c>
      <c r="G14">
        <f>SAF!$U$12</f>
        <v>6562.7667841985658</v>
      </c>
      <c r="H14" s="5">
        <f>SAF!$R$98</f>
        <v>2271.352554200776</v>
      </c>
      <c r="I14" s="5"/>
      <c r="P14">
        <v>200</v>
      </c>
      <c r="R14">
        <f>G72</f>
        <v>13073.402652089628</v>
      </c>
      <c r="S14">
        <v>24415.289314026631</v>
      </c>
      <c r="T14">
        <f t="shared" ref="T14:T20" si="1">1352.7*P14^0.7545</f>
        <v>73676.438116863195</v>
      </c>
      <c r="W14">
        <v>200</v>
      </c>
      <c r="X14">
        <f>S14+Pumping!I12</f>
        <v>111703.1355049132</v>
      </c>
    </row>
    <row r="15" spans="2:24" x14ac:dyDescent="0.25">
      <c r="B15" s="163"/>
      <c r="C15" t="s">
        <v>470</v>
      </c>
      <c r="G15" s="5">
        <f>SAF!$U$26</f>
        <v>7798.871939738181</v>
      </c>
      <c r="H15" s="5">
        <f>SAF!$R$98</f>
        <v>2271.352554200776</v>
      </c>
      <c r="I15" s="5"/>
      <c r="P15">
        <v>300</v>
      </c>
      <c r="R15">
        <f>G78</f>
        <v>17437.865013353563</v>
      </c>
      <c r="S15">
        <v>32159.506967642363</v>
      </c>
      <c r="T15">
        <f t="shared" si="1"/>
        <v>100043.6381439713</v>
      </c>
      <c r="W15">
        <v>300</v>
      </c>
      <c r="X15">
        <f>S15+Pumping!I13</f>
        <v>163091.27625397223</v>
      </c>
    </row>
    <row r="16" spans="2:24" x14ac:dyDescent="0.25">
      <c r="B16" s="163"/>
      <c r="E16">
        <v>7.3</v>
      </c>
      <c r="F16" s="5">
        <f>365/E16</f>
        <v>50</v>
      </c>
      <c r="I16" s="5">
        <f>SAF!S145</f>
        <v>1272.1201437589518</v>
      </c>
      <c r="P16">
        <v>400</v>
      </c>
      <c r="R16">
        <f>G84</f>
        <v>20107.579171208923</v>
      </c>
      <c r="S16">
        <v>37772.633259898823</v>
      </c>
      <c r="T16">
        <f t="shared" si="1"/>
        <v>124295.5995333866</v>
      </c>
      <c r="W16">
        <v>400</v>
      </c>
      <c r="X16">
        <f>S16+Pumping!I14</f>
        <v>212348.32564167195</v>
      </c>
    </row>
    <row r="17" spans="2:24" x14ac:dyDescent="0.25">
      <c r="B17" s="163"/>
      <c r="E17" s="10">
        <v>6</v>
      </c>
      <c r="F17" s="5">
        <f t="shared" ref="F17:F23" si="2">365/E17</f>
        <v>60.833333333333336</v>
      </c>
      <c r="I17" s="5">
        <f>SAF!S146</f>
        <v>1229.1015881729004</v>
      </c>
      <c r="P17">
        <v>500</v>
      </c>
      <c r="R17">
        <f>G90</f>
        <v>22699.080088317045</v>
      </c>
      <c r="S17">
        <v>43643.923095443286</v>
      </c>
      <c r="T17">
        <f t="shared" si="1"/>
        <v>147087.02308169013</v>
      </c>
      <c r="W17">
        <v>500</v>
      </c>
      <c r="X17">
        <f>S17+Pumping!I15</f>
        <v>261863.53857265972</v>
      </c>
    </row>
    <row r="18" spans="2:24" x14ac:dyDescent="0.25">
      <c r="B18" s="163"/>
      <c r="E18">
        <v>4</v>
      </c>
      <c r="F18" s="5">
        <f t="shared" si="2"/>
        <v>91.25</v>
      </c>
      <c r="I18" s="5">
        <f>SAF!S147</f>
        <v>1187.5377663506285</v>
      </c>
      <c r="P18">
        <v>600</v>
      </c>
      <c r="R18">
        <f>G96</f>
        <v>25630.884643744805</v>
      </c>
      <c r="S18">
        <v>50756.868630845289</v>
      </c>
      <c r="T18">
        <f t="shared" si="1"/>
        <v>168778.30009754444</v>
      </c>
      <c r="W18">
        <v>600</v>
      </c>
      <c r="X18">
        <f>S18+Pumping!I16</f>
        <v>312620.40720350499</v>
      </c>
    </row>
    <row r="19" spans="2:24" x14ac:dyDescent="0.25">
      <c r="B19" s="163"/>
      <c r="E19" s="10">
        <v>3</v>
      </c>
      <c r="F19" s="5">
        <f t="shared" si="2"/>
        <v>121.66666666666667</v>
      </c>
      <c r="I19" s="5">
        <f>SAF!S148</f>
        <v>1147.3794843967428</v>
      </c>
      <c r="P19">
        <v>800</v>
      </c>
      <c r="R19">
        <f>G102</f>
        <v>31071.524238061305</v>
      </c>
      <c r="S19">
        <v>64486.146823070063</v>
      </c>
      <c r="T19">
        <f t="shared" si="1"/>
        <v>209692.49407603955</v>
      </c>
      <c r="W19">
        <v>800</v>
      </c>
      <c r="X19">
        <f>S19+Pumping!I17</f>
        <v>413637.53158661636</v>
      </c>
    </row>
    <row r="20" spans="2:24" x14ac:dyDescent="0.25">
      <c r="B20" s="163"/>
      <c r="E20" s="10">
        <v>2</v>
      </c>
      <c r="F20" s="5">
        <f t="shared" si="2"/>
        <v>182.5</v>
      </c>
      <c r="I20" s="5">
        <f>SAF!S149</f>
        <v>1108.5792119775292</v>
      </c>
      <c r="P20">
        <v>1000</v>
      </c>
      <c r="R20">
        <f>G108</f>
        <v>35191.291249755901</v>
      </c>
      <c r="S20">
        <v>76109.205373648903</v>
      </c>
      <c r="T20">
        <f t="shared" si="1"/>
        <v>248142.69235601506</v>
      </c>
      <c r="W20">
        <v>1000</v>
      </c>
      <c r="X20">
        <f>S20+Pumping!I18</f>
        <v>512548.43632808176</v>
      </c>
    </row>
    <row r="21" spans="2:24" x14ac:dyDescent="0.25">
      <c r="B21" s="163"/>
      <c r="E21" s="22">
        <v>1.5208333333333333</v>
      </c>
      <c r="F21" s="5">
        <f t="shared" si="2"/>
        <v>240</v>
      </c>
      <c r="I21" s="5">
        <f>SAF!S150</f>
        <v>1071.0910260652456</v>
      </c>
    </row>
    <row r="22" spans="2:24" x14ac:dyDescent="0.25">
      <c r="B22" s="163"/>
      <c r="E22" s="10">
        <v>1</v>
      </c>
      <c r="F22" s="5">
        <f t="shared" si="2"/>
        <v>365</v>
      </c>
      <c r="I22" s="5">
        <f>SAF!S151</f>
        <v>1034.8705565847786</v>
      </c>
    </row>
    <row r="23" spans="2:24" x14ac:dyDescent="0.25">
      <c r="B23" s="163"/>
      <c r="E23" s="21">
        <v>0.5</v>
      </c>
      <c r="F23" s="5">
        <f t="shared" si="2"/>
        <v>730</v>
      </c>
      <c r="I23" s="5">
        <f>SAF!S152</f>
        <v>999.87493389833696</v>
      </c>
    </row>
    <row r="24" spans="2:24" x14ac:dyDescent="0.25">
      <c r="B24" s="162">
        <v>20</v>
      </c>
      <c r="C24" t="s">
        <v>484</v>
      </c>
      <c r="G24">
        <f>SAF!$AI$12</f>
        <v>10916.281338658684</v>
      </c>
      <c r="H24" s="5">
        <f>SAF!$AF$98</f>
        <v>2803.9079787186051</v>
      </c>
      <c r="I24" s="5"/>
      <c r="Q24" t="s">
        <v>128</v>
      </c>
      <c r="S24">
        <v>949</v>
      </c>
      <c r="T24">
        <v>0.83579999999999999</v>
      </c>
    </row>
    <row r="25" spans="2:24" x14ac:dyDescent="0.25">
      <c r="B25" s="163"/>
      <c r="C25" t="s">
        <v>470</v>
      </c>
      <c r="G25" s="5">
        <f>SAF!$AI$26</f>
        <v>13798.986695028789</v>
      </c>
      <c r="H25" s="5">
        <f>SAF!$AF$98</f>
        <v>2803.9079787186051</v>
      </c>
      <c r="I25" s="5"/>
      <c r="P25">
        <v>5</v>
      </c>
      <c r="Q25">
        <v>3542.3426391858593</v>
      </c>
    </row>
    <row r="26" spans="2:24" x14ac:dyDescent="0.25">
      <c r="B26" s="163"/>
      <c r="E26">
        <v>9.125</v>
      </c>
      <c r="F26" s="5">
        <f>365/E26</f>
        <v>40</v>
      </c>
      <c r="I26" s="5">
        <f>SAF!AG145</f>
        <v>1361.8841235304933</v>
      </c>
      <c r="P26">
        <v>10</v>
      </c>
      <c r="Q26">
        <v>6562.7667841985658</v>
      </c>
    </row>
    <row r="27" spans="2:24" x14ac:dyDescent="0.25">
      <c r="B27" s="163"/>
      <c r="E27" s="10">
        <v>7.3</v>
      </c>
      <c r="F27" s="5">
        <f t="shared" ref="F27:F33" si="3">365/E27</f>
        <v>50</v>
      </c>
      <c r="I27" s="5">
        <f>SAF!AG146</f>
        <v>1315.8300710439551</v>
      </c>
      <c r="P27">
        <v>20</v>
      </c>
      <c r="Q27">
        <v>10916.281338658684</v>
      </c>
    </row>
    <row r="28" spans="2:24" x14ac:dyDescent="0.25">
      <c r="B28" s="163"/>
      <c r="E28">
        <v>6</v>
      </c>
      <c r="F28" s="5">
        <f t="shared" si="3"/>
        <v>60.833333333333336</v>
      </c>
      <c r="I28" s="5">
        <f>SAF!AG147</f>
        <v>1271.3334019748359</v>
      </c>
      <c r="P28">
        <v>30</v>
      </c>
      <c r="Q28">
        <v>17603.468725420695</v>
      </c>
    </row>
    <row r="29" spans="2:24" x14ac:dyDescent="0.25">
      <c r="B29" s="163"/>
      <c r="E29" s="10">
        <v>4</v>
      </c>
      <c r="F29" s="5">
        <f t="shared" si="3"/>
        <v>91.25</v>
      </c>
      <c r="I29" s="5">
        <f>SAF!AG148</f>
        <v>1228.3414511834164</v>
      </c>
      <c r="P29">
        <v>50</v>
      </c>
      <c r="Q29">
        <v>27289.768307617476</v>
      </c>
    </row>
    <row r="30" spans="2:24" x14ac:dyDescent="0.25">
      <c r="B30" s="163"/>
      <c r="E30" s="10">
        <v>3</v>
      </c>
      <c r="F30" s="5">
        <f t="shared" si="3"/>
        <v>121.66666666666667</v>
      </c>
      <c r="I30" s="5">
        <f>SAF!AG149</f>
        <v>1186.8033344767307</v>
      </c>
      <c r="P30">
        <v>75</v>
      </c>
      <c r="Q30">
        <v>35779.116616618536</v>
      </c>
    </row>
    <row r="31" spans="2:24" x14ac:dyDescent="0.25">
      <c r="B31" s="163"/>
      <c r="E31" s="22">
        <v>2</v>
      </c>
      <c r="F31" s="5">
        <f t="shared" si="3"/>
        <v>182.5</v>
      </c>
      <c r="I31" s="5">
        <f>SAF!AG150</f>
        <v>1146.6698883833149</v>
      </c>
      <c r="P31">
        <v>100</v>
      </c>
      <c r="Q31">
        <v>39998.994026037602</v>
      </c>
    </row>
    <row r="32" spans="2:24" x14ac:dyDescent="0.25">
      <c r="B32" s="163"/>
      <c r="E32" s="10">
        <v>1.5208333333333333</v>
      </c>
      <c r="F32" s="5">
        <f t="shared" si="3"/>
        <v>240</v>
      </c>
      <c r="I32" s="5">
        <f>SAF!AG151</f>
        <v>1107.8936119645557</v>
      </c>
      <c r="P32">
        <v>150</v>
      </c>
      <c r="R32">
        <f>$S$24*P32^$T$24</f>
        <v>62523.50077287617</v>
      </c>
    </row>
    <row r="33" spans="2:18" x14ac:dyDescent="0.25">
      <c r="B33" s="163"/>
      <c r="E33" s="21">
        <v>1</v>
      </c>
      <c r="F33" s="5">
        <f t="shared" si="3"/>
        <v>365</v>
      </c>
      <c r="I33" s="5">
        <f>SAF!AG152</f>
        <v>1070.4286105937738</v>
      </c>
      <c r="P33">
        <v>200</v>
      </c>
      <c r="R33">
        <f t="shared" ref="R33:R39" si="4">$S$24*P33^$T$24</f>
        <v>79518.299263537847</v>
      </c>
    </row>
    <row r="34" spans="2:18" x14ac:dyDescent="0.25">
      <c r="B34" s="162">
        <v>30</v>
      </c>
      <c r="C34" t="s">
        <v>531</v>
      </c>
      <c r="G34">
        <f>SAF!AW11</f>
        <v>17603.468725420695</v>
      </c>
      <c r="H34" s="5">
        <f>SAF!AT98</f>
        <v>1963.0490162543474</v>
      </c>
      <c r="I34" s="5"/>
      <c r="P34">
        <v>300</v>
      </c>
      <c r="R34">
        <f t="shared" si="4"/>
        <v>111594.85111778323</v>
      </c>
    </row>
    <row r="35" spans="2:18" x14ac:dyDescent="0.25">
      <c r="B35" s="163"/>
      <c r="E35">
        <v>12.167</v>
      </c>
      <c r="F35" s="5">
        <f>365/E35</f>
        <v>29.999178104709461</v>
      </c>
      <c r="I35" s="5">
        <f>SAF!AU145</f>
        <v>2224.6906876123699</v>
      </c>
      <c r="P35">
        <v>400</v>
      </c>
      <c r="R35">
        <f t="shared" si="4"/>
        <v>141927.95761211545</v>
      </c>
    </row>
    <row r="36" spans="2:18" x14ac:dyDescent="0.25">
      <c r="B36" s="163"/>
      <c r="E36" s="10">
        <v>9.125</v>
      </c>
      <c r="F36" s="5">
        <f t="shared" ref="F36:F42" si="5">365/E36</f>
        <v>40</v>
      </c>
      <c r="I36" s="5">
        <f>SAF!AU146</f>
        <v>1793.903294632963</v>
      </c>
      <c r="P36">
        <v>500</v>
      </c>
      <c r="R36">
        <f t="shared" si="4"/>
        <v>171027.26158832569</v>
      </c>
    </row>
    <row r="37" spans="2:18" x14ac:dyDescent="0.25">
      <c r="B37" s="163"/>
      <c r="E37">
        <v>7.3</v>
      </c>
      <c r="F37" s="5">
        <f t="shared" si="5"/>
        <v>50</v>
      </c>
      <c r="I37" s="5">
        <f>SAF!AU147</f>
        <v>2076.7725618916384</v>
      </c>
      <c r="P37">
        <v>600</v>
      </c>
      <c r="R37">
        <f t="shared" si="4"/>
        <v>199179.67871374727</v>
      </c>
    </row>
    <row r="38" spans="2:18" x14ac:dyDescent="0.25">
      <c r="B38" s="163"/>
      <c r="E38" s="10">
        <v>6</v>
      </c>
      <c r="F38" s="5">
        <f t="shared" si="5"/>
        <v>60.833333333333336</v>
      </c>
      <c r="I38" s="5">
        <f>SAF!AU148</f>
        <v>1674.6279209624154</v>
      </c>
      <c r="P38">
        <v>800</v>
      </c>
      <c r="R38">
        <f t="shared" si="4"/>
        <v>253319.6174780743</v>
      </c>
    </row>
    <row r="39" spans="2:18" x14ac:dyDescent="0.25">
      <c r="B39" s="163"/>
      <c r="E39" s="10">
        <v>4</v>
      </c>
      <c r="F39" s="5">
        <f t="shared" si="5"/>
        <v>91.25</v>
      </c>
      <c r="I39" s="5">
        <f>SAF!AU149</f>
        <v>1938.6894087531925</v>
      </c>
      <c r="P39">
        <v>1000</v>
      </c>
      <c r="R39">
        <f t="shared" si="4"/>
        <v>305257.40814422088</v>
      </c>
    </row>
    <row r="40" spans="2:18" x14ac:dyDescent="0.25">
      <c r="B40" s="163"/>
      <c r="E40" s="22">
        <v>3</v>
      </c>
      <c r="F40" s="5">
        <f t="shared" si="5"/>
        <v>121.66666666666667</v>
      </c>
      <c r="I40" s="5">
        <f>SAF!AU150</f>
        <v>1563.2830833507576</v>
      </c>
    </row>
    <row r="41" spans="2:18" x14ac:dyDescent="0.25">
      <c r="B41" s="163"/>
      <c r="E41" s="10">
        <v>2</v>
      </c>
      <c r="F41" s="5">
        <f t="shared" si="5"/>
        <v>182.5</v>
      </c>
      <c r="I41" s="5">
        <f>SAF!AU151</f>
        <v>1809.787307758121</v>
      </c>
    </row>
    <row r="42" spans="2:18" x14ac:dyDescent="0.25">
      <c r="B42" s="163"/>
      <c r="E42" s="21">
        <v>1.5208333333333333</v>
      </c>
      <c r="F42" s="5">
        <f t="shared" si="5"/>
        <v>240</v>
      </c>
      <c r="I42" s="5">
        <f>SAF!AU152</f>
        <v>1459.3414860097162</v>
      </c>
      <c r="P42">
        <v>5</v>
      </c>
      <c r="Q42">
        <v>3542.3426391858593</v>
      </c>
      <c r="R42">
        <v>4310.856782680853</v>
      </c>
    </row>
    <row r="43" spans="2:18" x14ac:dyDescent="0.25">
      <c r="B43" s="163"/>
      <c r="I43" s="5"/>
      <c r="P43">
        <v>10</v>
      </c>
      <c r="Q43">
        <v>6562.7667841985658</v>
      </c>
      <c r="R43">
        <v>7798.871939738181</v>
      </c>
    </row>
    <row r="44" spans="2:18" x14ac:dyDescent="0.25">
      <c r="B44" s="162">
        <v>50</v>
      </c>
      <c r="C44" t="s">
        <v>531</v>
      </c>
      <c r="G44">
        <f>SAF!BJ11</f>
        <v>27289.768307617476</v>
      </c>
      <c r="H44" s="5">
        <f>SAF!BG98</f>
        <v>2423.0624318436053</v>
      </c>
      <c r="I44" s="5"/>
      <c r="P44">
        <v>20</v>
      </c>
      <c r="Q44">
        <v>10916.281338658684</v>
      </c>
      <c r="R44">
        <v>13798.986695028789</v>
      </c>
    </row>
    <row r="45" spans="2:18" x14ac:dyDescent="0.25">
      <c r="B45" s="163"/>
      <c r="E45">
        <v>12.167</v>
      </c>
      <c r="F45" s="5">
        <f>365/E45</f>
        <v>29.999178104709461</v>
      </c>
      <c r="I45" s="5">
        <f>SAF!BH145</f>
        <v>2567.3942789232829</v>
      </c>
      <c r="P45">
        <v>30</v>
      </c>
      <c r="Q45">
        <v>17603.468725420695</v>
      </c>
      <c r="R45">
        <v>17603.468725420695</v>
      </c>
    </row>
    <row r="46" spans="2:18" x14ac:dyDescent="0.25">
      <c r="B46" s="163"/>
      <c r="E46" s="10">
        <v>9.125</v>
      </c>
      <c r="F46" s="5">
        <f t="shared" ref="F46:F52" si="6">365/E46</f>
        <v>40</v>
      </c>
      <c r="I46" s="5">
        <f>SAF!BH146</f>
        <v>2015.7705333611761</v>
      </c>
      <c r="P46">
        <v>50</v>
      </c>
      <c r="Q46">
        <v>27289.768307617476</v>
      </c>
      <c r="R46">
        <v>27289.768307617476</v>
      </c>
    </row>
    <row r="47" spans="2:18" x14ac:dyDescent="0.25">
      <c r="B47" s="163"/>
      <c r="E47">
        <v>7.3</v>
      </c>
      <c r="F47" s="5">
        <f t="shared" si="6"/>
        <v>50</v>
      </c>
      <c r="I47" s="5">
        <f>SAF!BH147</f>
        <v>2396.6900314343702</v>
      </c>
      <c r="P47">
        <v>75</v>
      </c>
      <c r="Q47">
        <v>35779.116616618536</v>
      </c>
      <c r="R47">
        <v>35779.116616618536</v>
      </c>
    </row>
    <row r="48" spans="2:18" x14ac:dyDescent="0.25">
      <c r="B48" s="163"/>
      <c r="E48" s="10">
        <v>6</v>
      </c>
      <c r="F48" s="5">
        <f t="shared" si="6"/>
        <v>60.833333333333336</v>
      </c>
      <c r="I48" s="5">
        <f>SAF!BH148</f>
        <v>1881.7433623759496</v>
      </c>
      <c r="P48">
        <v>100</v>
      </c>
      <c r="Q48">
        <v>39998.994026037602</v>
      </c>
      <c r="R48">
        <v>39998.994026037602</v>
      </c>
    </row>
    <row r="49" spans="2:18" x14ac:dyDescent="0.25">
      <c r="B49" s="163"/>
      <c r="E49" s="10">
        <v>4</v>
      </c>
      <c r="F49" s="5">
        <f t="shared" si="6"/>
        <v>91.25</v>
      </c>
      <c r="I49" s="5">
        <f>SAF!BH149</f>
        <v>2237.3357898054751</v>
      </c>
      <c r="P49">
        <v>150</v>
      </c>
      <c r="Q49">
        <v>62523.50077287617</v>
      </c>
      <c r="R49">
        <v>59301.044786547631</v>
      </c>
    </row>
    <row r="50" spans="2:18" x14ac:dyDescent="0.25">
      <c r="B50" s="163"/>
      <c r="E50" s="22">
        <v>3</v>
      </c>
      <c r="F50" s="5">
        <f t="shared" si="6"/>
        <v>121.66666666666667</v>
      </c>
      <c r="I50" s="5">
        <f>SAF!BH150</f>
        <v>1756.6275641214027</v>
      </c>
      <c r="P50">
        <v>200</v>
      </c>
      <c r="Q50">
        <v>79518.299263537847</v>
      </c>
      <c r="R50">
        <v>73676.438116863195</v>
      </c>
    </row>
    <row r="51" spans="2:18" x14ac:dyDescent="0.25">
      <c r="B51" s="163"/>
      <c r="E51" s="10">
        <v>2</v>
      </c>
      <c r="F51" s="5">
        <f t="shared" si="6"/>
        <v>182.5</v>
      </c>
      <c r="I51" s="5">
        <f>SAF!BH151</f>
        <v>2088.5769000961291</v>
      </c>
      <c r="P51">
        <v>300</v>
      </c>
      <c r="Q51">
        <v>111594.85111778323</v>
      </c>
      <c r="R51">
        <v>100043.6381439713</v>
      </c>
    </row>
    <row r="52" spans="2:18" x14ac:dyDescent="0.25">
      <c r="B52" s="163"/>
      <c r="E52" s="21">
        <v>1.5208333333333333</v>
      </c>
      <c r="F52" s="5">
        <f t="shared" si="6"/>
        <v>240</v>
      </c>
      <c r="I52" s="5">
        <f>SAF!BH152</f>
        <v>1639.8306276658996</v>
      </c>
      <c r="P52">
        <v>400</v>
      </c>
      <c r="Q52">
        <v>141927.95761211545</v>
      </c>
      <c r="R52">
        <v>124295.5995333866</v>
      </c>
    </row>
    <row r="53" spans="2:18" x14ac:dyDescent="0.25">
      <c r="B53" s="162">
        <v>75</v>
      </c>
      <c r="C53" t="s">
        <v>531</v>
      </c>
      <c r="G53">
        <f>SAF!BW11</f>
        <v>35779.116616618536</v>
      </c>
      <c r="H53" s="5">
        <f>SAF!BT98</f>
        <v>2653.0691396382344</v>
      </c>
      <c r="I53" s="5"/>
      <c r="P53">
        <v>500</v>
      </c>
      <c r="Q53">
        <v>171027.26158832569</v>
      </c>
      <c r="R53">
        <v>147087.02308169013</v>
      </c>
    </row>
    <row r="54" spans="2:18" x14ac:dyDescent="0.25">
      <c r="B54" s="163"/>
      <c r="E54">
        <v>18.25</v>
      </c>
      <c r="F54" s="5">
        <f>365/E54</f>
        <v>20</v>
      </c>
      <c r="I54" s="5">
        <f>SAF!BU145</f>
        <v>2768.8760255154225</v>
      </c>
      <c r="P54">
        <v>600</v>
      </c>
      <c r="Q54">
        <v>199179.67871374727</v>
      </c>
      <c r="R54">
        <v>168778.30009754444</v>
      </c>
    </row>
    <row r="55" spans="2:18" x14ac:dyDescent="0.25">
      <c r="B55" s="163"/>
      <c r="E55" s="10">
        <v>12.167</v>
      </c>
      <c r="F55" s="5">
        <f t="shared" ref="F55:F58" si="7">365/E55</f>
        <v>29.999178104709461</v>
      </c>
      <c r="I55" s="5">
        <f>SAF!BU146</f>
        <v>2675.2425367298774</v>
      </c>
      <c r="P55">
        <v>800</v>
      </c>
      <c r="Q55">
        <v>253319.6174780743</v>
      </c>
      <c r="R55">
        <v>209692.49407603955</v>
      </c>
    </row>
    <row r="56" spans="2:18" x14ac:dyDescent="0.25">
      <c r="B56" s="163"/>
      <c r="E56">
        <v>9.125</v>
      </c>
      <c r="F56" s="5">
        <f t="shared" si="7"/>
        <v>40</v>
      </c>
      <c r="I56" s="5">
        <f>SAF!BU147</f>
        <v>2584.7753978066448</v>
      </c>
      <c r="P56">
        <v>1000</v>
      </c>
      <c r="Q56">
        <v>305257.40814422088</v>
      </c>
      <c r="R56">
        <v>248142.69235601506</v>
      </c>
    </row>
    <row r="57" spans="2:18" x14ac:dyDescent="0.25">
      <c r="B57" s="163"/>
      <c r="E57" s="10">
        <v>7.3</v>
      </c>
      <c r="F57" s="5">
        <f t="shared" si="7"/>
        <v>50</v>
      </c>
      <c r="I57" s="5">
        <f>SAF!BU148</f>
        <v>2497.3675341127009</v>
      </c>
    </row>
    <row r="58" spans="2:18" x14ac:dyDescent="0.25">
      <c r="B58" s="163"/>
      <c r="E58" s="10">
        <v>6</v>
      </c>
      <c r="F58" s="5">
        <f t="shared" si="7"/>
        <v>60.833333333333336</v>
      </c>
      <c r="I58" s="5">
        <f>SAF!BU149</f>
        <v>2412.9154918963291</v>
      </c>
    </row>
    <row r="59" spans="2:18" x14ac:dyDescent="0.25">
      <c r="B59" s="163"/>
      <c r="E59" s="22">
        <v>4.0555555555555554</v>
      </c>
      <c r="F59" s="5">
        <f>365/E59</f>
        <v>90</v>
      </c>
      <c r="I59" s="5">
        <f>SAF!BU150</f>
        <v>2331.319315841864</v>
      </c>
    </row>
    <row r="60" spans="2:18" x14ac:dyDescent="0.25">
      <c r="B60" s="162">
        <v>100</v>
      </c>
      <c r="C60" t="s">
        <v>531</v>
      </c>
      <c r="G60">
        <f>SAF!CJ11</f>
        <v>39998.994026037602</v>
      </c>
      <c r="H60" s="5">
        <f>H53</f>
        <v>2653.0691396382344</v>
      </c>
      <c r="I60" s="5"/>
      <c r="L60" s="5">
        <f>G60+I65</f>
        <v>43694.249523346989</v>
      </c>
    </row>
    <row r="61" spans="2:18" x14ac:dyDescent="0.25">
      <c r="B61" s="163"/>
      <c r="E61">
        <v>18.25</v>
      </c>
      <c r="F61" s="5">
        <f>365/E61</f>
        <v>20</v>
      </c>
      <c r="I61" s="5">
        <f>SAF!CG145</f>
        <v>3695.2554973093866</v>
      </c>
    </row>
    <row r="62" spans="2:18" x14ac:dyDescent="0.25">
      <c r="B62" s="163"/>
      <c r="E62" s="10">
        <v>12.167</v>
      </c>
      <c r="F62" s="5">
        <f t="shared" ref="F62:F64" si="8">365/E62</f>
        <v>29.999178104709461</v>
      </c>
      <c r="I62" s="5">
        <f>SAF!CG146</f>
        <v>3695.2554973093866</v>
      </c>
    </row>
    <row r="63" spans="2:18" x14ac:dyDescent="0.25">
      <c r="B63" s="163"/>
      <c r="E63">
        <v>9.125</v>
      </c>
      <c r="F63" s="5">
        <f t="shared" si="8"/>
        <v>40</v>
      </c>
      <c r="I63" s="5">
        <f>SAF!CG147</f>
        <v>3695.2554973093866</v>
      </c>
    </row>
    <row r="64" spans="2:18" x14ac:dyDescent="0.25">
      <c r="B64" s="163"/>
      <c r="E64" s="10">
        <v>7.3</v>
      </c>
      <c r="F64" s="5">
        <f t="shared" si="8"/>
        <v>50</v>
      </c>
      <c r="I64" s="5">
        <f>SAF!CG148</f>
        <v>3695.2554973093866</v>
      </c>
    </row>
    <row r="65" spans="2:9" x14ac:dyDescent="0.25">
      <c r="B65" s="163"/>
      <c r="E65" s="10">
        <v>6</v>
      </c>
      <c r="F65" s="5">
        <v>60</v>
      </c>
      <c r="I65" s="5">
        <f>SAF!CG149</f>
        <v>3695.2554973093866</v>
      </c>
    </row>
    <row r="66" spans="2:9" x14ac:dyDescent="0.25">
      <c r="B66" s="162">
        <v>150</v>
      </c>
      <c r="C66" t="s">
        <v>531</v>
      </c>
      <c r="G66">
        <f>SAF!$CW$23</f>
        <v>11630.936750392539</v>
      </c>
      <c r="H66">
        <f>G66+Pumping!$K$11</f>
        <v>76671.48357346261</v>
      </c>
    </row>
    <row r="67" spans="2:9" x14ac:dyDescent="0.25">
      <c r="B67" s="163"/>
    </row>
    <row r="68" spans="2:9" x14ac:dyDescent="0.25">
      <c r="B68" s="163"/>
    </row>
    <row r="69" spans="2:9" x14ac:dyDescent="0.25">
      <c r="B69" s="163"/>
    </row>
    <row r="70" spans="2:9" x14ac:dyDescent="0.25">
      <c r="B70" s="163"/>
    </row>
    <row r="71" spans="2:9" x14ac:dyDescent="0.25">
      <c r="B71" s="163"/>
      <c r="G71" t="s">
        <v>181</v>
      </c>
      <c r="H71" t="s">
        <v>1590</v>
      </c>
    </row>
    <row r="72" spans="2:9" x14ac:dyDescent="0.25">
      <c r="B72" s="162">
        <v>200</v>
      </c>
      <c r="C72" t="s">
        <v>531</v>
      </c>
      <c r="G72">
        <f>SAF!$DK$23</f>
        <v>13073.402652089628</v>
      </c>
      <c r="H72">
        <f>G72+Pumping!$K$12</f>
        <v>100915.6488429762</v>
      </c>
    </row>
    <row r="73" spans="2:9" x14ac:dyDescent="0.25">
      <c r="B73" s="163"/>
    </row>
    <row r="74" spans="2:9" x14ac:dyDescent="0.25">
      <c r="B74" s="163"/>
    </row>
    <row r="75" spans="2:9" x14ac:dyDescent="0.25">
      <c r="B75" s="163"/>
    </row>
    <row r="76" spans="2:9" x14ac:dyDescent="0.25">
      <c r="B76" s="163"/>
    </row>
    <row r="77" spans="2:9" x14ac:dyDescent="0.25">
      <c r="B77" s="163"/>
    </row>
    <row r="78" spans="2:9" x14ac:dyDescent="0.25">
      <c r="B78" s="162">
        <v>300</v>
      </c>
      <c r="C78" t="s">
        <v>531</v>
      </c>
      <c r="G78">
        <f>SAF!$DY$23</f>
        <v>17437.865013353563</v>
      </c>
      <c r="H78">
        <f>G78+Pumping!$K$13</f>
        <v>148924.03429968341</v>
      </c>
    </row>
    <row r="79" spans="2:9" x14ac:dyDescent="0.25">
      <c r="B79" s="163"/>
    </row>
    <row r="80" spans="2:9" x14ac:dyDescent="0.25">
      <c r="B80" s="163"/>
    </row>
    <row r="81" spans="2:8" x14ac:dyDescent="0.25">
      <c r="B81" s="163"/>
    </row>
    <row r="82" spans="2:8" x14ac:dyDescent="0.25">
      <c r="B82" s="163"/>
    </row>
    <row r="83" spans="2:8" x14ac:dyDescent="0.25">
      <c r="B83" s="163"/>
    </row>
    <row r="84" spans="2:8" x14ac:dyDescent="0.25">
      <c r="B84" s="162">
        <v>400</v>
      </c>
      <c r="C84" t="s">
        <v>531</v>
      </c>
      <c r="G84">
        <f>SAF!$EM$23</f>
        <v>20107.579171208923</v>
      </c>
      <c r="H84">
        <f>G84+Pumping!$K$14</f>
        <v>195237.67155298206</v>
      </c>
    </row>
    <row r="85" spans="2:8" x14ac:dyDescent="0.25">
      <c r="B85" s="163"/>
    </row>
    <row r="86" spans="2:8" x14ac:dyDescent="0.25">
      <c r="B86" s="163"/>
    </row>
    <row r="87" spans="2:8" x14ac:dyDescent="0.25">
      <c r="B87" s="163"/>
    </row>
    <row r="88" spans="2:8" x14ac:dyDescent="0.25">
      <c r="B88" s="163"/>
    </row>
    <row r="89" spans="2:8" x14ac:dyDescent="0.25">
      <c r="B89" s="163"/>
    </row>
    <row r="90" spans="2:8" x14ac:dyDescent="0.25">
      <c r="B90" s="162">
        <v>500</v>
      </c>
      <c r="C90" t="s">
        <v>531</v>
      </c>
      <c r="G90">
        <f>SAF!$FA$23</f>
        <v>22699.080088317045</v>
      </c>
      <c r="H90">
        <f>G90+Pumping!$K$15</f>
        <v>241519.89556553349</v>
      </c>
    </row>
    <row r="91" spans="2:8" x14ac:dyDescent="0.25">
      <c r="B91" s="163"/>
    </row>
    <row r="92" spans="2:8" x14ac:dyDescent="0.25">
      <c r="B92" s="163"/>
    </row>
    <row r="93" spans="2:8" x14ac:dyDescent="0.25">
      <c r="B93" s="163"/>
    </row>
    <row r="94" spans="2:8" x14ac:dyDescent="0.25">
      <c r="B94" s="163"/>
    </row>
    <row r="95" spans="2:8" x14ac:dyDescent="0.25">
      <c r="B95" s="163"/>
    </row>
    <row r="96" spans="2:8" x14ac:dyDescent="0.25">
      <c r="B96" s="162">
        <v>600</v>
      </c>
      <c r="C96" t="s">
        <v>531</v>
      </c>
      <c r="G96">
        <f>SAF!$FO$23</f>
        <v>25630.884643744805</v>
      </c>
      <c r="H96">
        <f>G96+Pumping!$K$16</f>
        <v>288152.00321640453</v>
      </c>
    </row>
    <row r="97" spans="2:8" x14ac:dyDescent="0.25">
      <c r="B97" s="163"/>
    </row>
    <row r="98" spans="2:8" x14ac:dyDescent="0.25">
      <c r="B98" s="163"/>
    </row>
    <row r="99" spans="2:8" x14ac:dyDescent="0.25">
      <c r="B99" s="163"/>
    </row>
    <row r="100" spans="2:8" x14ac:dyDescent="0.25">
      <c r="B100" s="163"/>
    </row>
    <row r="101" spans="2:8" x14ac:dyDescent="0.25">
      <c r="B101" s="163"/>
    </row>
    <row r="102" spans="2:8" x14ac:dyDescent="0.25">
      <c r="B102" s="162">
        <v>800</v>
      </c>
      <c r="C102" t="s">
        <v>531</v>
      </c>
      <c r="G102">
        <f>SAF!$GC$23</f>
        <v>31071.524238061305</v>
      </c>
      <c r="H102">
        <f>G102+Pumping!$K$17</f>
        <v>380970.48900160764</v>
      </c>
    </row>
    <row r="103" spans="2:8" x14ac:dyDescent="0.25">
      <c r="B103" s="163"/>
    </row>
    <row r="104" spans="2:8" x14ac:dyDescent="0.25">
      <c r="B104" s="163"/>
    </row>
    <row r="105" spans="2:8" x14ac:dyDescent="0.25">
      <c r="B105" s="163"/>
    </row>
    <row r="106" spans="2:8" x14ac:dyDescent="0.25">
      <c r="B106" s="163"/>
    </row>
    <row r="107" spans="2:8" x14ac:dyDescent="0.25">
      <c r="B107" s="163"/>
    </row>
    <row r="108" spans="2:8" x14ac:dyDescent="0.25">
      <c r="B108" s="162">
        <v>1000</v>
      </c>
      <c r="C108" t="s">
        <v>531</v>
      </c>
      <c r="G108">
        <f>SAF!$GQ$23</f>
        <v>35191.291249755901</v>
      </c>
      <c r="H108">
        <f>G108+Pumping!$K$18</f>
        <v>472420.24220418872</v>
      </c>
    </row>
    <row r="109" spans="2:8" x14ac:dyDescent="0.25">
      <c r="B109" s="163"/>
    </row>
    <row r="110" spans="2:8" x14ac:dyDescent="0.25">
      <c r="B110" s="163"/>
    </row>
    <row r="111" spans="2:8" x14ac:dyDescent="0.25">
      <c r="B111" s="163"/>
    </row>
    <row r="112" spans="2:8" x14ac:dyDescent="0.25">
      <c r="B112" s="163"/>
    </row>
    <row r="113" spans="2:2" x14ac:dyDescent="0.25">
      <c r="B113" s="163"/>
    </row>
  </sheetData>
  <mergeCells count="15">
    <mergeCell ref="B96:B101"/>
    <mergeCell ref="B102:B107"/>
    <mergeCell ref="B108:B113"/>
    <mergeCell ref="B66:B71"/>
    <mergeCell ref="B72:B77"/>
    <mergeCell ref="B78:B83"/>
    <mergeCell ref="B84:B89"/>
    <mergeCell ref="B90:B95"/>
    <mergeCell ref="B60:B65"/>
    <mergeCell ref="B4:B13"/>
    <mergeCell ref="B14:B23"/>
    <mergeCell ref="B24:B33"/>
    <mergeCell ref="B34:B43"/>
    <mergeCell ref="B44:B52"/>
    <mergeCell ref="B53:B59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471D4-ADE5-45CE-B61E-BEFD494A4A5E}">
  <sheetPr>
    <tabColor theme="9"/>
  </sheetPr>
  <dimension ref="B2:F112"/>
  <sheetViews>
    <sheetView zoomScale="80" zoomScaleNormal="80" workbookViewId="0">
      <selection activeCell="H14" sqref="H14"/>
    </sheetView>
  </sheetViews>
  <sheetFormatPr defaultRowHeight="15" x14ac:dyDescent="0.25"/>
  <sheetData>
    <row r="2" spans="2:6" x14ac:dyDescent="0.25">
      <c r="B2" s="40" t="s">
        <v>156</v>
      </c>
      <c r="C2" s="39" t="s">
        <v>138</v>
      </c>
      <c r="D2" t="s">
        <v>1458</v>
      </c>
      <c r="F2" t="s">
        <v>1492</v>
      </c>
    </row>
    <row r="3" spans="2:6" x14ac:dyDescent="0.25">
      <c r="B3" s="162">
        <v>5</v>
      </c>
      <c r="C3" t="s">
        <v>14</v>
      </c>
      <c r="D3">
        <f>'ABR-Exca'!E32</f>
        <v>887.26740781634828</v>
      </c>
      <c r="F3">
        <f>'ABR-Exca'!$H$56</f>
        <v>30.24285714285714</v>
      </c>
    </row>
    <row r="4" spans="2:6" x14ac:dyDescent="0.25">
      <c r="B4" s="163"/>
      <c r="C4" t="s">
        <v>181</v>
      </c>
      <c r="D4">
        <f>'ABR-T'!AM7</f>
        <v>4299.4532189587453</v>
      </c>
    </row>
    <row r="5" spans="2:6" x14ac:dyDescent="0.25">
      <c r="B5" s="163"/>
    </row>
    <row r="6" spans="2:6" x14ac:dyDescent="0.25">
      <c r="B6" s="163"/>
    </row>
    <row r="7" spans="2:6" x14ac:dyDescent="0.25">
      <c r="B7" s="163"/>
    </row>
    <row r="8" spans="2:6" x14ac:dyDescent="0.25">
      <c r="B8" s="163"/>
    </row>
    <row r="9" spans="2:6" x14ac:dyDescent="0.25">
      <c r="B9" s="163"/>
    </row>
    <row r="10" spans="2:6" x14ac:dyDescent="0.25">
      <c r="B10" s="163"/>
    </row>
    <row r="11" spans="2:6" x14ac:dyDescent="0.25">
      <c r="B11" s="163"/>
    </row>
    <row r="12" spans="2:6" x14ac:dyDescent="0.25">
      <c r="B12" s="163"/>
    </row>
    <row r="13" spans="2:6" x14ac:dyDescent="0.25">
      <c r="B13" s="162">
        <v>10</v>
      </c>
      <c r="C13" t="s">
        <v>14</v>
      </c>
      <c r="D13">
        <f>'ABR-Exca'!E33</f>
        <v>1120.2967700715831</v>
      </c>
    </row>
    <row r="14" spans="2:6" x14ac:dyDescent="0.25">
      <c r="B14" s="163"/>
      <c r="C14" t="s">
        <v>181</v>
      </c>
      <c r="D14">
        <f>'ABR-T'!AM8</f>
        <v>6568.2390364743496</v>
      </c>
    </row>
    <row r="15" spans="2:6" x14ac:dyDescent="0.25">
      <c r="B15" s="163"/>
    </row>
    <row r="16" spans="2:6" x14ac:dyDescent="0.25">
      <c r="B16" s="163"/>
      <c r="C16" t="s">
        <v>1586</v>
      </c>
      <c r="D16">
        <f>D14-D13</f>
        <v>5447.9422664027661</v>
      </c>
    </row>
    <row r="17" spans="2:4" x14ac:dyDescent="0.25">
      <c r="B17" s="163"/>
    </row>
    <row r="18" spans="2:4" x14ac:dyDescent="0.25">
      <c r="B18" s="163"/>
    </row>
    <row r="19" spans="2:4" x14ac:dyDescent="0.25">
      <c r="B19" s="163"/>
    </row>
    <row r="20" spans="2:4" x14ac:dyDescent="0.25">
      <c r="B20" s="163"/>
    </row>
    <row r="21" spans="2:4" x14ac:dyDescent="0.25">
      <c r="B21" s="163"/>
    </row>
    <row r="22" spans="2:4" x14ac:dyDescent="0.25">
      <c r="B22" s="163"/>
    </row>
    <row r="23" spans="2:4" x14ac:dyDescent="0.25">
      <c r="B23" s="162">
        <v>20</v>
      </c>
      <c r="C23" t="s">
        <v>14</v>
      </c>
      <c r="D23">
        <f>'ABR-Exca'!E34</f>
        <v>1951.532381261404</v>
      </c>
    </row>
    <row r="24" spans="2:4" x14ac:dyDescent="0.25">
      <c r="B24" s="163"/>
      <c r="C24" t="s">
        <v>181</v>
      </c>
      <c r="D24">
        <f>'ABR-T'!AM9</f>
        <v>10083.40993772086</v>
      </c>
    </row>
    <row r="25" spans="2:4" x14ac:dyDescent="0.25">
      <c r="B25" s="163"/>
    </row>
    <row r="26" spans="2:4" x14ac:dyDescent="0.25">
      <c r="B26" s="163"/>
    </row>
    <row r="27" spans="2:4" x14ac:dyDescent="0.25">
      <c r="B27" s="163"/>
    </row>
    <row r="28" spans="2:4" x14ac:dyDescent="0.25">
      <c r="B28" s="163"/>
    </row>
    <row r="29" spans="2:4" x14ac:dyDescent="0.25">
      <c r="B29" s="163"/>
    </row>
    <row r="30" spans="2:4" x14ac:dyDescent="0.25">
      <c r="B30" s="163"/>
    </row>
    <row r="31" spans="2:4" x14ac:dyDescent="0.25">
      <c r="B31" s="163"/>
    </row>
    <row r="32" spans="2:4" x14ac:dyDescent="0.25">
      <c r="B32" s="163"/>
    </row>
    <row r="33" spans="2:4" x14ac:dyDescent="0.25">
      <c r="B33" s="162">
        <v>30</v>
      </c>
      <c r="C33" t="s">
        <v>14</v>
      </c>
      <c r="D33">
        <f>'ABR-Exca'!E35</f>
        <v>2301.0736941729683</v>
      </c>
    </row>
    <row r="34" spans="2:4" x14ac:dyDescent="0.25">
      <c r="B34" s="163"/>
      <c r="C34" t="s">
        <v>181</v>
      </c>
      <c r="D34">
        <f>'ABR-T'!AM10</f>
        <v>13011.59613483039</v>
      </c>
    </row>
    <row r="35" spans="2:4" x14ac:dyDescent="0.25">
      <c r="B35" s="163"/>
    </row>
    <row r="36" spans="2:4" x14ac:dyDescent="0.25">
      <c r="B36" s="163"/>
    </row>
    <row r="37" spans="2:4" x14ac:dyDescent="0.25">
      <c r="B37" s="163"/>
    </row>
    <row r="38" spans="2:4" x14ac:dyDescent="0.25">
      <c r="B38" s="163"/>
    </row>
    <row r="39" spans="2:4" x14ac:dyDescent="0.25">
      <c r="B39" s="163"/>
    </row>
    <row r="40" spans="2:4" x14ac:dyDescent="0.25">
      <c r="B40" s="163"/>
    </row>
    <row r="41" spans="2:4" x14ac:dyDescent="0.25">
      <c r="B41" s="163"/>
    </row>
    <row r="42" spans="2:4" x14ac:dyDescent="0.25">
      <c r="B42" s="163"/>
    </row>
    <row r="43" spans="2:4" x14ac:dyDescent="0.25">
      <c r="B43" s="162">
        <v>50</v>
      </c>
      <c r="C43" t="s">
        <v>14</v>
      </c>
      <c r="D43">
        <f>'ABR-Exca'!E36</f>
        <v>2977.2132553352576</v>
      </c>
    </row>
    <row r="44" spans="2:4" x14ac:dyDescent="0.25">
      <c r="B44" s="163"/>
      <c r="C44" t="s">
        <v>181</v>
      </c>
      <c r="D44">
        <f>'ABR-T'!AM11</f>
        <v>17923.460511375062</v>
      </c>
    </row>
    <row r="45" spans="2:4" x14ac:dyDescent="0.25">
      <c r="B45" s="163"/>
    </row>
    <row r="46" spans="2:4" x14ac:dyDescent="0.25">
      <c r="B46" s="163"/>
    </row>
    <row r="47" spans="2:4" x14ac:dyDescent="0.25">
      <c r="B47" s="163"/>
    </row>
    <row r="48" spans="2:4" x14ac:dyDescent="0.25">
      <c r="B48" s="163"/>
    </row>
    <row r="49" spans="2:4" x14ac:dyDescent="0.25">
      <c r="B49" s="163"/>
    </row>
    <row r="50" spans="2:4" x14ac:dyDescent="0.25">
      <c r="B50" s="163"/>
    </row>
    <row r="51" spans="2:4" x14ac:dyDescent="0.25">
      <c r="B51" s="163"/>
    </row>
    <row r="52" spans="2:4" x14ac:dyDescent="0.25">
      <c r="B52" s="162">
        <v>75</v>
      </c>
      <c r="C52" t="s">
        <v>14</v>
      </c>
      <c r="D52">
        <f>'ABR-Exca'!E37</f>
        <v>4265.0726044703515</v>
      </c>
    </row>
    <row r="53" spans="2:4" x14ac:dyDescent="0.25">
      <c r="B53" s="163"/>
      <c r="C53" t="s">
        <v>181</v>
      </c>
      <c r="D53">
        <f>'ABR-T'!AM12</f>
        <v>29889.466002317538</v>
      </c>
    </row>
    <row r="54" spans="2:4" x14ac:dyDescent="0.25">
      <c r="B54" s="163"/>
    </row>
    <row r="55" spans="2:4" x14ac:dyDescent="0.25">
      <c r="B55" s="163"/>
    </row>
    <row r="56" spans="2:4" x14ac:dyDescent="0.25">
      <c r="B56" s="163"/>
    </row>
    <row r="57" spans="2:4" x14ac:dyDescent="0.25">
      <c r="B57" s="163"/>
    </row>
    <row r="58" spans="2:4" x14ac:dyDescent="0.25">
      <c r="B58" s="163"/>
    </row>
    <row r="59" spans="2:4" x14ac:dyDescent="0.25">
      <c r="B59" s="162">
        <v>100</v>
      </c>
      <c r="C59" t="s">
        <v>14</v>
      </c>
      <c r="D59">
        <f>'ABR-Exca'!E38</f>
        <v>5074.2866356006407</v>
      </c>
    </row>
    <row r="60" spans="2:4" x14ac:dyDescent="0.25">
      <c r="B60" s="163"/>
      <c r="C60" t="s">
        <v>181</v>
      </c>
      <c r="D60">
        <f>'ABR-T'!AM13</f>
        <v>35846.921022750124</v>
      </c>
    </row>
    <row r="61" spans="2:4" x14ac:dyDescent="0.25">
      <c r="B61" s="163"/>
    </row>
    <row r="62" spans="2:4" x14ac:dyDescent="0.25">
      <c r="B62" s="163"/>
    </row>
    <row r="63" spans="2:4" x14ac:dyDescent="0.25">
      <c r="B63" s="163"/>
    </row>
    <row r="64" spans="2:4" x14ac:dyDescent="0.25">
      <c r="B64" s="163"/>
    </row>
    <row r="65" spans="2:4" x14ac:dyDescent="0.25">
      <c r="B65" s="164">
        <v>150</v>
      </c>
      <c r="C65" s="6" t="s">
        <v>14</v>
      </c>
    </row>
    <row r="66" spans="2:4" x14ac:dyDescent="0.25">
      <c r="B66" s="165"/>
      <c r="C66" s="6" t="s">
        <v>181</v>
      </c>
    </row>
    <row r="67" spans="2:4" x14ac:dyDescent="0.25">
      <c r="B67" s="165"/>
      <c r="C67" s="6"/>
    </row>
    <row r="68" spans="2:4" x14ac:dyDescent="0.25">
      <c r="B68" s="165"/>
      <c r="C68" s="6"/>
    </row>
    <row r="69" spans="2:4" x14ac:dyDescent="0.25">
      <c r="B69" s="165"/>
      <c r="C69" s="6"/>
    </row>
    <row r="70" spans="2:4" x14ac:dyDescent="0.25">
      <c r="B70" s="165"/>
      <c r="C70" s="6"/>
    </row>
    <row r="71" spans="2:4" x14ac:dyDescent="0.25">
      <c r="B71" s="162">
        <v>200</v>
      </c>
      <c r="C71" t="s">
        <v>14</v>
      </c>
      <c r="D71">
        <f>'ABR-Exca'!E39</f>
        <v>8708.9853838136787</v>
      </c>
    </row>
    <row r="72" spans="2:4" x14ac:dyDescent="0.25">
      <c r="B72" s="163"/>
      <c r="C72" t="s">
        <v>181</v>
      </c>
      <c r="D72">
        <f>'ABR-T'!AM14</f>
        <v>64529.353919359222</v>
      </c>
    </row>
    <row r="73" spans="2:4" x14ac:dyDescent="0.25">
      <c r="B73" s="163"/>
    </row>
    <row r="74" spans="2:4" x14ac:dyDescent="0.25">
      <c r="B74" s="163"/>
    </row>
    <row r="75" spans="2:4" x14ac:dyDescent="0.25">
      <c r="B75" s="163"/>
    </row>
    <row r="76" spans="2:4" x14ac:dyDescent="0.25">
      <c r="B76" s="163"/>
    </row>
    <row r="77" spans="2:4" x14ac:dyDescent="0.25">
      <c r="B77" s="162">
        <v>300</v>
      </c>
      <c r="C77" t="s">
        <v>14</v>
      </c>
      <c r="D77">
        <f>'ABR-Exca'!E40</f>
        <v>12290.574077928772</v>
      </c>
    </row>
    <row r="78" spans="2:4" x14ac:dyDescent="0.25">
      <c r="B78" s="163"/>
      <c r="C78" t="s">
        <v>181</v>
      </c>
      <c r="D78">
        <f>'ABR-T'!AM15</f>
        <v>107540.76306825038</v>
      </c>
    </row>
    <row r="79" spans="2:4" x14ac:dyDescent="0.25">
      <c r="B79" s="163"/>
    </row>
    <row r="80" spans="2:4" x14ac:dyDescent="0.25">
      <c r="B80" s="163"/>
    </row>
    <row r="81" spans="2:4" x14ac:dyDescent="0.25">
      <c r="B81" s="163"/>
    </row>
    <row r="82" spans="2:4" x14ac:dyDescent="0.25">
      <c r="B82" s="163"/>
    </row>
    <row r="83" spans="2:4" x14ac:dyDescent="0.25">
      <c r="B83" s="162">
        <v>400</v>
      </c>
      <c r="C83" t="s">
        <v>14</v>
      </c>
      <c r="D83">
        <f>'ABR-Exca'!E41</f>
        <v>15379.77156055209</v>
      </c>
    </row>
    <row r="84" spans="2:4" x14ac:dyDescent="0.25">
      <c r="B84" s="163"/>
      <c r="C84" t="s">
        <v>181</v>
      </c>
      <c r="D84">
        <f>'ABR-T'!AM16</f>
        <v>129058.70783871844</v>
      </c>
    </row>
    <row r="85" spans="2:4" x14ac:dyDescent="0.25">
      <c r="B85" s="163"/>
    </row>
    <row r="86" spans="2:4" x14ac:dyDescent="0.25">
      <c r="B86" s="163"/>
    </row>
    <row r="87" spans="2:4" x14ac:dyDescent="0.25">
      <c r="B87" s="163"/>
    </row>
    <row r="88" spans="2:4" x14ac:dyDescent="0.25">
      <c r="B88" s="163"/>
    </row>
    <row r="89" spans="2:4" x14ac:dyDescent="0.25">
      <c r="B89" s="162">
        <v>500</v>
      </c>
      <c r="C89" t="s">
        <v>14</v>
      </c>
      <c r="D89">
        <f>'ABR-Exca'!E42</f>
        <v>18916.299700808355</v>
      </c>
    </row>
    <row r="90" spans="2:4" x14ac:dyDescent="0.25">
      <c r="B90" s="163"/>
      <c r="C90" t="s">
        <v>181</v>
      </c>
      <c r="D90">
        <f>'ABR-T'!AM17</f>
        <v>165268.05188894423</v>
      </c>
    </row>
    <row r="91" spans="2:4" x14ac:dyDescent="0.25">
      <c r="B91" s="163"/>
    </row>
    <row r="92" spans="2:4" x14ac:dyDescent="0.25">
      <c r="B92" s="163"/>
    </row>
    <row r="93" spans="2:4" x14ac:dyDescent="0.25">
      <c r="B93" s="163"/>
    </row>
    <row r="94" spans="2:4" x14ac:dyDescent="0.25">
      <c r="B94" s="163"/>
    </row>
    <row r="95" spans="2:4" x14ac:dyDescent="0.25">
      <c r="B95" s="162">
        <v>600</v>
      </c>
      <c r="C95" t="s">
        <v>14</v>
      </c>
      <c r="D95">
        <f>'ABR-Exca'!E43</f>
        <v>21975.448778486814</v>
      </c>
    </row>
    <row r="96" spans="2:4" x14ac:dyDescent="0.25">
      <c r="B96" s="163"/>
      <c r="C96" t="s">
        <v>181</v>
      </c>
      <c r="D96">
        <f>'ABR-T'!AM18</f>
        <v>193588.06175807765</v>
      </c>
    </row>
    <row r="97" spans="2:4" x14ac:dyDescent="0.25">
      <c r="B97" s="163"/>
    </row>
    <row r="98" spans="2:4" x14ac:dyDescent="0.25">
      <c r="B98" s="163"/>
    </row>
    <row r="99" spans="2:4" x14ac:dyDescent="0.25">
      <c r="B99" s="163"/>
    </row>
    <row r="100" spans="2:4" x14ac:dyDescent="0.25">
      <c r="B100" s="163"/>
    </row>
    <row r="101" spans="2:4" x14ac:dyDescent="0.25">
      <c r="B101" s="162">
        <v>800</v>
      </c>
      <c r="C101" t="s">
        <v>14</v>
      </c>
      <c r="D101">
        <f>'ABR-Exca'!E44</f>
        <v>28532.246738429109</v>
      </c>
    </row>
    <row r="102" spans="2:4" x14ac:dyDescent="0.25">
      <c r="B102" s="163"/>
      <c r="C102" t="s">
        <v>181</v>
      </c>
      <c r="D102">
        <f>'ABR-T'!AM19</f>
        <v>258117.41567743689</v>
      </c>
    </row>
    <row r="103" spans="2:4" x14ac:dyDescent="0.25">
      <c r="B103" s="163"/>
    </row>
    <row r="104" spans="2:4" x14ac:dyDescent="0.25">
      <c r="B104" s="163"/>
    </row>
    <row r="105" spans="2:4" x14ac:dyDescent="0.25">
      <c r="B105" s="163"/>
    </row>
    <row r="106" spans="2:4" x14ac:dyDescent="0.25">
      <c r="B106" s="163"/>
    </row>
    <row r="107" spans="2:4" x14ac:dyDescent="0.25">
      <c r="B107" s="162">
        <v>1000</v>
      </c>
      <c r="C107" t="s">
        <v>14</v>
      </c>
      <c r="D107">
        <f>'ABR-Exca'!E45</f>
        <v>35064.198709968645</v>
      </c>
    </row>
    <row r="108" spans="2:4" x14ac:dyDescent="0.25">
      <c r="B108" s="163"/>
      <c r="C108" t="s">
        <v>181</v>
      </c>
      <c r="D108">
        <f>'ABR-T'!AM20</f>
        <v>322646.76959679608</v>
      </c>
    </row>
    <row r="109" spans="2:4" x14ac:dyDescent="0.25">
      <c r="B109" s="163"/>
    </row>
    <row r="110" spans="2:4" x14ac:dyDescent="0.25">
      <c r="B110" s="163"/>
    </row>
    <row r="111" spans="2:4" x14ac:dyDescent="0.25">
      <c r="B111" s="163"/>
    </row>
    <row r="112" spans="2:4" x14ac:dyDescent="0.25">
      <c r="B112" s="163"/>
    </row>
  </sheetData>
  <mergeCells count="15">
    <mergeCell ref="B95:B100"/>
    <mergeCell ref="B101:B106"/>
    <mergeCell ref="B107:B112"/>
    <mergeCell ref="B59:B64"/>
    <mergeCell ref="B65:B70"/>
    <mergeCell ref="B71:B76"/>
    <mergeCell ref="B77:B82"/>
    <mergeCell ref="B83:B88"/>
    <mergeCell ref="B89:B94"/>
    <mergeCell ref="B52:B58"/>
    <mergeCell ref="B3:B12"/>
    <mergeCell ref="B13:B22"/>
    <mergeCell ref="B23:B32"/>
    <mergeCell ref="B33:B42"/>
    <mergeCell ref="B43:B5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F114-275A-482B-BFB5-6760116F8E01}">
  <sheetPr>
    <tabColor theme="9"/>
  </sheetPr>
  <dimension ref="B1:BM96"/>
  <sheetViews>
    <sheetView zoomScale="60" zoomScaleNormal="60" workbookViewId="0">
      <selection activeCell="Z15" sqref="Z15"/>
    </sheetView>
  </sheetViews>
  <sheetFormatPr defaultRowHeight="15" x14ac:dyDescent="0.25"/>
  <cols>
    <col min="2" max="2" width="9.140625" style="94"/>
    <col min="3" max="3" width="14" customWidth="1"/>
    <col min="4" max="4" width="12.7109375" customWidth="1"/>
    <col min="5" max="5" width="2.85546875" customWidth="1"/>
    <col min="8" max="8" width="11.85546875" customWidth="1"/>
    <col min="17" max="17" width="9" customWidth="1"/>
    <col min="18" max="18" width="9.140625" style="96"/>
    <col min="19" max="19" width="9.140625" style="94"/>
    <col min="21" max="21" width="11" customWidth="1"/>
    <col min="35" max="35" width="9.140625" style="96"/>
    <col min="42" max="42" width="12" customWidth="1"/>
  </cols>
  <sheetData>
    <row r="1" spans="2:63" ht="18.75" customHeight="1" x14ac:dyDescent="0.25">
      <c r="B1" s="169" t="s">
        <v>593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69" t="s">
        <v>604</v>
      </c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</row>
    <row r="2" spans="2:63" ht="19.5" customHeight="1" x14ac:dyDescent="0.25">
      <c r="B2" s="169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69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N2" t="s">
        <v>983</v>
      </c>
      <c r="AO2">
        <v>7</v>
      </c>
    </row>
    <row r="3" spans="2:63" ht="15.75" customHeight="1" thickBot="1" x14ac:dyDescent="0.3">
      <c r="B3" s="171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1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</row>
    <row r="4" spans="2:63" ht="15" customHeight="1" x14ac:dyDescent="0.25">
      <c r="B4" s="173" t="s">
        <v>156</v>
      </c>
      <c r="C4" s="143" t="s">
        <v>138</v>
      </c>
      <c r="D4" s="168" t="s">
        <v>982</v>
      </c>
      <c r="F4" s="143" t="s">
        <v>981</v>
      </c>
      <c r="G4" s="143"/>
      <c r="S4" s="173" t="s">
        <v>156</v>
      </c>
      <c r="T4" s="143" t="s">
        <v>138</v>
      </c>
      <c r="U4" s="167" t="s">
        <v>982</v>
      </c>
      <c r="W4" s="95" t="s">
        <v>981</v>
      </c>
      <c r="X4" s="95"/>
      <c r="Y4" s="143" t="s">
        <v>981</v>
      </c>
      <c r="Z4" s="143"/>
      <c r="AN4" t="s">
        <v>156</v>
      </c>
      <c r="AO4" t="s">
        <v>987</v>
      </c>
    </row>
    <row r="5" spans="2:63" x14ac:dyDescent="0.25">
      <c r="B5" s="173"/>
      <c r="C5" s="143"/>
      <c r="D5" s="168"/>
      <c r="F5" s="143" t="s">
        <v>935</v>
      </c>
      <c r="G5" s="143" t="s">
        <v>566</v>
      </c>
      <c r="H5" s="143" t="s">
        <v>983</v>
      </c>
      <c r="I5" s="143"/>
      <c r="J5" s="10"/>
      <c r="L5" t="s">
        <v>986</v>
      </c>
      <c r="M5" s="122" t="s">
        <v>984</v>
      </c>
      <c r="N5" s="122"/>
      <c r="O5" s="122"/>
      <c r="P5" s="122"/>
      <c r="Q5" s="122"/>
      <c r="R5" s="122"/>
      <c r="S5" s="173"/>
      <c r="T5" s="143"/>
      <c r="U5" s="168"/>
      <c r="W5" s="95" t="s">
        <v>983</v>
      </c>
      <c r="Y5" s="143" t="s">
        <v>935</v>
      </c>
      <c r="Z5" s="143" t="s">
        <v>566</v>
      </c>
      <c r="AA5" s="10"/>
      <c r="AC5" t="s">
        <v>986</v>
      </c>
      <c r="AD5" s="92" t="s">
        <v>984</v>
      </c>
      <c r="AE5" s="92"/>
      <c r="AF5" s="92"/>
      <c r="AG5" s="92"/>
      <c r="AH5" s="92"/>
      <c r="AI5" s="92"/>
      <c r="AO5" t="s">
        <v>593</v>
      </c>
      <c r="AP5" t="s">
        <v>604</v>
      </c>
      <c r="AX5" t="s">
        <v>1100</v>
      </c>
      <c r="BA5" t="s">
        <v>593</v>
      </c>
      <c r="BB5" t="s">
        <v>604</v>
      </c>
      <c r="BF5" t="s">
        <v>1102</v>
      </c>
      <c r="BI5" t="s">
        <v>1103</v>
      </c>
      <c r="BK5" t="s">
        <v>1104</v>
      </c>
    </row>
    <row r="6" spans="2:63" x14ac:dyDescent="0.25">
      <c r="B6" s="173"/>
      <c r="C6" s="143"/>
      <c r="D6" s="168"/>
      <c r="F6" s="143"/>
      <c r="G6" s="143"/>
      <c r="H6" t="s">
        <v>983</v>
      </c>
      <c r="I6" s="10" t="s">
        <v>326</v>
      </c>
      <c r="J6" s="10"/>
      <c r="M6" t="s">
        <v>983</v>
      </c>
      <c r="Q6" t="s">
        <v>983</v>
      </c>
      <c r="S6" s="173"/>
      <c r="T6" s="143"/>
      <c r="U6" s="168"/>
      <c r="W6" t="s">
        <v>983</v>
      </c>
      <c r="X6" s="10" t="s">
        <v>326</v>
      </c>
      <c r="Y6" s="143"/>
      <c r="Z6" s="143"/>
      <c r="AA6" s="10"/>
      <c r="AD6" t="s">
        <v>983</v>
      </c>
      <c r="AH6" t="s">
        <v>983</v>
      </c>
      <c r="AN6">
        <v>5</v>
      </c>
      <c r="AO6">
        <f>N9</f>
        <v>15174.676351316477</v>
      </c>
      <c r="AP6">
        <f>AE9</f>
        <v>18641.965684976672</v>
      </c>
      <c r="AR6">
        <f>AP6-AO6</f>
        <v>3467.2893336601956</v>
      </c>
      <c r="AU6">
        <f t="shared" ref="AU6:AU20" si="0">((AP6-AO6)/AP6)*100</f>
        <v>18.599376225944031</v>
      </c>
      <c r="AW6">
        <v>1.875</v>
      </c>
      <c r="AX6">
        <f>AW6*365.25*25</f>
        <v>17121.09375</v>
      </c>
      <c r="AZ6">
        <v>5</v>
      </c>
      <c r="BA6">
        <f>AO6/$AX6</f>
        <v>0.88631465798243625</v>
      </c>
      <c r="BB6">
        <f>AP6/$AX6</f>
        <v>1.0888303023851307</v>
      </c>
      <c r="BF6">
        <v>1525.31954888729</v>
      </c>
      <c r="BI6">
        <f>BF6+AO6</f>
        <v>16699.995900203769</v>
      </c>
      <c r="BK6">
        <f>BF6+AP6</f>
        <v>20167.285233863964</v>
      </c>
    </row>
    <row r="7" spans="2:63" x14ac:dyDescent="0.25">
      <c r="B7" s="166">
        <v>5</v>
      </c>
      <c r="C7" t="s">
        <v>980</v>
      </c>
      <c r="D7">
        <f>VF!$M$28</f>
        <v>2352.2039568315367</v>
      </c>
      <c r="F7">
        <f>VF!$N$173</f>
        <v>456.62507176211642</v>
      </c>
      <c r="G7">
        <v>0</v>
      </c>
      <c r="H7">
        <v>5</v>
      </c>
      <c r="I7">
        <f>VF!J179</f>
        <v>78.783353624193694</v>
      </c>
      <c r="L7" t="str">
        <f>$C$7</f>
        <v>ABR Siphon</v>
      </c>
      <c r="M7">
        <v>5</v>
      </c>
      <c r="N7">
        <f>($F$7+$G$7+I7)*25+$D$7</f>
        <v>15737.414591489291</v>
      </c>
      <c r="P7" t="str">
        <f>$C$8</f>
        <v>Wet Well</v>
      </c>
      <c r="Q7">
        <v>5</v>
      </c>
      <c r="S7" s="166">
        <v>5</v>
      </c>
      <c r="T7" t="s">
        <v>993</v>
      </c>
      <c r="U7">
        <f>AHF!$N$40</f>
        <v>1497.9126889824477</v>
      </c>
      <c r="W7">
        <v>5</v>
      </c>
      <c r="X7">
        <f>AHF!O168</f>
        <v>738.83102653514709</v>
      </c>
      <c r="AD7">
        <v>5</v>
      </c>
      <c r="AE7">
        <f>U$7+X7*25</f>
        <v>19968.688352361125</v>
      </c>
      <c r="AI7"/>
      <c r="AN7">
        <v>10</v>
      </c>
      <c r="AO7">
        <f>N15</f>
        <v>18809.278916624382</v>
      </c>
      <c r="AP7">
        <f>AE15</f>
        <v>21241.78316308817</v>
      </c>
      <c r="AR7">
        <f t="shared" ref="AR7:AR20" si="1">AP7-AO7</f>
        <v>2432.5042464637881</v>
      </c>
      <c r="AU7">
        <f t="shared" si="0"/>
        <v>11.451506814600899</v>
      </c>
      <c r="AW7">
        <v>3.3749999999999996</v>
      </c>
      <c r="AX7">
        <f t="shared" ref="AX7:AX20" si="2">AW7*365.25*25</f>
        <v>30817.968749999993</v>
      </c>
      <c r="AZ7">
        <v>10</v>
      </c>
      <c r="BA7">
        <f t="shared" ref="BA7:BB20" si="3">AO7/$AX7</f>
        <v>0.61033480399724227</v>
      </c>
      <c r="BB7">
        <f t="shared" si="3"/>
        <v>0.68926616596326373</v>
      </c>
      <c r="BF7">
        <v>1943.89190486659</v>
      </c>
      <c r="BI7">
        <f>BF7+AO7</f>
        <v>20753.17082149097</v>
      </c>
      <c r="BK7">
        <f t="shared" ref="BK7:BK12" si="4">BF7+AP7</f>
        <v>23185.675067954759</v>
      </c>
    </row>
    <row r="8" spans="2:63" x14ac:dyDescent="0.25">
      <c r="B8" s="166"/>
      <c r="C8" t="s">
        <v>985</v>
      </c>
      <c r="H8">
        <v>6</v>
      </c>
      <c r="I8">
        <f>VF!J180</f>
        <v>65.652794686828074</v>
      </c>
      <c r="L8" t="str">
        <f t="shared" ref="L8:L71" si="5">$C$7</f>
        <v>ABR Siphon</v>
      </c>
      <c r="M8">
        <v>6</v>
      </c>
      <c r="N8">
        <f t="shared" ref="N8:N11" si="6">($F$7+$G$7+I8)*25+$D$7</f>
        <v>15409.150618055148</v>
      </c>
      <c r="P8" t="str">
        <f t="shared" ref="P8:P71" si="7">$C$8</f>
        <v>Wet Well</v>
      </c>
      <c r="Q8">
        <v>6</v>
      </c>
      <c r="S8" s="166"/>
      <c r="W8">
        <v>6</v>
      </c>
      <c r="X8">
        <f>AHF!O169</f>
        <v>707.87416429617656</v>
      </c>
      <c r="AD8">
        <v>6</v>
      </c>
      <c r="AE8">
        <f t="shared" ref="AE8:AE12" si="8">U$7+X8*25</f>
        <v>19194.766796386863</v>
      </c>
      <c r="AN8">
        <v>20</v>
      </c>
      <c r="AO8">
        <f>N21</f>
        <v>25673.088804559178</v>
      </c>
      <c r="AP8">
        <f>AE21</f>
        <v>28817.882810556133</v>
      </c>
      <c r="AR8">
        <f t="shared" si="1"/>
        <v>3144.7940059969551</v>
      </c>
      <c r="AU8">
        <f t="shared" si="0"/>
        <v>10.912647631577576</v>
      </c>
      <c r="AW8">
        <v>4.875</v>
      </c>
      <c r="AX8">
        <f t="shared" si="2"/>
        <v>44514.84375</v>
      </c>
      <c r="AZ8">
        <v>20</v>
      </c>
      <c r="BA8">
        <f t="shared" si="3"/>
        <v>0.5767309652650231</v>
      </c>
      <c r="BB8">
        <f t="shared" si="3"/>
        <v>0.64737692829835292</v>
      </c>
      <c r="BF8">
        <v>3513.2441946185199</v>
      </c>
      <c r="BI8">
        <f t="shared" ref="BI8:BI12" si="9">BF8+AO8</f>
        <v>29186.332999177699</v>
      </c>
      <c r="BK8">
        <f t="shared" si="4"/>
        <v>32331.127005174654</v>
      </c>
    </row>
    <row r="9" spans="2:63" x14ac:dyDescent="0.25">
      <c r="B9" s="166"/>
      <c r="H9">
        <v>7</v>
      </c>
      <c r="I9">
        <f>VF!J181</f>
        <v>56.273824017281207</v>
      </c>
      <c r="J9">
        <f>I9+F7</f>
        <v>512.89889577939766</v>
      </c>
      <c r="L9" t="str">
        <f t="shared" si="5"/>
        <v>ABR Siphon</v>
      </c>
      <c r="M9">
        <v>7</v>
      </c>
      <c r="N9">
        <f>($F$7+$G$7+I9)*25+$D$7</f>
        <v>15174.676351316477</v>
      </c>
      <c r="P9" t="str">
        <f t="shared" si="7"/>
        <v>Wet Well</v>
      </c>
      <c r="Q9">
        <v>7</v>
      </c>
      <c r="S9" s="166"/>
      <c r="W9">
        <v>7</v>
      </c>
      <c r="X9">
        <f>AHF!O170</f>
        <v>685.76211983976896</v>
      </c>
      <c r="AD9">
        <v>7</v>
      </c>
      <c r="AE9">
        <f>U$7+X9*25</f>
        <v>18641.965684976672</v>
      </c>
      <c r="AN9">
        <v>30</v>
      </c>
      <c r="AO9">
        <f>N27</f>
        <v>32830.571358632202</v>
      </c>
      <c r="AP9">
        <f>AE27</f>
        <v>32943.770639361595</v>
      </c>
      <c r="AR9">
        <f t="shared" si="1"/>
        <v>113.19928072939365</v>
      </c>
      <c r="AU9">
        <f t="shared" si="0"/>
        <v>0.34361361353743108</v>
      </c>
      <c r="AW9">
        <v>6.375</v>
      </c>
      <c r="AX9">
        <f t="shared" si="2"/>
        <v>58211.71875</v>
      </c>
      <c r="AZ9">
        <v>30</v>
      </c>
      <c r="BA9">
        <f t="shared" si="3"/>
        <v>0.56398560399201758</v>
      </c>
      <c r="BB9">
        <f t="shared" si="3"/>
        <v>0.56593021726165049</v>
      </c>
      <c r="BF9">
        <v>4600.6493662863722</v>
      </c>
      <c r="BI9">
        <f t="shared" si="9"/>
        <v>37431.220724918574</v>
      </c>
      <c r="BK9">
        <f t="shared" si="4"/>
        <v>37544.420005647968</v>
      </c>
    </row>
    <row r="10" spans="2:63" x14ac:dyDescent="0.25">
      <c r="B10" s="166"/>
      <c r="H10">
        <v>8</v>
      </c>
      <c r="I10">
        <f>VF!J182</f>
        <v>49.239596015121059</v>
      </c>
      <c r="L10" t="str">
        <f t="shared" si="5"/>
        <v>ABR Siphon</v>
      </c>
      <c r="M10">
        <v>8</v>
      </c>
      <c r="N10">
        <f>($F$7+$G$7+I10)*25+$D$7</f>
        <v>14998.820651262475</v>
      </c>
      <c r="P10" t="str">
        <f t="shared" si="7"/>
        <v>Wet Well</v>
      </c>
      <c r="Q10">
        <v>8</v>
      </c>
      <c r="S10" s="166"/>
      <c r="W10">
        <v>8</v>
      </c>
      <c r="X10">
        <f>AHF!O171</f>
        <v>669.17808649746337</v>
      </c>
      <c r="AD10">
        <v>8</v>
      </c>
      <c r="AE10">
        <f t="shared" si="8"/>
        <v>18227.364851419032</v>
      </c>
      <c r="AN10">
        <v>50</v>
      </c>
      <c r="AO10">
        <f>N33</f>
        <v>46929.008384896661</v>
      </c>
      <c r="AP10">
        <f>AE33</f>
        <v>40637.63147647259</v>
      </c>
      <c r="AR10">
        <f t="shared" si="1"/>
        <v>-6291.3769084240703</v>
      </c>
      <c r="AT10" t="s">
        <v>1099</v>
      </c>
      <c r="AU10">
        <f>((AP10-AO10)/AP10)*100</f>
        <v>-15.48165254676937</v>
      </c>
      <c r="AW10">
        <v>8.625</v>
      </c>
      <c r="AX10">
        <f t="shared" si="2"/>
        <v>78757.03125</v>
      </c>
      <c r="AZ10">
        <v>50</v>
      </c>
      <c r="BA10">
        <f t="shared" si="3"/>
        <v>0.5958707132564327</v>
      </c>
      <c r="BB10">
        <f t="shared" si="3"/>
        <v>0.51598734527556978</v>
      </c>
      <c r="BF10">
        <v>6752.2892854689944</v>
      </c>
      <c r="BI10">
        <f t="shared" si="9"/>
        <v>53681.297670365653</v>
      </c>
      <c r="BK10">
        <f t="shared" si="4"/>
        <v>47389.920761941583</v>
      </c>
    </row>
    <row r="11" spans="2:63" x14ac:dyDescent="0.25">
      <c r="B11" s="166"/>
      <c r="H11">
        <v>9</v>
      </c>
      <c r="I11">
        <f>VF!J183</f>
        <v>43.768529791218718</v>
      </c>
      <c r="L11" t="str">
        <f t="shared" si="5"/>
        <v>ABR Siphon</v>
      </c>
      <c r="M11">
        <v>9</v>
      </c>
      <c r="N11">
        <f t="shared" si="6"/>
        <v>14862.043995664917</v>
      </c>
      <c r="P11" t="str">
        <f t="shared" si="7"/>
        <v>Wet Well</v>
      </c>
      <c r="Q11">
        <v>9</v>
      </c>
      <c r="S11" s="166"/>
      <c r="W11">
        <v>9</v>
      </c>
      <c r="X11">
        <f>AHF!O172</f>
        <v>656.27939389789219</v>
      </c>
      <c r="AD11">
        <v>9</v>
      </c>
      <c r="AE11">
        <f t="shared" si="8"/>
        <v>17904.897536429751</v>
      </c>
      <c r="AN11">
        <v>75</v>
      </c>
      <c r="AO11">
        <f>N39</f>
        <v>64125.390059031066</v>
      </c>
      <c r="AP11">
        <f>AE39</f>
        <v>57499.732149142415</v>
      </c>
      <c r="AR11">
        <f t="shared" si="1"/>
        <v>-6625.6579098886505</v>
      </c>
      <c r="AU11">
        <f t="shared" si="0"/>
        <v>-11.522936998563861</v>
      </c>
      <c r="AW11">
        <v>10.875</v>
      </c>
      <c r="AX11">
        <f t="shared" si="2"/>
        <v>99302.34375</v>
      </c>
      <c r="AZ11">
        <v>75</v>
      </c>
      <c r="BA11">
        <f t="shared" si="3"/>
        <v>0.64575907916605513</v>
      </c>
      <c r="BB11">
        <f t="shared" si="3"/>
        <v>0.57903700937715696</v>
      </c>
      <c r="BF11">
        <v>9884.3903294506399</v>
      </c>
      <c r="BI11">
        <f t="shared" si="9"/>
        <v>74009.780388481711</v>
      </c>
      <c r="BK11">
        <f t="shared" si="4"/>
        <v>67384.122478593054</v>
      </c>
    </row>
    <row r="12" spans="2:63" x14ac:dyDescent="0.25">
      <c r="B12" s="166"/>
      <c r="H12">
        <v>10</v>
      </c>
      <c r="I12">
        <f>VF!J184</f>
        <v>39.391676812096847</v>
      </c>
      <c r="L12" t="str">
        <f t="shared" si="5"/>
        <v>ABR Siphon</v>
      </c>
      <c r="M12">
        <v>10</v>
      </c>
      <c r="N12">
        <f>($F$7+$G$7+I12)*25+$D$7</f>
        <v>14752.622671186869</v>
      </c>
      <c r="P12" t="str">
        <f t="shared" si="7"/>
        <v>Wet Well</v>
      </c>
      <c r="Q12">
        <v>10</v>
      </c>
      <c r="S12" s="166"/>
      <c r="W12">
        <v>10</v>
      </c>
      <c r="X12">
        <f>AHF!O173</f>
        <v>645.96043981823539</v>
      </c>
      <c r="AD12">
        <v>10</v>
      </c>
      <c r="AE12">
        <f t="shared" si="8"/>
        <v>17646.923684438334</v>
      </c>
      <c r="AN12">
        <v>100</v>
      </c>
      <c r="AO12">
        <f>N45</f>
        <v>81232.27815591832</v>
      </c>
      <c r="AP12">
        <f>AE45</f>
        <v>67847.921618011911</v>
      </c>
      <c r="AR12">
        <f t="shared" si="1"/>
        <v>-13384.356537906409</v>
      </c>
      <c r="AU12">
        <f t="shared" si="0"/>
        <v>-19.726995637775293</v>
      </c>
      <c r="AW12">
        <v>12.375</v>
      </c>
      <c r="AX12">
        <f t="shared" si="2"/>
        <v>112999.21875</v>
      </c>
      <c r="AZ12">
        <v>100</v>
      </c>
      <c r="BA12">
        <f t="shared" si="3"/>
        <v>0.71887468828998713</v>
      </c>
      <c r="BB12">
        <f t="shared" si="3"/>
        <v>0.60042823630594266</v>
      </c>
      <c r="BF12">
        <v>12537.623450181793</v>
      </c>
      <c r="BI12">
        <f t="shared" si="9"/>
        <v>93769.901606100117</v>
      </c>
      <c r="BK12">
        <f t="shared" si="4"/>
        <v>80385.545068193707</v>
      </c>
    </row>
    <row r="13" spans="2:63" x14ac:dyDescent="0.25">
      <c r="B13" s="166">
        <v>10</v>
      </c>
      <c r="C13" t="s">
        <v>980</v>
      </c>
      <c r="D13">
        <f>VF!$X$28</f>
        <v>4555.1490307460417</v>
      </c>
      <c r="F13">
        <f>VF!$N$173</f>
        <v>456.62507176211642</v>
      </c>
      <c r="G13">
        <v>0</v>
      </c>
      <c r="H13">
        <v>5</v>
      </c>
      <c r="I13">
        <f>VF!U179</f>
        <v>158.95617314222417</v>
      </c>
      <c r="L13" t="str">
        <f>$C$7</f>
        <v>ABR Siphon</v>
      </c>
      <c r="M13">
        <v>5</v>
      </c>
      <c r="N13">
        <f>($F$13+$G$13+I13)*25+$D$13</f>
        <v>19944.680153354555</v>
      </c>
      <c r="P13" t="str">
        <f>$C$8</f>
        <v>Wet Well</v>
      </c>
      <c r="Q13">
        <v>5</v>
      </c>
      <c r="S13" s="166">
        <v>10</v>
      </c>
      <c r="T13" t="s">
        <v>993</v>
      </c>
      <c r="U13">
        <f>AHF!$Z$40</f>
        <v>2233.9076394376484</v>
      </c>
      <c r="W13">
        <v>5</v>
      </c>
      <c r="X13">
        <f>AHF!AA168</f>
        <v>839.45917731466898</v>
      </c>
      <c r="AD13">
        <v>5</v>
      </c>
      <c r="AE13">
        <f>U$13+X13*25</f>
        <v>23220.387072304373</v>
      </c>
      <c r="AN13">
        <v>150</v>
      </c>
      <c r="AO13">
        <f>N51</f>
        <v>135126.6637669552</v>
      </c>
      <c r="AP13">
        <f>AE51</f>
        <v>85587.16420387369</v>
      </c>
      <c r="AR13">
        <f t="shared" si="1"/>
        <v>-49539.49956308151</v>
      </c>
      <c r="AU13">
        <f t="shared" si="0"/>
        <v>-57.881926599502108</v>
      </c>
      <c r="AW13">
        <v>21.75</v>
      </c>
      <c r="AX13">
        <f t="shared" si="2"/>
        <v>198604.6875</v>
      </c>
      <c r="AZ13">
        <v>150</v>
      </c>
      <c r="BA13">
        <f t="shared" si="3"/>
        <v>0.68038003265635505</v>
      </c>
      <c r="BB13">
        <f t="shared" si="3"/>
        <v>0.43094231702800917</v>
      </c>
    </row>
    <row r="14" spans="2:63" x14ac:dyDescent="0.25">
      <c r="B14" s="166"/>
      <c r="H14">
        <v>6</v>
      </c>
      <c r="I14">
        <f>VF!U180</f>
        <v>132.46347761852016</v>
      </c>
      <c r="L14" t="str">
        <f t="shared" si="5"/>
        <v>ABR Siphon</v>
      </c>
      <c r="M14">
        <v>6</v>
      </c>
      <c r="N14">
        <f t="shared" ref="N14:N17" si="10">($F$13+$G$13+I14)*25+$D$13</f>
        <v>19282.362765261954</v>
      </c>
      <c r="P14" t="str">
        <f t="shared" si="7"/>
        <v>Wet Well</v>
      </c>
      <c r="Q14">
        <v>6</v>
      </c>
      <c r="S14" s="166"/>
      <c r="W14">
        <v>6</v>
      </c>
      <c r="X14">
        <f>AHF!AA169</f>
        <v>793.29175276629087</v>
      </c>
      <c r="AD14">
        <v>6</v>
      </c>
      <c r="AE14">
        <f t="shared" ref="AE14:AE18" si="11">U$13+X14*25</f>
        <v>22066.201458594922</v>
      </c>
      <c r="AN14">
        <v>200</v>
      </c>
      <c r="AO14">
        <f>N57</f>
        <v>174946.96551922383</v>
      </c>
      <c r="AP14">
        <f>AE57</f>
        <v>110112.1996258017</v>
      </c>
      <c r="AR14">
        <f t="shared" si="1"/>
        <v>-64834.765893422125</v>
      </c>
      <c r="AU14">
        <f t="shared" si="0"/>
        <v>-58.880638216067318</v>
      </c>
      <c r="AW14">
        <v>24.75</v>
      </c>
      <c r="AX14">
        <f t="shared" si="2"/>
        <v>225998.4375</v>
      </c>
      <c r="AZ14">
        <v>200</v>
      </c>
      <c r="BA14">
        <f t="shared" si="3"/>
        <v>0.77410696929806799</v>
      </c>
      <c r="BB14">
        <f t="shared" si="3"/>
        <v>0.48722549077712851</v>
      </c>
    </row>
    <row r="15" spans="2:63" x14ac:dyDescent="0.25">
      <c r="B15" s="166"/>
      <c r="H15">
        <v>7</v>
      </c>
      <c r="I15">
        <f>VF!U181</f>
        <v>113.54012367301728</v>
      </c>
      <c r="J15">
        <f>I15+F13</f>
        <v>570.16519543513368</v>
      </c>
      <c r="L15" t="str">
        <f t="shared" si="5"/>
        <v>ABR Siphon</v>
      </c>
      <c r="M15">
        <v>7</v>
      </c>
      <c r="N15">
        <f>($F$13+$G$13+I15)*25+$D$13</f>
        <v>18809.278916624382</v>
      </c>
      <c r="P15" t="str">
        <f t="shared" si="7"/>
        <v>Wet Well</v>
      </c>
      <c r="Q15">
        <v>7</v>
      </c>
      <c r="S15" s="166"/>
      <c r="W15">
        <v>7</v>
      </c>
      <c r="X15">
        <f>AHF!AA170</f>
        <v>760.31502094602081</v>
      </c>
      <c r="AD15">
        <v>7</v>
      </c>
      <c r="AE15">
        <f t="shared" si="11"/>
        <v>21241.78316308817</v>
      </c>
      <c r="AN15">
        <v>300</v>
      </c>
      <c r="AO15">
        <f>N63</f>
        <v>256709.54491635901</v>
      </c>
      <c r="AP15">
        <f>AE63</f>
        <v>154491.79903370343</v>
      </c>
      <c r="AR15">
        <f t="shared" si="1"/>
        <v>-102217.74588265558</v>
      </c>
      <c r="AU15">
        <f t="shared" si="0"/>
        <v>-66.163865345600698</v>
      </c>
      <c r="AW15">
        <v>37.125</v>
      </c>
      <c r="AX15">
        <f t="shared" si="2"/>
        <v>338997.65625</v>
      </c>
      <c r="AZ15">
        <v>300</v>
      </c>
      <c r="BA15">
        <f t="shared" si="3"/>
        <v>0.75726053022338269</v>
      </c>
      <c r="BB15">
        <f t="shared" si="3"/>
        <v>0.45573117154465115</v>
      </c>
    </row>
    <row r="16" spans="2:63" x14ac:dyDescent="0.25">
      <c r="B16" s="166"/>
      <c r="H16">
        <v>8</v>
      </c>
      <c r="I16">
        <f>VF!U182</f>
        <v>99.347608213890112</v>
      </c>
      <c r="L16" t="str">
        <f t="shared" si="5"/>
        <v>ABR Siphon</v>
      </c>
      <c r="M16">
        <v>8</v>
      </c>
      <c r="N16">
        <f t="shared" si="10"/>
        <v>18454.466030146203</v>
      </c>
      <c r="P16" t="str">
        <f t="shared" si="7"/>
        <v>Wet Well</v>
      </c>
      <c r="Q16">
        <v>8</v>
      </c>
      <c r="S16" s="166"/>
      <c r="W16">
        <v>8</v>
      </c>
      <c r="X16">
        <f>AHF!AA171</f>
        <v>735.58247208081821</v>
      </c>
      <c r="AD16">
        <v>8</v>
      </c>
      <c r="AE16">
        <f t="shared" si="11"/>
        <v>20623.469441458106</v>
      </c>
      <c r="AN16">
        <v>400</v>
      </c>
      <c r="AO16">
        <f>N69</f>
        <v>338472.12431349413</v>
      </c>
      <c r="AP16">
        <f>AE69</f>
        <v>204253.69273470232</v>
      </c>
      <c r="AR16">
        <f t="shared" si="1"/>
        <v>-134218.43157879182</v>
      </c>
      <c r="AU16">
        <f t="shared" si="0"/>
        <v>-65.7116303660288</v>
      </c>
      <c r="AW16">
        <v>49.5</v>
      </c>
      <c r="AX16">
        <f t="shared" si="2"/>
        <v>451996.875</v>
      </c>
      <c r="AZ16">
        <v>400</v>
      </c>
      <c r="BA16">
        <f t="shared" si="3"/>
        <v>0.74883731068603987</v>
      </c>
      <c r="BB16">
        <f t="shared" si="3"/>
        <v>0.4518918249926005</v>
      </c>
    </row>
    <row r="17" spans="2:65" x14ac:dyDescent="0.25">
      <c r="B17" s="166"/>
      <c r="H17">
        <v>9</v>
      </c>
      <c r="I17">
        <f>VF!U183</f>
        <v>88.308985079013439</v>
      </c>
      <c r="L17" t="str">
        <f t="shared" si="5"/>
        <v>ABR Siphon</v>
      </c>
      <c r="M17">
        <v>9</v>
      </c>
      <c r="N17">
        <f t="shared" si="10"/>
        <v>18178.500451774289</v>
      </c>
      <c r="P17" t="str">
        <f t="shared" si="7"/>
        <v>Wet Well</v>
      </c>
      <c r="Q17">
        <v>9</v>
      </c>
      <c r="S17" s="166"/>
      <c r="W17">
        <v>9</v>
      </c>
      <c r="X17">
        <f>AHF!AA172</f>
        <v>716.34604518566073</v>
      </c>
      <c r="AD17">
        <v>9</v>
      </c>
      <c r="AE17">
        <f t="shared" si="11"/>
        <v>20142.558769079169</v>
      </c>
      <c r="AN17">
        <v>500</v>
      </c>
      <c r="AO17">
        <f>N75</f>
        <v>416547.28374447848</v>
      </c>
      <c r="AP17">
        <f>AE75</f>
        <v>245064.29427447217</v>
      </c>
      <c r="AR17">
        <f t="shared" si="1"/>
        <v>-171482.98947000632</v>
      </c>
      <c r="AU17">
        <f t="shared" si="0"/>
        <v>-69.974693774828438</v>
      </c>
      <c r="AW17">
        <v>49.5</v>
      </c>
      <c r="AX17">
        <f t="shared" si="2"/>
        <v>451996.875</v>
      </c>
      <c r="AZ17">
        <v>500</v>
      </c>
      <c r="BA17">
        <f t="shared" si="3"/>
        <v>0.92157115852732052</v>
      </c>
      <c r="BB17">
        <f t="shared" si="3"/>
        <v>0.54218139068875681</v>
      </c>
    </row>
    <row r="18" spans="2:65" x14ac:dyDescent="0.25">
      <c r="B18" s="166"/>
      <c r="H18">
        <v>10</v>
      </c>
      <c r="I18">
        <f>VF!U184</f>
        <v>79.478086571112087</v>
      </c>
      <c r="L18" t="str">
        <f t="shared" si="5"/>
        <v>ABR Siphon</v>
      </c>
      <c r="M18">
        <v>10</v>
      </c>
      <c r="N18">
        <f>($F$13+$G$13+I18)*25+$D$13</f>
        <v>17957.727989076753</v>
      </c>
      <c r="P18" t="str">
        <f t="shared" si="7"/>
        <v>Wet Well</v>
      </c>
      <c r="Q18">
        <v>10</v>
      </c>
      <c r="S18" s="166"/>
      <c r="W18">
        <v>10</v>
      </c>
      <c r="X18">
        <f>AHF!AA173</f>
        <v>700.95690366953477</v>
      </c>
      <c r="AD18">
        <v>10</v>
      </c>
      <c r="AE18">
        <f t="shared" si="11"/>
        <v>19757.83023117602</v>
      </c>
      <c r="AN18">
        <v>600</v>
      </c>
      <c r="AO18">
        <f>N81</f>
        <v>500916.11972658301</v>
      </c>
      <c r="AP18">
        <v>286726.22046603024</v>
      </c>
      <c r="AR18">
        <f t="shared" si="1"/>
        <v>-214189.89926055277</v>
      </c>
      <c r="AU18">
        <f t="shared" si="0"/>
        <v>-74.701887714496223</v>
      </c>
      <c r="AW18">
        <v>69.375</v>
      </c>
      <c r="AX18">
        <f t="shared" si="2"/>
        <v>633480.46875</v>
      </c>
      <c r="AZ18">
        <v>600</v>
      </c>
      <c r="BA18">
        <f t="shared" si="3"/>
        <v>0.79073648586988576</v>
      </c>
      <c r="BB18">
        <f t="shared" si="3"/>
        <v>0.45262045889403002</v>
      </c>
    </row>
    <row r="19" spans="2:65" x14ac:dyDescent="0.25">
      <c r="B19" s="166">
        <v>20</v>
      </c>
      <c r="C19" t="s">
        <v>980</v>
      </c>
      <c r="D19">
        <f>VF!$AI$28</f>
        <v>8630.0796087781473</v>
      </c>
      <c r="F19">
        <f>VF!$N$173</f>
        <v>456.62507176211642</v>
      </c>
      <c r="G19">
        <v>0</v>
      </c>
      <c r="H19">
        <v>5</v>
      </c>
      <c r="I19">
        <f>VF!AF179</f>
        <v>315.13341449677478</v>
      </c>
      <c r="L19" t="str">
        <f>$C$7</f>
        <v>ABR Siphon</v>
      </c>
      <c r="M19">
        <v>5</v>
      </c>
      <c r="N19">
        <f>($F$19+$G$19+I19)*25+$D$19</f>
        <v>27924.041765250426</v>
      </c>
      <c r="P19" t="str">
        <f>$C$8</f>
        <v>Wet Well</v>
      </c>
      <c r="Q19">
        <v>5</v>
      </c>
      <c r="S19" s="166">
        <v>20</v>
      </c>
      <c r="T19" t="s">
        <v>993</v>
      </c>
      <c r="U19">
        <f>AHF!$AK$40</f>
        <v>3677.5186195644719</v>
      </c>
      <c r="W19">
        <v>5</v>
      </c>
      <c r="X19">
        <f>AHF!AL168</f>
        <v>1135.9037987328077</v>
      </c>
      <c r="AD19">
        <v>5</v>
      </c>
      <c r="AE19">
        <f>U$19+X19*25</f>
        <v>32075.113587884662</v>
      </c>
      <c r="AN19">
        <v>800</v>
      </c>
      <c r="AO19">
        <f>N87</f>
        <v>584509.26807676884</v>
      </c>
      <c r="AP19">
        <v>339626.49455523933</v>
      </c>
      <c r="AR19">
        <f t="shared" si="1"/>
        <v>-244882.77352152951</v>
      </c>
      <c r="AU19">
        <f t="shared" si="0"/>
        <v>-72.103554183020307</v>
      </c>
      <c r="AW19">
        <v>83.25</v>
      </c>
      <c r="AX19">
        <f t="shared" si="2"/>
        <v>760176.5625</v>
      </c>
      <c r="AZ19">
        <v>800</v>
      </c>
      <c r="BA19">
        <f t="shared" si="3"/>
        <v>0.76891250916035558</v>
      </c>
      <c r="BB19">
        <f t="shared" si="3"/>
        <v>0.44677317258809768</v>
      </c>
    </row>
    <row r="20" spans="2:65" x14ac:dyDescent="0.25">
      <c r="B20" s="166"/>
      <c r="H20">
        <v>6</v>
      </c>
      <c r="I20">
        <f>VF!AF180</f>
        <v>262.61117874731229</v>
      </c>
      <c r="L20" t="str">
        <f t="shared" si="5"/>
        <v>ABR Siphon</v>
      </c>
      <c r="M20">
        <v>6</v>
      </c>
      <c r="N20">
        <f t="shared" ref="N20:N24" si="12">($F$19+$G$19+I20)*25+$D$19</f>
        <v>26610.985871513862</v>
      </c>
      <c r="P20" t="str">
        <f t="shared" si="7"/>
        <v>Wet Well</v>
      </c>
      <c r="Q20">
        <v>6</v>
      </c>
      <c r="S20" s="166"/>
      <c r="W20">
        <v>6</v>
      </c>
      <c r="X20">
        <f>AHF!AL169</f>
        <v>1059.9017472618086</v>
      </c>
      <c r="AD20">
        <v>6</v>
      </c>
      <c r="AE20">
        <f t="shared" ref="AE20:AE24" si="13">U$19+X20*25</f>
        <v>30175.062301109687</v>
      </c>
      <c r="AN20">
        <v>1000</v>
      </c>
      <c r="AO20">
        <f>N93</f>
        <v>670000.52936656354</v>
      </c>
      <c r="AP20">
        <v>379787.21523294691</v>
      </c>
      <c r="AR20">
        <f t="shared" si="1"/>
        <v>-290213.31413361663</v>
      </c>
      <c r="AU20">
        <f t="shared" si="0"/>
        <v>-76.414713948601701</v>
      </c>
      <c r="AW20">
        <v>97.125</v>
      </c>
      <c r="AX20">
        <f t="shared" si="2"/>
        <v>886872.65625</v>
      </c>
      <c r="AZ20">
        <v>1000</v>
      </c>
      <c r="BA20">
        <f t="shared" si="3"/>
        <v>0.75546418603044352</v>
      </c>
      <c r="BB20">
        <f t="shared" si="3"/>
        <v>0.42823195929708413</v>
      </c>
    </row>
    <row r="21" spans="2:65" x14ac:dyDescent="0.25">
      <c r="B21" s="166"/>
      <c r="H21">
        <v>7</v>
      </c>
      <c r="I21">
        <f>VF!AF181</f>
        <v>225.09529606912483</v>
      </c>
      <c r="J21">
        <f>I21+F19</f>
        <v>681.72036783124122</v>
      </c>
      <c r="L21" t="str">
        <f t="shared" si="5"/>
        <v>ABR Siphon</v>
      </c>
      <c r="M21">
        <v>7</v>
      </c>
      <c r="N21">
        <f t="shared" si="12"/>
        <v>25673.088804559178</v>
      </c>
      <c r="P21" t="str">
        <f t="shared" si="7"/>
        <v>Wet Well</v>
      </c>
      <c r="Q21">
        <v>7</v>
      </c>
      <c r="S21" s="166"/>
      <c r="W21">
        <v>7</v>
      </c>
      <c r="X21">
        <f>AHF!AL170</f>
        <v>1005.6145676396665</v>
      </c>
      <c r="AD21">
        <v>7</v>
      </c>
      <c r="AE21">
        <f t="shared" si="13"/>
        <v>28817.882810556133</v>
      </c>
    </row>
    <row r="22" spans="2:65" x14ac:dyDescent="0.25">
      <c r="B22" s="166"/>
      <c r="H22">
        <v>8</v>
      </c>
      <c r="I22">
        <f>VF!AF182</f>
        <v>196.95838406048424</v>
      </c>
      <c r="L22" t="str">
        <f t="shared" si="5"/>
        <v>ABR Siphon</v>
      </c>
      <c r="M22">
        <v>8</v>
      </c>
      <c r="N22">
        <f t="shared" si="12"/>
        <v>24969.666004343162</v>
      </c>
      <c r="P22" t="str">
        <f t="shared" si="7"/>
        <v>Wet Well</v>
      </c>
      <c r="Q22">
        <v>8</v>
      </c>
      <c r="S22" s="166"/>
      <c r="W22">
        <v>8</v>
      </c>
      <c r="X22">
        <f>AHF!AL171</f>
        <v>964.89918292305981</v>
      </c>
      <c r="AD22">
        <v>8</v>
      </c>
      <c r="AE22">
        <f t="shared" si="13"/>
        <v>27799.998192640967</v>
      </c>
    </row>
    <row r="23" spans="2:65" x14ac:dyDescent="0.25">
      <c r="B23" s="166"/>
      <c r="H23">
        <v>9</v>
      </c>
      <c r="I23">
        <f>VF!AF183</f>
        <v>175.07411916487487</v>
      </c>
      <c r="L23" t="str">
        <f t="shared" si="5"/>
        <v>ABR Siphon</v>
      </c>
      <c r="M23">
        <v>9</v>
      </c>
      <c r="N23">
        <f t="shared" si="12"/>
        <v>24422.559381952931</v>
      </c>
      <c r="P23" t="str">
        <f t="shared" si="7"/>
        <v>Wet Well</v>
      </c>
      <c r="Q23">
        <v>9</v>
      </c>
      <c r="S23" s="166"/>
      <c r="W23">
        <v>9</v>
      </c>
      <c r="X23">
        <f>AHF!AL172</f>
        <v>933.23166147681013</v>
      </c>
      <c r="AD23">
        <v>9</v>
      </c>
      <c r="AE23">
        <f t="shared" si="13"/>
        <v>27008.310156484724</v>
      </c>
    </row>
    <row r="24" spans="2:65" x14ac:dyDescent="0.25">
      <c r="B24" s="166"/>
      <c r="H24">
        <v>10</v>
      </c>
      <c r="I24">
        <f>VF!AF184</f>
        <v>157.56670724838739</v>
      </c>
      <c r="L24" t="str">
        <f t="shared" si="5"/>
        <v>ABR Siphon</v>
      </c>
      <c r="M24">
        <v>10</v>
      </c>
      <c r="N24">
        <f t="shared" si="12"/>
        <v>23984.874084040741</v>
      </c>
      <c r="P24" t="str">
        <f t="shared" si="7"/>
        <v>Wet Well</v>
      </c>
      <c r="Q24">
        <v>10</v>
      </c>
      <c r="S24" s="166"/>
      <c r="W24">
        <v>10</v>
      </c>
      <c r="X24">
        <f>AHF!AL173</f>
        <v>907.89764431981041</v>
      </c>
      <c r="AD24">
        <v>10</v>
      </c>
      <c r="AE24">
        <f t="shared" si="13"/>
        <v>26374.95972755973</v>
      </c>
    </row>
    <row r="25" spans="2:65" x14ac:dyDescent="0.25">
      <c r="B25" s="166">
        <v>30</v>
      </c>
      <c r="C25" t="s">
        <v>980</v>
      </c>
      <c r="D25">
        <f>VF!$AT$28</f>
        <v>12897.218608404817</v>
      </c>
      <c r="F25">
        <f>VF!$N$173</f>
        <v>456.62507176211642</v>
      </c>
      <c r="G25">
        <v>0</v>
      </c>
      <c r="H25">
        <v>5</v>
      </c>
      <c r="I25">
        <f>VF!AQ179</f>
        <v>476.99265354577057</v>
      </c>
      <c r="L25" t="str">
        <f>$C$7</f>
        <v>ABR Siphon</v>
      </c>
      <c r="M25">
        <v>5</v>
      </c>
      <c r="N25">
        <f>($F$25+$G$25+I25)*25+$D$25</f>
        <v>36237.661741101991</v>
      </c>
      <c r="P25" t="str">
        <f>$C$8</f>
        <v>Wet Well</v>
      </c>
      <c r="Q25">
        <v>5</v>
      </c>
      <c r="S25" s="166">
        <v>30</v>
      </c>
      <c r="T25" t="s">
        <v>993</v>
      </c>
      <c r="U25">
        <f>AHF!$AV$40</f>
        <v>4961.1281663039508</v>
      </c>
      <c r="W25">
        <v>5</v>
      </c>
      <c r="X25">
        <f>AHF!AW168</f>
        <v>1295.0713825285031</v>
      </c>
      <c r="AD25">
        <v>5</v>
      </c>
      <c r="AE25">
        <f>U$25+X25*25</f>
        <v>37337.912729516531</v>
      </c>
    </row>
    <row r="26" spans="2:65" x14ac:dyDescent="0.25">
      <c r="B26" s="166"/>
      <c r="H26">
        <v>6</v>
      </c>
      <c r="I26">
        <f>VF!AQ180</f>
        <v>397.4938779548088</v>
      </c>
      <c r="L26" t="str">
        <f t="shared" si="5"/>
        <v>ABR Siphon</v>
      </c>
      <c r="M26">
        <v>6</v>
      </c>
      <c r="N26">
        <f t="shared" ref="N26:N30" si="14">($F$25+$G$25+I26)*25+$D$25</f>
        <v>34250.192351327947</v>
      </c>
      <c r="P26" t="str">
        <f t="shared" si="7"/>
        <v>Wet Well</v>
      </c>
      <c r="Q26">
        <v>6</v>
      </c>
      <c r="S26" s="166"/>
      <c r="W26">
        <v>6</v>
      </c>
      <c r="X26">
        <f>AHF!AW169</f>
        <v>1192.541400424888</v>
      </c>
      <c r="AD26">
        <v>6</v>
      </c>
      <c r="AE26">
        <f t="shared" ref="AE26:AE30" si="15">U$25+X26*25</f>
        <v>34774.663176926151</v>
      </c>
    </row>
    <row r="27" spans="2:65" x14ac:dyDescent="0.25">
      <c r="B27" s="166"/>
      <c r="H27">
        <v>7</v>
      </c>
      <c r="I27">
        <f>VF!AQ181</f>
        <v>340.70903824697899</v>
      </c>
      <c r="J27">
        <f>I27+F25</f>
        <v>797.33411000909541</v>
      </c>
      <c r="L27" t="str">
        <f t="shared" si="5"/>
        <v>ABR Siphon</v>
      </c>
      <c r="M27">
        <v>7</v>
      </c>
      <c r="N27">
        <f t="shared" si="14"/>
        <v>32830.571358632202</v>
      </c>
      <c r="P27" t="str">
        <f t="shared" si="7"/>
        <v>Wet Well</v>
      </c>
      <c r="Q27">
        <v>7</v>
      </c>
      <c r="S27" s="166"/>
      <c r="W27">
        <v>7</v>
      </c>
      <c r="X27">
        <f>AHF!AW170</f>
        <v>1119.305698922306</v>
      </c>
      <c r="AD27">
        <v>7</v>
      </c>
      <c r="AE27">
        <f t="shared" si="15"/>
        <v>32943.770639361595</v>
      </c>
    </row>
    <row r="28" spans="2:65" x14ac:dyDescent="0.25">
      <c r="B28" s="166"/>
      <c r="H28">
        <v>8</v>
      </c>
      <c r="I28">
        <f>VF!AQ182</f>
        <v>298.1204084661066</v>
      </c>
      <c r="L28" t="str">
        <f t="shared" si="5"/>
        <v>ABR Siphon</v>
      </c>
      <c r="M28">
        <v>8</v>
      </c>
      <c r="N28">
        <f t="shared" si="14"/>
        <v>31765.855614110391</v>
      </c>
      <c r="P28" t="str">
        <f t="shared" si="7"/>
        <v>Wet Well</v>
      </c>
      <c r="Q28">
        <v>8</v>
      </c>
      <c r="S28" s="166"/>
      <c r="W28">
        <v>8</v>
      </c>
      <c r="X28">
        <f>AHF!AW171</f>
        <v>1064.3789227953694</v>
      </c>
      <c r="AD28">
        <v>8</v>
      </c>
      <c r="AE28">
        <f t="shared" si="15"/>
        <v>31570.601236188184</v>
      </c>
    </row>
    <row r="29" spans="2:65" x14ac:dyDescent="0.25">
      <c r="B29" s="166"/>
      <c r="H29">
        <v>9</v>
      </c>
      <c r="I29">
        <f>VF!AQ183</f>
        <v>264.99591863653922</v>
      </c>
      <c r="L29" t="str">
        <f t="shared" si="5"/>
        <v>ABR Siphon</v>
      </c>
      <c r="M29">
        <v>9</v>
      </c>
      <c r="N29">
        <f t="shared" si="14"/>
        <v>30937.743368371208</v>
      </c>
      <c r="P29" t="str">
        <f t="shared" si="7"/>
        <v>Wet Well</v>
      </c>
      <c r="Q29">
        <v>9</v>
      </c>
      <c r="S29" s="166"/>
      <c r="W29">
        <v>9</v>
      </c>
      <c r="X29">
        <f>AHF!AW172</f>
        <v>1021.6580969188632</v>
      </c>
      <c r="AD29">
        <v>9</v>
      </c>
      <c r="AE29">
        <f t="shared" si="15"/>
        <v>30502.580589275531</v>
      </c>
    </row>
    <row r="30" spans="2:65" x14ac:dyDescent="0.25">
      <c r="B30" s="166"/>
      <c r="H30">
        <v>10</v>
      </c>
      <c r="I30">
        <f>VF!AQ184</f>
        <v>238.49632677288528</v>
      </c>
      <c r="L30" t="str">
        <f t="shared" si="5"/>
        <v>ABR Siphon</v>
      </c>
      <c r="M30">
        <v>10</v>
      </c>
      <c r="N30">
        <f t="shared" si="14"/>
        <v>30275.25357177986</v>
      </c>
      <c r="P30" t="str">
        <f t="shared" si="7"/>
        <v>Wet Well</v>
      </c>
      <c r="Q30">
        <v>10</v>
      </c>
      <c r="S30" s="166"/>
      <c r="W30">
        <v>10</v>
      </c>
      <c r="X30">
        <f>AHF!AW173</f>
        <v>987.48143621765814</v>
      </c>
      <c r="AD30">
        <v>10</v>
      </c>
      <c r="AE30">
        <f t="shared" si="15"/>
        <v>29648.164071745407</v>
      </c>
    </row>
    <row r="31" spans="2:65" x14ac:dyDescent="0.25">
      <c r="B31" s="166">
        <v>50</v>
      </c>
      <c r="C31" t="s">
        <v>980</v>
      </c>
      <c r="D31">
        <f>VF!$BE$28</f>
        <v>21283.123603349177</v>
      </c>
      <c r="F31">
        <f>VF!$N$173</f>
        <v>456.62507176211642</v>
      </c>
      <c r="G31">
        <v>0</v>
      </c>
      <c r="H31">
        <v>5</v>
      </c>
      <c r="I31">
        <f>VF!BB179</f>
        <v>796.89444729969648</v>
      </c>
      <c r="L31" t="str">
        <f>$C$7</f>
        <v>ABR Siphon</v>
      </c>
      <c r="M31">
        <v>5</v>
      </c>
      <c r="N31">
        <f>($F$31+$G$31+I31)*25+$D$31</f>
        <v>52621.111579894496</v>
      </c>
      <c r="P31" t="str">
        <f>$C$8</f>
        <v>Wet Well</v>
      </c>
      <c r="Q31">
        <v>5</v>
      </c>
      <c r="S31" s="166">
        <v>50</v>
      </c>
      <c r="T31" t="s">
        <v>993</v>
      </c>
      <c r="U31">
        <f>AHF!$BG$40</f>
        <v>7354.7737600718156</v>
      </c>
      <c r="W31">
        <v>5</v>
      </c>
      <c r="X31">
        <f>AHF!BH168</f>
        <v>1591.8834361557183</v>
      </c>
      <c r="AD31">
        <v>5</v>
      </c>
      <c r="AE31">
        <f>U$31+X31*25</f>
        <v>47151.859663964773</v>
      </c>
    </row>
    <row r="32" spans="2:65" x14ac:dyDescent="0.25">
      <c r="B32" s="166"/>
      <c r="H32">
        <v>6</v>
      </c>
      <c r="I32">
        <f>VF!BB180</f>
        <v>664.07870608308042</v>
      </c>
      <c r="L32" t="str">
        <f t="shared" si="5"/>
        <v>ABR Siphon</v>
      </c>
      <c r="M32">
        <v>6</v>
      </c>
      <c r="N32">
        <f t="shared" ref="N32:N36" si="16">($F$31+$G$31+I32)*25+$D$31</f>
        <v>49300.718049479095</v>
      </c>
      <c r="P32" t="str">
        <f t="shared" si="7"/>
        <v>Wet Well</v>
      </c>
      <c r="Q32">
        <v>6</v>
      </c>
      <c r="S32" s="166"/>
      <c r="W32">
        <v>6</v>
      </c>
      <c r="X32">
        <f>AHF!BH169</f>
        <v>1439.8847784475674</v>
      </c>
      <c r="AD32">
        <v>6</v>
      </c>
      <c r="AE32">
        <f t="shared" ref="AE32:AE36" si="17">U$31+X32*25</f>
        <v>43351.893221261002</v>
      </c>
      <c r="BG32">
        <f>'ABR-Exca'!$R$29</f>
        <v>887.26740781634828</v>
      </c>
      <c r="BH32">
        <f>'ABR-Exca'!$AC$29</f>
        <v>1120.2967700715831</v>
      </c>
      <c r="BI32">
        <f>'ABR-Exca'!$AN$29</f>
        <v>1951.532381261404</v>
      </c>
      <c r="BJ32">
        <f>'ABR-Exca'!$AY$29</f>
        <v>2301.0736941729683</v>
      </c>
      <c r="BK32">
        <f>'ABR-Exca'!$BJ$29</f>
        <v>2977.2132553352576</v>
      </c>
      <c r="BL32">
        <f>'ABR-Exca'!$BU$29</f>
        <v>4265.0726044703515</v>
      </c>
      <c r="BM32">
        <f>'ABR-Exca'!$CF$29</f>
        <v>5074.2866356006407</v>
      </c>
    </row>
    <row r="33" spans="2:65" x14ac:dyDescent="0.25">
      <c r="B33" s="166"/>
      <c r="H33">
        <v>7</v>
      </c>
      <c r="I33">
        <f>VF!BB181</f>
        <v>569.21031949978317</v>
      </c>
      <c r="J33">
        <f>I33+F31</f>
        <v>1025.8353912618995</v>
      </c>
      <c r="L33" t="str">
        <f t="shared" si="5"/>
        <v>ABR Siphon</v>
      </c>
      <c r="M33">
        <v>7</v>
      </c>
      <c r="N33">
        <f t="shared" si="16"/>
        <v>46929.008384896661</v>
      </c>
      <c r="P33" t="str">
        <f t="shared" si="7"/>
        <v>Wet Well</v>
      </c>
      <c r="Q33">
        <v>7</v>
      </c>
      <c r="S33" s="166"/>
      <c r="W33">
        <v>7</v>
      </c>
      <c r="X33">
        <f>AHF!BH170</f>
        <v>1331.314308656031</v>
      </c>
      <c r="AD33">
        <v>7</v>
      </c>
      <c r="AE33">
        <f t="shared" si="17"/>
        <v>40637.63147647259</v>
      </c>
      <c r="BG33">
        <v>635.09999999999991</v>
      </c>
      <c r="BH33">
        <v>818.69999999999993</v>
      </c>
      <c r="BI33">
        <v>1553.1000000000001</v>
      </c>
      <c r="BJ33">
        <v>2287.5</v>
      </c>
      <c r="BK33">
        <v>3756.2999999999997</v>
      </c>
      <c r="BL33">
        <v>5592.2999999999993</v>
      </c>
      <c r="BM33">
        <v>7428.2999999999984</v>
      </c>
    </row>
    <row r="34" spans="2:65" x14ac:dyDescent="0.25">
      <c r="B34" s="166"/>
      <c r="H34">
        <v>8</v>
      </c>
      <c r="I34">
        <f>VF!BB182</f>
        <v>498.05902956231029</v>
      </c>
      <c r="L34" t="str">
        <f t="shared" si="5"/>
        <v>ABR Siphon</v>
      </c>
      <c r="M34">
        <v>8</v>
      </c>
      <c r="N34">
        <f t="shared" si="16"/>
        <v>45150.226136459845</v>
      </c>
      <c r="P34" t="str">
        <f t="shared" si="7"/>
        <v>Wet Well</v>
      </c>
      <c r="Q34">
        <v>8</v>
      </c>
      <c r="S34" s="166"/>
      <c r="W34">
        <v>8</v>
      </c>
      <c r="X34">
        <f>AHF!BH171</f>
        <v>1249.8864563123789</v>
      </c>
      <c r="AD34">
        <v>8</v>
      </c>
      <c r="AE34">
        <f t="shared" si="17"/>
        <v>38601.935167881289</v>
      </c>
    </row>
    <row r="35" spans="2:65" x14ac:dyDescent="0.25">
      <c r="B35" s="166"/>
      <c r="H35">
        <v>9</v>
      </c>
      <c r="I35">
        <f>VF!BB183</f>
        <v>442.71913738872024</v>
      </c>
      <c r="L35" t="str">
        <f t="shared" si="5"/>
        <v>ABR Siphon</v>
      </c>
      <c r="M35">
        <v>9</v>
      </c>
      <c r="N35">
        <f t="shared" si="16"/>
        <v>43766.72883212009</v>
      </c>
      <c r="P35" t="str">
        <f t="shared" si="7"/>
        <v>Wet Well</v>
      </c>
      <c r="Q35">
        <v>9</v>
      </c>
      <c r="S35" s="166"/>
      <c r="W35">
        <v>9</v>
      </c>
      <c r="X35">
        <f>AHF!BH172</f>
        <v>1186.5536822673159</v>
      </c>
      <c r="AD35">
        <v>9</v>
      </c>
      <c r="AE35">
        <f t="shared" si="17"/>
        <v>37018.615816754711</v>
      </c>
      <c r="BF35" t="s">
        <v>625</v>
      </c>
      <c r="BG35">
        <f>BG32+BG33</f>
        <v>1522.3674078163481</v>
      </c>
      <c r="BH35">
        <f t="shared" ref="BH35:BM35" si="18">BH32+BH33</f>
        <v>1938.9967700715829</v>
      </c>
      <c r="BI35">
        <f t="shared" si="18"/>
        <v>3504.6323812614041</v>
      </c>
      <c r="BJ35">
        <f t="shared" si="18"/>
        <v>4588.5736941729683</v>
      </c>
      <c r="BK35">
        <f t="shared" si="18"/>
        <v>6733.5132553352578</v>
      </c>
      <c r="BL35">
        <f t="shared" si="18"/>
        <v>9857.3726044703508</v>
      </c>
      <c r="BM35">
        <f t="shared" si="18"/>
        <v>12502.586635600639</v>
      </c>
    </row>
    <row r="36" spans="2:65" x14ac:dyDescent="0.25">
      <c r="B36" s="166"/>
      <c r="H36">
        <v>10</v>
      </c>
      <c r="I36">
        <f>VF!BB184</f>
        <v>398.44722364984824</v>
      </c>
      <c r="L36" t="str">
        <f t="shared" si="5"/>
        <v>ABR Siphon</v>
      </c>
      <c r="M36">
        <v>10</v>
      </c>
      <c r="N36">
        <f t="shared" si="16"/>
        <v>42659.930988648295</v>
      </c>
      <c r="P36" t="str">
        <f t="shared" si="7"/>
        <v>Wet Well</v>
      </c>
      <c r="Q36">
        <v>10</v>
      </c>
      <c r="S36" s="166"/>
      <c r="W36">
        <v>10</v>
      </c>
      <c r="X36">
        <f>AHF!BH173</f>
        <v>1135.8874630312657</v>
      </c>
      <c r="AD36">
        <v>10</v>
      </c>
      <c r="AE36">
        <f t="shared" si="17"/>
        <v>35751.960335853459</v>
      </c>
    </row>
    <row r="37" spans="2:65" x14ac:dyDescent="0.25">
      <c r="B37" s="166">
        <v>75</v>
      </c>
      <c r="C37" t="s">
        <v>980</v>
      </c>
      <c r="D37">
        <f>VF!$BP$28</f>
        <v>31527.84077743419</v>
      </c>
      <c r="F37">
        <f>VF!$N$173</f>
        <v>456.62507176211642</v>
      </c>
      <c r="G37">
        <v>0</v>
      </c>
      <c r="H37">
        <v>5</v>
      </c>
      <c r="I37">
        <f>VF!BM179</f>
        <v>1186.187659302462</v>
      </c>
      <c r="L37" t="str">
        <f>$C$7</f>
        <v>ABR Siphon</v>
      </c>
      <c r="M37">
        <v>5</v>
      </c>
      <c r="N37">
        <f>($F$37+$G$37+I37)*25+$D$37</f>
        <v>72598.15905404865</v>
      </c>
      <c r="P37" t="str">
        <f>$C$8</f>
        <v>Wet Well</v>
      </c>
      <c r="Q37">
        <v>5</v>
      </c>
      <c r="S37" s="166">
        <v>75</v>
      </c>
      <c r="T37" t="s">
        <v>993</v>
      </c>
      <c r="U37">
        <f>AHF!$BR$40</f>
        <v>12600.760636013538</v>
      </c>
      <c r="W37">
        <v>5</v>
      </c>
      <c r="X37">
        <f>AHF!BS168</f>
        <v>2242.3858087724921</v>
      </c>
      <c r="AD37">
        <v>5</v>
      </c>
      <c r="AE37">
        <f>U$37+X37*25</f>
        <v>68660.405855325836</v>
      </c>
    </row>
    <row r="38" spans="2:65" x14ac:dyDescent="0.25">
      <c r="B38" s="166"/>
      <c r="H38">
        <v>6</v>
      </c>
      <c r="I38">
        <f>VF!BM180</f>
        <v>988.48971608538488</v>
      </c>
      <c r="L38" t="str">
        <f t="shared" si="5"/>
        <v>ABR Siphon</v>
      </c>
      <c r="M38">
        <v>6</v>
      </c>
      <c r="N38">
        <f t="shared" ref="N38:N42" si="19">($F$37+$G$37+I38)*25+$D$37</f>
        <v>67655.71047362173</v>
      </c>
      <c r="P38" t="str">
        <f t="shared" si="7"/>
        <v>Wet Well</v>
      </c>
      <c r="Q38">
        <v>6</v>
      </c>
      <c r="S38" s="166"/>
      <c r="W38">
        <v>6</v>
      </c>
      <c r="X38">
        <f>AHF!BS169</f>
        <v>1981.9700889615453</v>
      </c>
      <c r="AD38">
        <v>6</v>
      </c>
      <c r="AE38">
        <f t="shared" ref="AE38:AE42" si="20">U$37+X38*25</f>
        <v>62150.012860052171</v>
      </c>
    </row>
    <row r="39" spans="2:65" x14ac:dyDescent="0.25">
      <c r="B39" s="166"/>
      <c r="H39">
        <v>7</v>
      </c>
      <c r="I39">
        <f>VF!BM181</f>
        <v>847.27689950175852</v>
      </c>
      <c r="J39">
        <f>I39+F37</f>
        <v>1303.9019712638749</v>
      </c>
      <c r="L39" t="str">
        <f t="shared" si="5"/>
        <v>ABR Siphon</v>
      </c>
      <c r="M39">
        <v>7</v>
      </c>
      <c r="N39">
        <f t="shared" si="19"/>
        <v>64125.390059031066</v>
      </c>
      <c r="P39" t="str">
        <f t="shared" si="7"/>
        <v>Wet Well</v>
      </c>
      <c r="Q39">
        <v>7</v>
      </c>
      <c r="S39" s="166"/>
      <c r="W39">
        <v>7</v>
      </c>
      <c r="X39">
        <f>AHF!BS170</f>
        <v>1795.9588605251552</v>
      </c>
      <c r="AD39">
        <v>7</v>
      </c>
      <c r="AE39">
        <f t="shared" si="20"/>
        <v>57499.732149142415</v>
      </c>
    </row>
    <row r="40" spans="2:65" x14ac:dyDescent="0.25">
      <c r="B40" s="166"/>
      <c r="H40">
        <v>8</v>
      </c>
      <c r="I40">
        <f>VF!BM182</f>
        <v>741.36728706403869</v>
      </c>
      <c r="L40" t="str">
        <f t="shared" si="5"/>
        <v>ABR Siphon</v>
      </c>
      <c r="M40">
        <v>8</v>
      </c>
      <c r="N40">
        <f t="shared" si="19"/>
        <v>61477.649748088064</v>
      </c>
      <c r="P40" t="str">
        <f t="shared" si="7"/>
        <v>Wet Well</v>
      </c>
      <c r="Q40">
        <v>8</v>
      </c>
      <c r="S40" s="166"/>
      <c r="W40">
        <v>8</v>
      </c>
      <c r="X40">
        <f>AHF!BS171</f>
        <v>1656.4504391978624</v>
      </c>
      <c r="AD40">
        <v>8</v>
      </c>
      <c r="AE40">
        <f t="shared" si="20"/>
        <v>54012.021615960097</v>
      </c>
    </row>
    <row r="41" spans="2:65" x14ac:dyDescent="0.25">
      <c r="B41" s="166"/>
      <c r="H41">
        <v>9</v>
      </c>
      <c r="I41">
        <f>VF!BM183</f>
        <v>658.99314405692326</v>
      </c>
      <c r="L41" t="str">
        <f t="shared" si="5"/>
        <v>ABR Siphon</v>
      </c>
      <c r="M41">
        <v>9</v>
      </c>
      <c r="N41">
        <f t="shared" si="19"/>
        <v>59418.296172910181</v>
      </c>
      <c r="P41" t="str">
        <f t="shared" si="7"/>
        <v>Wet Well</v>
      </c>
      <c r="Q41">
        <v>9</v>
      </c>
      <c r="S41" s="166"/>
      <c r="W41">
        <v>9</v>
      </c>
      <c r="X41">
        <f>AHF!BS172</f>
        <v>1547.9438892766345</v>
      </c>
      <c r="AD41">
        <v>9</v>
      </c>
      <c r="AE41">
        <f t="shared" si="20"/>
        <v>51299.357867929401</v>
      </c>
    </row>
    <row r="42" spans="2:65" x14ac:dyDescent="0.25">
      <c r="B42" s="166"/>
      <c r="H42">
        <v>10</v>
      </c>
      <c r="I42">
        <f>VF!BM184</f>
        <v>593.09382965123098</v>
      </c>
      <c r="L42" t="str">
        <f t="shared" si="5"/>
        <v>ABR Siphon</v>
      </c>
      <c r="M42">
        <v>10</v>
      </c>
      <c r="N42">
        <f t="shared" si="19"/>
        <v>57770.813312767874</v>
      </c>
      <c r="P42" t="str">
        <f t="shared" si="7"/>
        <v>Wet Well</v>
      </c>
      <c r="Q42">
        <v>10</v>
      </c>
      <c r="S42" s="166"/>
      <c r="W42">
        <v>10</v>
      </c>
      <c r="X42">
        <f>AHF!BS173</f>
        <v>1461.1386493396524</v>
      </c>
      <c r="AD42">
        <v>10</v>
      </c>
      <c r="AE42">
        <f t="shared" si="20"/>
        <v>49129.226869504848</v>
      </c>
    </row>
    <row r="43" spans="2:65" x14ac:dyDescent="0.25">
      <c r="B43" s="166">
        <v>100</v>
      </c>
      <c r="C43" t="s">
        <v>980</v>
      </c>
      <c r="D43">
        <f>VF!$CA$28</f>
        <v>41576.058427982949</v>
      </c>
      <c r="F43">
        <f>VF!$N$173</f>
        <v>456.62507176211642</v>
      </c>
      <c r="G43">
        <v>0</v>
      </c>
      <c r="H43">
        <v>5</v>
      </c>
      <c r="I43">
        <f>VF!BX179</f>
        <v>1581.4732042974176</v>
      </c>
      <c r="L43" t="str">
        <f>$C$7</f>
        <v>ABR Siphon</v>
      </c>
      <c r="M43">
        <v>5</v>
      </c>
      <c r="N43">
        <f>($F$43+$G$43+I43)*25+$D$43</f>
        <v>92528.515329471295</v>
      </c>
      <c r="P43" t="str">
        <f>$C$8</f>
        <v>Wet Well</v>
      </c>
      <c r="Q43">
        <v>5</v>
      </c>
      <c r="S43" s="166">
        <v>100</v>
      </c>
      <c r="T43" t="s">
        <v>993</v>
      </c>
      <c r="U43">
        <f>AHF!$CC$40</f>
        <v>15820.197359661826</v>
      </c>
      <c r="W43">
        <v>5</v>
      </c>
      <c r="X43">
        <f>AHF!CD168</f>
        <v>2641.5959625048795</v>
      </c>
      <c r="AD43">
        <v>5</v>
      </c>
      <c r="AE43">
        <f>U$43+X43*25</f>
        <v>81860.096422283823</v>
      </c>
    </row>
    <row r="44" spans="2:65" x14ac:dyDescent="0.25">
      <c r="B44" s="166"/>
      <c r="H44">
        <v>6</v>
      </c>
      <c r="I44">
        <f>VF!BX180</f>
        <v>1317.8943369145147</v>
      </c>
      <c r="L44" t="str">
        <f t="shared" si="5"/>
        <v>ABR Siphon</v>
      </c>
      <c r="M44">
        <v>6</v>
      </c>
      <c r="N44">
        <f t="shared" ref="N44:N47" si="21">($F$43+$G$43+I44)*25+$D$43</f>
        <v>85939.043644898731</v>
      </c>
      <c r="P44" t="str">
        <f t="shared" si="7"/>
        <v>Wet Well</v>
      </c>
      <c r="Q44">
        <v>6</v>
      </c>
      <c r="S44" s="166"/>
      <c r="W44">
        <v>6</v>
      </c>
      <c r="X44">
        <f>AHF!CD169</f>
        <v>2314.6452170718685</v>
      </c>
      <c r="AD44">
        <v>6</v>
      </c>
      <c r="AE44">
        <f t="shared" ref="AE44:AE48" si="22">U$43+X44*25</f>
        <v>73686.32778645854</v>
      </c>
    </row>
    <row r="45" spans="2:65" x14ac:dyDescent="0.25">
      <c r="B45" s="166"/>
      <c r="H45">
        <v>7</v>
      </c>
      <c r="I45">
        <f>VF!BX181</f>
        <v>1129.6237173552984</v>
      </c>
      <c r="J45">
        <f>I45+F43</f>
        <v>1586.2487891174148</v>
      </c>
      <c r="L45" t="str">
        <f t="shared" si="5"/>
        <v>ABR Siphon</v>
      </c>
      <c r="M45">
        <v>7</v>
      </c>
      <c r="N45">
        <f t="shared" si="21"/>
        <v>81232.27815591832</v>
      </c>
      <c r="P45" t="str">
        <f t="shared" si="7"/>
        <v>Wet Well</v>
      </c>
      <c r="Q45">
        <v>7</v>
      </c>
      <c r="S45" s="166"/>
      <c r="W45">
        <v>7</v>
      </c>
      <c r="X45">
        <f>AHF!CD170</f>
        <v>2081.1089703340035</v>
      </c>
      <c r="AD45">
        <v>7</v>
      </c>
      <c r="AE45">
        <f>U$43+X45*25</f>
        <v>67847.921618011911</v>
      </c>
    </row>
    <row r="46" spans="2:65" x14ac:dyDescent="0.25">
      <c r="B46" s="166"/>
      <c r="H46">
        <v>8</v>
      </c>
      <c r="I46">
        <f>VF!BX182</f>
        <v>988.42075268588599</v>
      </c>
      <c r="L46" t="str">
        <f t="shared" si="5"/>
        <v>ABR Siphon</v>
      </c>
      <c r="M46">
        <v>8</v>
      </c>
      <c r="N46">
        <f t="shared" si="21"/>
        <v>77702.204039183009</v>
      </c>
      <c r="P46" t="str">
        <f t="shared" si="7"/>
        <v>Wet Well</v>
      </c>
      <c r="Q46">
        <v>8</v>
      </c>
      <c r="S46" s="166"/>
      <c r="W46">
        <v>8</v>
      </c>
      <c r="X46">
        <f>AHF!CD171</f>
        <v>1905.9567852806047</v>
      </c>
      <c r="AD46">
        <v>8</v>
      </c>
      <c r="AE46">
        <f t="shared" si="22"/>
        <v>63469.116991676943</v>
      </c>
    </row>
    <row r="47" spans="2:65" x14ac:dyDescent="0.25">
      <c r="B47" s="166"/>
      <c r="H47">
        <v>9</v>
      </c>
      <c r="I47">
        <f>VF!BX183</f>
        <v>878.59622460967648</v>
      </c>
      <c r="L47" t="str">
        <f t="shared" si="5"/>
        <v>ABR Siphon</v>
      </c>
      <c r="M47">
        <v>9</v>
      </c>
      <c r="N47">
        <f t="shared" si="21"/>
        <v>74956.590837277763</v>
      </c>
      <c r="P47" t="str">
        <f t="shared" si="7"/>
        <v>Wet Well</v>
      </c>
      <c r="Q47">
        <v>9</v>
      </c>
      <c r="S47" s="166"/>
      <c r="W47">
        <v>9</v>
      </c>
      <c r="X47">
        <f>AHF!CD172</f>
        <v>1769.72730801685</v>
      </c>
      <c r="AD47">
        <v>9</v>
      </c>
      <c r="AE47">
        <f t="shared" si="22"/>
        <v>60063.380060083073</v>
      </c>
    </row>
    <row r="48" spans="2:65" x14ac:dyDescent="0.25">
      <c r="B48" s="166"/>
      <c r="H48">
        <v>10</v>
      </c>
      <c r="I48">
        <f>VF!BX184</f>
        <v>790.73660214870881</v>
      </c>
      <c r="L48" t="str">
        <f t="shared" si="5"/>
        <v>ABR Siphon</v>
      </c>
      <c r="M48">
        <v>10</v>
      </c>
      <c r="N48">
        <f>($F$43+$G$43+I48)*25+$D$43</f>
        <v>72760.100275753575</v>
      </c>
      <c r="P48" t="str">
        <f t="shared" si="7"/>
        <v>Wet Well</v>
      </c>
      <c r="Q48">
        <v>10</v>
      </c>
      <c r="S48" s="166"/>
      <c r="W48">
        <v>10</v>
      </c>
      <c r="X48">
        <f>AHF!CD173</f>
        <v>1660.7437262058463</v>
      </c>
      <c r="AD48">
        <v>10</v>
      </c>
      <c r="AE48">
        <f t="shared" si="22"/>
        <v>57338.790514807981</v>
      </c>
    </row>
    <row r="49" spans="2:31" x14ac:dyDescent="0.25">
      <c r="B49" s="166">
        <v>150</v>
      </c>
      <c r="C49" t="s">
        <v>980</v>
      </c>
      <c r="D49">
        <f>VF!$CL$111</f>
        <v>81352.024284242914</v>
      </c>
      <c r="F49">
        <f>VF!$N$173</f>
        <v>456.62507176211642</v>
      </c>
      <c r="G49">
        <v>0</v>
      </c>
      <c r="H49">
        <v>5</v>
      </c>
      <c r="I49">
        <f>VF!CI179</f>
        <v>2372.1047105649241</v>
      </c>
      <c r="L49" t="str">
        <f>$C$7</f>
        <v>ABR Siphon</v>
      </c>
      <c r="M49">
        <v>5</v>
      </c>
      <c r="N49">
        <f>($F$49+$G$49+I49)*25+$D$49</f>
        <v>152070.26884241891</v>
      </c>
      <c r="P49" t="str">
        <f>$C$8</f>
        <v>Wet Well</v>
      </c>
      <c r="Q49">
        <v>5</v>
      </c>
      <c r="S49" s="166">
        <v>150</v>
      </c>
      <c r="T49" t="s">
        <v>993</v>
      </c>
      <c r="U49">
        <f>AHF!$CN$40</f>
        <v>20926.619010306003</v>
      </c>
      <c r="W49">
        <v>5</v>
      </c>
      <c r="X49">
        <f>AHF!CO168</f>
        <v>3327.8220241078343</v>
      </c>
      <c r="AD49">
        <v>5</v>
      </c>
      <c r="AE49">
        <f>U$49+X49*25</f>
        <v>104122.16961300187</v>
      </c>
    </row>
    <row r="50" spans="2:31" x14ac:dyDescent="0.25">
      <c r="B50" s="166"/>
      <c r="H50">
        <v>6</v>
      </c>
      <c r="I50">
        <f>VF!CI180</f>
        <v>1976.7539254707699</v>
      </c>
      <c r="L50" t="str">
        <f t="shared" si="5"/>
        <v>ABR Siphon</v>
      </c>
      <c r="M50">
        <v>6</v>
      </c>
      <c r="N50">
        <f t="shared" ref="N50:N54" si="23">($F$49+$G$49+I50)*25+$D$49</f>
        <v>142186.49921506507</v>
      </c>
      <c r="P50" t="str">
        <f t="shared" si="7"/>
        <v>Wet Well</v>
      </c>
      <c r="Q50">
        <v>6</v>
      </c>
      <c r="S50" s="166"/>
      <c r="W50">
        <v>6</v>
      </c>
      <c r="X50">
        <f>AHF!CO169</f>
        <v>2895.3385645615103</v>
      </c>
      <c r="AD50">
        <v>6</v>
      </c>
      <c r="AE50">
        <f t="shared" ref="AE50:AE54" si="24">U$49+X50*25</f>
        <v>93310.083124343771</v>
      </c>
    </row>
    <row r="51" spans="2:31" x14ac:dyDescent="0.25">
      <c r="B51" s="166"/>
      <c r="H51">
        <v>7</v>
      </c>
      <c r="I51">
        <f>VF!CI181</f>
        <v>1694.3605075463743</v>
      </c>
      <c r="J51">
        <f>I51+F49</f>
        <v>2150.9855793084907</v>
      </c>
      <c r="L51" t="str">
        <f t="shared" si="5"/>
        <v>ABR Siphon</v>
      </c>
      <c r="M51">
        <v>7</v>
      </c>
      <c r="N51">
        <f t="shared" si="23"/>
        <v>135126.6637669552</v>
      </c>
      <c r="P51" t="str">
        <f t="shared" si="7"/>
        <v>Wet Well</v>
      </c>
      <c r="Q51">
        <v>7</v>
      </c>
      <c r="S51" s="166"/>
      <c r="W51">
        <v>7</v>
      </c>
      <c r="X51">
        <f>AHF!CO170</f>
        <v>2586.4218077427072</v>
      </c>
      <c r="AD51">
        <v>7</v>
      </c>
      <c r="AE51">
        <f t="shared" si="24"/>
        <v>85587.16420387369</v>
      </c>
    </row>
    <row r="52" spans="2:31" x14ac:dyDescent="0.25">
      <c r="B52" s="166"/>
      <c r="H52">
        <v>8</v>
      </c>
      <c r="I52">
        <f>VF!CI182</f>
        <v>1482.5654441030774</v>
      </c>
      <c r="L52" t="str">
        <f t="shared" si="5"/>
        <v>ABR Siphon</v>
      </c>
      <c r="M52">
        <v>8</v>
      </c>
      <c r="N52">
        <f t="shared" si="23"/>
        <v>129831.78718087277</v>
      </c>
      <c r="P52" t="str">
        <f t="shared" si="7"/>
        <v>Wet Well</v>
      </c>
      <c r="Q52">
        <v>8</v>
      </c>
      <c r="S52" s="166"/>
      <c r="W52">
        <v>8</v>
      </c>
      <c r="X52">
        <f>AHF!CO171</f>
        <v>2354.7342401286051</v>
      </c>
      <c r="AD52">
        <v>8</v>
      </c>
      <c r="AE52">
        <f t="shared" si="24"/>
        <v>79794.975013521136</v>
      </c>
    </row>
    <row r="53" spans="2:31" x14ac:dyDescent="0.25">
      <c r="B53" s="166"/>
      <c r="H53">
        <v>9</v>
      </c>
      <c r="I53">
        <f>VF!CI183</f>
        <v>1317.8359503138465</v>
      </c>
      <c r="L53" t="str">
        <f t="shared" si="5"/>
        <v>ABR Siphon</v>
      </c>
      <c r="M53">
        <v>9</v>
      </c>
      <c r="N53">
        <f t="shared" si="23"/>
        <v>125713.54983614199</v>
      </c>
      <c r="P53" t="str">
        <f t="shared" si="7"/>
        <v>Wet Well</v>
      </c>
      <c r="Q53">
        <v>9</v>
      </c>
      <c r="S53" s="166"/>
      <c r="W53">
        <v>9</v>
      </c>
      <c r="X53">
        <f>AHF!CO172</f>
        <v>2174.5327986509706</v>
      </c>
      <c r="AD53">
        <v>9</v>
      </c>
      <c r="AE53">
        <f t="shared" si="24"/>
        <v>75289.938976580263</v>
      </c>
    </row>
    <row r="54" spans="2:31" x14ac:dyDescent="0.25">
      <c r="B54" s="166"/>
      <c r="H54">
        <v>10</v>
      </c>
      <c r="I54">
        <f>VF!CI184</f>
        <v>1186.052355282462</v>
      </c>
      <c r="L54" t="str">
        <f t="shared" si="5"/>
        <v>ABR Siphon</v>
      </c>
      <c r="M54">
        <v>10</v>
      </c>
      <c r="N54">
        <f t="shared" si="23"/>
        <v>122418.95996035737</v>
      </c>
      <c r="P54" t="str">
        <f t="shared" si="7"/>
        <v>Wet Well</v>
      </c>
      <c r="Q54">
        <v>10</v>
      </c>
      <c r="S54" s="166"/>
      <c r="W54">
        <v>10</v>
      </c>
      <c r="X54">
        <f>AHF!CO173</f>
        <v>2030.3716454688624</v>
      </c>
      <c r="AD54">
        <v>10</v>
      </c>
      <c r="AE54">
        <f t="shared" si="24"/>
        <v>71685.910147027564</v>
      </c>
    </row>
    <row r="55" spans="2:31" x14ac:dyDescent="0.25">
      <c r="B55" s="166">
        <v>200</v>
      </c>
      <c r="C55" t="s">
        <v>980</v>
      </c>
      <c r="D55">
        <f>VF!$CW$111</f>
        <v>107054.98514383459</v>
      </c>
      <c r="F55">
        <f>VF!$N$173</f>
        <v>456.62507176211642</v>
      </c>
      <c r="G55">
        <v>0</v>
      </c>
      <c r="H55">
        <v>5</v>
      </c>
      <c r="I55">
        <f>VF!CT179</f>
        <v>3162.675800554835</v>
      </c>
      <c r="L55" t="str">
        <f>$C$7</f>
        <v>ABR Siphon</v>
      </c>
      <c r="M55">
        <v>5</v>
      </c>
      <c r="N55">
        <f>($F$55+$G$55+I55)*25+$D$55</f>
        <v>197537.50695175838</v>
      </c>
      <c r="P55" t="str">
        <f>$C$8</f>
        <v>Wet Well</v>
      </c>
      <c r="Q55">
        <v>5</v>
      </c>
      <c r="S55" s="166">
        <v>200</v>
      </c>
      <c r="T55" t="s">
        <v>993</v>
      </c>
      <c r="U55">
        <f>AHF!$CY$40</f>
        <v>28556.630030461383</v>
      </c>
      <c r="W55">
        <v>5</v>
      </c>
      <c r="X55">
        <f>AHF!CZ168</f>
        <v>4273.9433906071017</v>
      </c>
      <c r="AD55">
        <v>5</v>
      </c>
      <c r="AE55">
        <f>U$55+X55*25</f>
        <v>135405.21479563892</v>
      </c>
    </row>
    <row r="56" spans="2:31" x14ac:dyDescent="0.25">
      <c r="B56" s="166"/>
      <c r="H56">
        <v>6</v>
      </c>
      <c r="I56">
        <f>VF!CT180</f>
        <v>2635.5631671290289</v>
      </c>
      <c r="L56" t="str">
        <f t="shared" si="5"/>
        <v>ABR Siphon</v>
      </c>
      <c r="M56">
        <v>6</v>
      </c>
      <c r="N56">
        <f t="shared" ref="N56:N60" si="25">($F$55+$G$55+I56)*25+$D$55</f>
        <v>184359.69111611322</v>
      </c>
      <c r="P56" t="str">
        <f t="shared" si="7"/>
        <v>Wet Well</v>
      </c>
      <c r="Q56">
        <v>6</v>
      </c>
      <c r="S56" s="166"/>
      <c r="W56">
        <v>6</v>
      </c>
      <c r="X56">
        <f>AHF!CZ169</f>
        <v>3683.7730366442329</v>
      </c>
      <c r="AD56">
        <v>6</v>
      </c>
      <c r="AE56">
        <f t="shared" ref="AE56:AE60" si="26">U$55+X56*25</f>
        <v>120650.95594656721</v>
      </c>
    </row>
    <row r="57" spans="2:31" x14ac:dyDescent="0.25">
      <c r="B57" s="166"/>
      <c r="H57">
        <v>7</v>
      </c>
      <c r="I57">
        <f>VF!CT181</f>
        <v>2259.0541432534533</v>
      </c>
      <c r="J57">
        <f>I57+F55</f>
        <v>2715.6792150155698</v>
      </c>
      <c r="L57" t="str">
        <f t="shared" si="5"/>
        <v>ABR Siphon</v>
      </c>
      <c r="M57">
        <v>7</v>
      </c>
      <c r="N57">
        <f t="shared" si="25"/>
        <v>174946.96551922383</v>
      </c>
      <c r="P57" t="str">
        <f t="shared" si="7"/>
        <v>Wet Well</v>
      </c>
      <c r="Q57">
        <v>7</v>
      </c>
      <c r="S57" s="166"/>
      <c r="W57">
        <v>7</v>
      </c>
      <c r="X57">
        <f>AHF!CZ170</f>
        <v>3262.2227838136128</v>
      </c>
      <c r="AD57">
        <v>7</v>
      </c>
      <c r="AE57">
        <f t="shared" si="26"/>
        <v>110112.1996258017</v>
      </c>
    </row>
    <row r="58" spans="2:31" x14ac:dyDescent="0.25">
      <c r="B58" s="166"/>
      <c r="H58">
        <v>8</v>
      </c>
      <c r="I58">
        <f>VF!CT182</f>
        <v>1976.6723753467718</v>
      </c>
      <c r="L58" t="str">
        <f t="shared" si="5"/>
        <v>ABR Siphon</v>
      </c>
      <c r="M58">
        <v>8</v>
      </c>
      <c r="N58">
        <f t="shared" si="25"/>
        <v>167887.42132155679</v>
      </c>
      <c r="P58" t="str">
        <f t="shared" si="7"/>
        <v>Wet Well</v>
      </c>
      <c r="Q58">
        <v>8</v>
      </c>
      <c r="S58" s="166"/>
      <c r="W58">
        <v>8</v>
      </c>
      <c r="X58">
        <f>AHF!CZ171</f>
        <v>2946.0600941906473</v>
      </c>
      <c r="AD58">
        <v>8</v>
      </c>
      <c r="AE58">
        <f t="shared" si="26"/>
        <v>102208.13238522757</v>
      </c>
    </row>
    <row r="59" spans="2:31" x14ac:dyDescent="0.25">
      <c r="B59" s="166"/>
      <c r="H59">
        <v>9</v>
      </c>
      <c r="I59">
        <f>VF!CT183</f>
        <v>1757.0421114193528</v>
      </c>
      <c r="L59" t="str">
        <f t="shared" si="5"/>
        <v>ABR Siphon</v>
      </c>
      <c r="M59">
        <v>9</v>
      </c>
      <c r="N59">
        <f t="shared" si="25"/>
        <v>162396.66472337133</v>
      </c>
      <c r="P59" t="str">
        <f t="shared" si="7"/>
        <v>Wet Well</v>
      </c>
      <c r="Q59">
        <v>9</v>
      </c>
      <c r="S59" s="166"/>
      <c r="W59">
        <v>9</v>
      </c>
      <c r="X59">
        <f>AHF!CZ172</f>
        <v>2700.1557800394521</v>
      </c>
      <c r="AD59">
        <v>9</v>
      </c>
      <c r="AE59">
        <f t="shared" si="26"/>
        <v>96060.524531447692</v>
      </c>
    </row>
    <row r="60" spans="2:31" x14ac:dyDescent="0.25">
      <c r="B60" s="166"/>
      <c r="H60">
        <v>10</v>
      </c>
      <c r="I60">
        <f>VF!CT184</f>
        <v>1581.3379002774175</v>
      </c>
      <c r="L60" t="str">
        <f t="shared" si="5"/>
        <v>ABR Siphon</v>
      </c>
      <c r="M60">
        <v>10</v>
      </c>
      <c r="N60">
        <f t="shared" si="25"/>
        <v>158004.05944482295</v>
      </c>
      <c r="P60" t="str">
        <f t="shared" si="7"/>
        <v>Wet Well</v>
      </c>
      <c r="Q60">
        <v>10</v>
      </c>
      <c r="S60" s="166"/>
      <c r="W60">
        <v>10</v>
      </c>
      <c r="X60">
        <f>AHF!CZ173</f>
        <v>2503.4323287184957</v>
      </c>
      <c r="AD60">
        <v>10</v>
      </c>
      <c r="AE60">
        <f t="shared" si="26"/>
        <v>91142.438248423772</v>
      </c>
    </row>
    <row r="61" spans="2:31" x14ac:dyDescent="0.25">
      <c r="B61" s="166">
        <v>300</v>
      </c>
      <c r="C61" t="s">
        <v>980</v>
      </c>
      <c r="D61">
        <f>VF!$DH$111</f>
        <v>160581.80389351587</v>
      </c>
      <c r="F61">
        <f>VF!$N$173</f>
        <v>456.62507176211642</v>
      </c>
      <c r="G61">
        <v>0</v>
      </c>
      <c r="H61">
        <v>5</v>
      </c>
      <c r="I61">
        <f>VF!DE179</f>
        <v>4743.8783968122534</v>
      </c>
      <c r="L61" t="str">
        <f>$C$7</f>
        <v>ABR Siphon</v>
      </c>
      <c r="M61">
        <v>5</v>
      </c>
      <c r="N61">
        <f>($F$61+$G$61+I61)*25+$D$61</f>
        <v>290594.39060787507</v>
      </c>
      <c r="P61" t="str">
        <f>$C$8</f>
        <v>Wet Well</v>
      </c>
      <c r="Q61">
        <v>5</v>
      </c>
      <c r="S61" s="166">
        <v>300</v>
      </c>
      <c r="T61" t="s">
        <v>993</v>
      </c>
      <c r="U61">
        <f>AHF!$DJ$40</f>
        <v>41378.118820612006</v>
      </c>
      <c r="W61">
        <v>5</v>
      </c>
      <c r="X61">
        <f>AHF!DK168</f>
        <v>5990.5148467396248</v>
      </c>
      <c r="AD61">
        <v>5</v>
      </c>
      <c r="AE61">
        <f>U$61+X61*25</f>
        <v>191140.98998910261</v>
      </c>
    </row>
    <row r="62" spans="2:31" x14ac:dyDescent="0.25">
      <c r="B62" s="166"/>
      <c r="H62">
        <v>6</v>
      </c>
      <c r="I62">
        <f>VF!DE180</f>
        <v>3953.2319973435442</v>
      </c>
      <c r="L62" t="str">
        <f t="shared" si="5"/>
        <v>ABR Siphon</v>
      </c>
      <c r="M62">
        <v>6</v>
      </c>
      <c r="N62">
        <f t="shared" ref="N62:N66" si="27">($F$61+$G$61+I62)*25+$D$61</f>
        <v>270828.23062115739</v>
      </c>
      <c r="P62" t="str">
        <f t="shared" si="7"/>
        <v>Wet Well</v>
      </c>
      <c r="Q62">
        <v>6</v>
      </c>
      <c r="S62" s="166"/>
      <c r="W62">
        <v>6</v>
      </c>
      <c r="X62">
        <f>AHF!DK169</f>
        <v>5135.3670577803096</v>
      </c>
      <c r="AD62">
        <v>6</v>
      </c>
      <c r="AE62">
        <f t="shared" ref="AE62:AE66" si="28">U$61+X62*25</f>
        <v>169762.29526511976</v>
      </c>
    </row>
    <row r="63" spans="2:31" x14ac:dyDescent="0.25">
      <c r="B63" s="166"/>
      <c r="H63">
        <v>7</v>
      </c>
      <c r="I63">
        <f>VF!DE181</f>
        <v>3388.4845691516093</v>
      </c>
      <c r="J63">
        <f>I63+F61</f>
        <v>3845.1096409137258</v>
      </c>
      <c r="L63" t="str">
        <f t="shared" si="5"/>
        <v>ABR Siphon</v>
      </c>
      <c r="M63">
        <v>7</v>
      </c>
      <c r="N63">
        <f t="shared" si="27"/>
        <v>256709.54491635901</v>
      </c>
      <c r="P63" t="str">
        <f t="shared" si="7"/>
        <v>Wet Well</v>
      </c>
      <c r="Q63">
        <v>7</v>
      </c>
      <c r="S63" s="166"/>
      <c r="W63">
        <v>7</v>
      </c>
      <c r="X63">
        <f>AHF!DK170</f>
        <v>4524.547208523657</v>
      </c>
      <c r="AD63">
        <v>7</v>
      </c>
      <c r="AE63">
        <f t="shared" si="28"/>
        <v>154491.79903370343</v>
      </c>
    </row>
    <row r="64" spans="2:31" x14ac:dyDescent="0.25">
      <c r="B64" s="166"/>
      <c r="H64">
        <v>8</v>
      </c>
      <c r="I64">
        <f>VF!DE182</f>
        <v>2964.9239980076582</v>
      </c>
      <c r="L64" t="str">
        <f t="shared" si="5"/>
        <v>ABR Siphon</v>
      </c>
      <c r="M64">
        <v>8</v>
      </c>
      <c r="N64">
        <f t="shared" si="27"/>
        <v>246120.53063776024</v>
      </c>
      <c r="P64" t="str">
        <f t="shared" si="7"/>
        <v>Wet Well</v>
      </c>
      <c r="Q64">
        <v>8</v>
      </c>
      <c r="S64" s="166"/>
      <c r="W64">
        <v>8</v>
      </c>
      <c r="X64">
        <f>AHF!DK171</f>
        <v>4066.4323215811664</v>
      </c>
      <c r="AD64">
        <v>8</v>
      </c>
      <c r="AE64">
        <f t="shared" si="28"/>
        <v>143038.92686014116</v>
      </c>
    </row>
    <row r="65" spans="2:31" x14ac:dyDescent="0.25">
      <c r="B65" s="166"/>
      <c r="H65">
        <v>9</v>
      </c>
      <c r="I65">
        <f>VF!DE183</f>
        <v>2635.4879982290295</v>
      </c>
      <c r="L65" t="str">
        <f t="shared" si="5"/>
        <v>ABR Siphon</v>
      </c>
      <c r="M65">
        <v>9</v>
      </c>
      <c r="N65">
        <f t="shared" si="27"/>
        <v>237884.63064329451</v>
      </c>
      <c r="P65" t="str">
        <f t="shared" si="7"/>
        <v>Wet Well</v>
      </c>
      <c r="Q65">
        <v>9</v>
      </c>
      <c r="S65" s="166"/>
      <c r="W65">
        <v>9</v>
      </c>
      <c r="X65">
        <f>AHF!DK172</f>
        <v>3710.1207428481184</v>
      </c>
      <c r="AD65">
        <v>9</v>
      </c>
      <c r="AE65">
        <f t="shared" si="28"/>
        <v>134131.13739181496</v>
      </c>
    </row>
    <row r="66" spans="2:31" x14ac:dyDescent="0.25">
      <c r="B66" s="166"/>
      <c r="H66">
        <v>10</v>
      </c>
      <c r="I66">
        <f>VF!DE184</f>
        <v>2371.9391984061267</v>
      </c>
      <c r="L66" t="str">
        <f t="shared" si="5"/>
        <v>ABR Siphon</v>
      </c>
      <c r="M66">
        <v>10</v>
      </c>
      <c r="N66">
        <f t="shared" si="27"/>
        <v>231295.91064772196</v>
      </c>
      <c r="P66" t="str">
        <f t="shared" si="7"/>
        <v>Wet Well</v>
      </c>
      <c r="Q66">
        <v>10</v>
      </c>
      <c r="S66" s="166"/>
      <c r="W66">
        <v>10</v>
      </c>
      <c r="X66">
        <f>AHF!DK173</f>
        <v>3425.0714798616809</v>
      </c>
      <c r="AD66">
        <v>10</v>
      </c>
      <c r="AE66">
        <f t="shared" si="28"/>
        <v>127004.90581715404</v>
      </c>
    </row>
    <row r="67" spans="2:31" x14ac:dyDescent="0.25">
      <c r="B67" s="166">
        <v>400</v>
      </c>
      <c r="C67" t="s">
        <v>980</v>
      </c>
      <c r="D67">
        <f>VF!$DS$111</f>
        <v>214108.62264319713</v>
      </c>
      <c r="F67">
        <f>VF!$N$173</f>
        <v>456.62507176211642</v>
      </c>
      <c r="G67">
        <v>0</v>
      </c>
      <c r="H67">
        <v>5</v>
      </c>
      <c r="I67">
        <f>VF!DP179</f>
        <v>6325.0809930696705</v>
      </c>
      <c r="L67" t="str">
        <f>$C$7</f>
        <v>ABR Siphon</v>
      </c>
      <c r="M67">
        <v>5</v>
      </c>
      <c r="N67">
        <f>($F$67+$G$67+I67)*25+$D$67</f>
        <v>383651.2742639918</v>
      </c>
      <c r="P67" t="str">
        <f>$C$8</f>
        <v>Wet Well</v>
      </c>
      <c r="Q67">
        <v>5</v>
      </c>
      <c r="S67" s="166">
        <v>400</v>
      </c>
      <c r="T67" t="s">
        <v>993</v>
      </c>
      <c r="U67">
        <f>AHF!$DU$40</f>
        <v>56859.596860922771</v>
      </c>
      <c r="W67">
        <v>5</v>
      </c>
      <c r="X67">
        <f>AHF!DV168</f>
        <v>7910.2181237381601</v>
      </c>
      <c r="AD67">
        <v>5</v>
      </c>
      <c r="AE67">
        <f>U$67+X67*25</f>
        <v>254615.04995437677</v>
      </c>
    </row>
    <row r="68" spans="2:31" x14ac:dyDescent="0.25">
      <c r="B68" s="166"/>
      <c r="H68">
        <v>6</v>
      </c>
      <c r="I68">
        <f>VF!DP180</f>
        <v>5270.9008275580591</v>
      </c>
      <c r="L68" t="str">
        <f t="shared" si="5"/>
        <v>ABR Siphon</v>
      </c>
      <c r="M68">
        <v>6</v>
      </c>
      <c r="N68">
        <f t="shared" ref="N68:N72" si="29">($F$67+$G$67+I68)*25+$D$67</f>
        <v>357296.7701262015</v>
      </c>
      <c r="P68" t="str">
        <f t="shared" si="7"/>
        <v>Wet Well</v>
      </c>
      <c r="Q68">
        <v>6</v>
      </c>
      <c r="S68" s="166"/>
      <c r="W68">
        <v>6</v>
      </c>
      <c r="X68">
        <f>AHF!DV169</f>
        <v>6735.1197886124228</v>
      </c>
      <c r="AD68">
        <v>6</v>
      </c>
      <c r="AE68">
        <f t="shared" ref="AE68:AE72" si="30">U$67+X68*25</f>
        <v>225237.59157623333</v>
      </c>
    </row>
    <row r="69" spans="2:31" x14ac:dyDescent="0.25">
      <c r="B69" s="166"/>
      <c r="H69">
        <v>7</v>
      </c>
      <c r="I69">
        <f>VF!DP181</f>
        <v>4517.9149950497649</v>
      </c>
      <c r="J69">
        <f>I69+F67</f>
        <v>4974.5400668118809</v>
      </c>
      <c r="L69" t="str">
        <f t="shared" si="5"/>
        <v>ABR Siphon</v>
      </c>
      <c r="M69">
        <v>7</v>
      </c>
      <c r="N69">
        <f t="shared" si="29"/>
        <v>338472.12431349413</v>
      </c>
      <c r="P69" t="str">
        <f t="shared" si="7"/>
        <v>Wet Well</v>
      </c>
      <c r="Q69">
        <v>7</v>
      </c>
      <c r="S69" s="166"/>
      <c r="W69">
        <v>7</v>
      </c>
      <c r="X69">
        <f>AHF!DV170</f>
        <v>5895.7638349511817</v>
      </c>
      <c r="AD69">
        <v>7</v>
      </c>
      <c r="AE69">
        <f t="shared" si="30"/>
        <v>204253.69273470232</v>
      </c>
    </row>
    <row r="70" spans="2:31" x14ac:dyDescent="0.25">
      <c r="B70" s="166"/>
      <c r="H70">
        <v>8</v>
      </c>
      <c r="I70">
        <f>VF!DP182</f>
        <v>3953.1756206685441</v>
      </c>
      <c r="L70" t="str">
        <f t="shared" si="5"/>
        <v>ABR Siphon</v>
      </c>
      <c r="M70">
        <v>8</v>
      </c>
      <c r="N70">
        <f t="shared" si="29"/>
        <v>324353.63995396363</v>
      </c>
      <c r="P70" t="str">
        <f t="shared" si="7"/>
        <v>Wet Well</v>
      </c>
      <c r="Q70">
        <v>8</v>
      </c>
      <c r="S70" s="166"/>
      <c r="W70">
        <v>8</v>
      </c>
      <c r="X70">
        <f>AHF!DV171</f>
        <v>5266.2468697052509</v>
      </c>
      <c r="AD70">
        <v>8</v>
      </c>
      <c r="AE70">
        <f t="shared" si="30"/>
        <v>188515.76860355405</v>
      </c>
    </row>
    <row r="71" spans="2:31" x14ac:dyDescent="0.25">
      <c r="B71" s="166"/>
      <c r="H71">
        <v>9</v>
      </c>
      <c r="I71">
        <f>VF!DP183</f>
        <v>3513.9338850387057</v>
      </c>
      <c r="L71" t="str">
        <f t="shared" si="5"/>
        <v>ABR Siphon</v>
      </c>
      <c r="M71">
        <v>9</v>
      </c>
      <c r="N71">
        <f t="shared" si="29"/>
        <v>313372.5965632177</v>
      </c>
      <c r="P71" t="str">
        <f t="shared" si="7"/>
        <v>Wet Well</v>
      </c>
      <c r="Q71">
        <v>9</v>
      </c>
      <c r="S71" s="166"/>
      <c r="W71">
        <v>9</v>
      </c>
      <c r="X71">
        <f>AHF!DV172</f>
        <v>4776.6225634028606</v>
      </c>
      <c r="AD71">
        <v>9</v>
      </c>
      <c r="AE71">
        <f t="shared" si="30"/>
        <v>176275.16094599428</v>
      </c>
    </row>
    <row r="72" spans="2:31" x14ac:dyDescent="0.25">
      <c r="B72" s="166"/>
      <c r="H72">
        <v>10</v>
      </c>
      <c r="I72">
        <f>VF!DP184</f>
        <v>3162.5404965348353</v>
      </c>
      <c r="L72" t="str">
        <f t="shared" ref="L72" si="31">$C$7</f>
        <v>ABR Siphon</v>
      </c>
      <c r="M72">
        <v>10</v>
      </c>
      <c r="N72">
        <f t="shared" si="29"/>
        <v>304587.76185062091</v>
      </c>
      <c r="P72" t="str">
        <f t="shared" ref="P72" si="32">$C$8</f>
        <v>Wet Well</v>
      </c>
      <c r="Q72">
        <v>10</v>
      </c>
      <c r="S72" s="166"/>
      <c r="W72">
        <v>10</v>
      </c>
      <c r="X72">
        <f>AHF!DV173</f>
        <v>4384.9231183609481</v>
      </c>
      <c r="AD72">
        <v>10</v>
      </c>
      <c r="AE72">
        <f t="shared" si="30"/>
        <v>166482.67481994646</v>
      </c>
    </row>
    <row r="73" spans="2:31" x14ac:dyDescent="0.25">
      <c r="B73" s="166">
        <v>500</v>
      </c>
      <c r="C73" t="s">
        <v>980</v>
      </c>
      <c r="D73">
        <f>VF!$ED$111</f>
        <v>264447.09690722253</v>
      </c>
      <c r="F73">
        <f>VF!$N$173</f>
        <v>456.62507176211642</v>
      </c>
      <c r="G73">
        <v>0</v>
      </c>
      <c r="H73">
        <v>5</v>
      </c>
      <c r="I73">
        <f>VF!EA179</f>
        <v>7878.3353624193714</v>
      </c>
      <c r="L73" t="str">
        <f>$C$7</f>
        <v>ABR Siphon</v>
      </c>
      <c r="M73">
        <v>5</v>
      </c>
      <c r="N73">
        <f>($F$73+$G$73+I73)*25+$D$73</f>
        <v>472821.10776175978</v>
      </c>
      <c r="P73" t="str">
        <f>$C$8</f>
        <v>Wet Well</v>
      </c>
      <c r="Q73">
        <v>5</v>
      </c>
      <c r="S73" s="166">
        <v>500</v>
      </c>
      <c r="T73" t="s">
        <v>993</v>
      </c>
      <c r="U73">
        <f>AHF!$EF$40</f>
        <v>69556.228451073388</v>
      </c>
      <c r="W73">
        <v>5</v>
      </c>
      <c r="X73">
        <f>AHF!EG168</f>
        <v>9484.6004409168363</v>
      </c>
      <c r="AD73">
        <v>5</v>
      </c>
      <c r="AE73">
        <f>U$73+X73*25</f>
        <v>306671.2394739943</v>
      </c>
    </row>
    <row r="74" spans="2:31" x14ac:dyDescent="0.25">
      <c r="B74" s="166"/>
      <c r="H74">
        <v>6</v>
      </c>
      <c r="I74">
        <f>VF!EA180</f>
        <v>6565.2794686828092</v>
      </c>
      <c r="L74" t="str">
        <f t="shared" ref="L74:L78" si="33">$C$7</f>
        <v>ABR Siphon</v>
      </c>
      <c r="M74">
        <v>6</v>
      </c>
      <c r="N74">
        <f t="shared" ref="N74:N78" si="34">($F$73+$G$73+I74)*25+$D$73</f>
        <v>439994.71041834564</v>
      </c>
      <c r="P74" t="str">
        <f t="shared" ref="P74:P78" si="35">$C$8</f>
        <v>Wet Well</v>
      </c>
      <c r="Q74">
        <v>6</v>
      </c>
      <c r="S74" s="166"/>
      <c r="W74">
        <v>6</v>
      </c>
      <c r="X74">
        <f>AHF!EG169</f>
        <v>8047.1050529279855</v>
      </c>
      <c r="AD74">
        <v>6</v>
      </c>
      <c r="AE74">
        <f t="shared" ref="AE74:AE78" si="36">U$73+X74*25</f>
        <v>270733.854774273</v>
      </c>
    </row>
    <row r="75" spans="2:31" x14ac:dyDescent="0.25">
      <c r="B75" s="166"/>
      <c r="H75">
        <v>7</v>
      </c>
      <c r="I75">
        <f>VF!EA181</f>
        <v>5627.3824017281222</v>
      </c>
      <c r="J75">
        <f>I75+F73</f>
        <v>6084.0074734902382</v>
      </c>
      <c r="L75" t="str">
        <f t="shared" si="33"/>
        <v>ABR Siphon</v>
      </c>
      <c r="M75">
        <v>7</v>
      </c>
      <c r="N75">
        <f t="shared" si="34"/>
        <v>416547.28374447848</v>
      </c>
      <c r="P75" t="str">
        <f t="shared" si="35"/>
        <v>Wet Well</v>
      </c>
      <c r="Q75">
        <v>7</v>
      </c>
      <c r="S75" s="166"/>
      <c r="W75">
        <v>7</v>
      </c>
      <c r="X75">
        <f>AHF!EG170</f>
        <v>7020.3226329359504</v>
      </c>
      <c r="AD75">
        <v>7</v>
      </c>
      <c r="AE75">
        <f t="shared" si="36"/>
        <v>245064.29427447217</v>
      </c>
    </row>
    <row r="76" spans="2:31" x14ac:dyDescent="0.25">
      <c r="B76" s="166"/>
      <c r="H76">
        <v>8</v>
      </c>
      <c r="I76">
        <f>VF!EA182</f>
        <v>4923.9596015121069</v>
      </c>
      <c r="L76" t="str">
        <f t="shared" si="33"/>
        <v>ABR Siphon</v>
      </c>
      <c r="M76">
        <v>8</v>
      </c>
      <c r="N76">
        <f t="shared" si="34"/>
        <v>398961.71373907814</v>
      </c>
      <c r="P76" t="str">
        <f t="shared" si="35"/>
        <v>Wet Well</v>
      </c>
      <c r="Q76">
        <v>8</v>
      </c>
      <c r="S76" s="166"/>
      <c r="W76">
        <v>8</v>
      </c>
      <c r="X76">
        <f>AHF!EG171</f>
        <v>6250.2358179419234</v>
      </c>
      <c r="AD76">
        <v>8</v>
      </c>
      <c r="AE76">
        <f t="shared" si="36"/>
        <v>225812.12389962148</v>
      </c>
    </row>
    <row r="77" spans="2:31" x14ac:dyDescent="0.25">
      <c r="B77" s="166"/>
      <c r="H77">
        <v>9</v>
      </c>
      <c r="I77">
        <f>VF!EA183</f>
        <v>4376.8529791218725</v>
      </c>
      <c r="L77" t="str">
        <f t="shared" si="33"/>
        <v>ABR Siphon</v>
      </c>
      <c r="M77">
        <v>9</v>
      </c>
      <c r="N77">
        <f t="shared" si="34"/>
        <v>385284.04817932227</v>
      </c>
      <c r="P77" t="str">
        <f t="shared" si="35"/>
        <v>Wet Well</v>
      </c>
      <c r="Q77">
        <v>9</v>
      </c>
      <c r="S77" s="166"/>
      <c r="W77">
        <v>9</v>
      </c>
      <c r="X77">
        <f>AHF!EG172</f>
        <v>5651.279406279903</v>
      </c>
      <c r="AD77">
        <v>9</v>
      </c>
      <c r="AE77">
        <f t="shared" si="36"/>
        <v>210838.21360807098</v>
      </c>
    </row>
    <row r="78" spans="2:31" x14ac:dyDescent="0.25">
      <c r="B78" s="166"/>
      <c r="H78">
        <v>10</v>
      </c>
      <c r="I78">
        <f>VF!EA184</f>
        <v>3939.1676812096857</v>
      </c>
      <c r="L78" t="str">
        <f t="shared" si="33"/>
        <v>ABR Siphon</v>
      </c>
      <c r="M78">
        <v>10</v>
      </c>
      <c r="N78">
        <f t="shared" si="34"/>
        <v>374341.9157315176</v>
      </c>
      <c r="P78" t="str">
        <f t="shared" si="35"/>
        <v>Wet Well</v>
      </c>
      <c r="Q78">
        <v>10</v>
      </c>
      <c r="S78" s="166"/>
      <c r="W78">
        <v>10</v>
      </c>
      <c r="X78">
        <f>AHF!EG173</f>
        <v>5172.1142769502858</v>
      </c>
      <c r="AD78">
        <v>10</v>
      </c>
      <c r="AE78">
        <f t="shared" si="36"/>
        <v>198859.08537483052</v>
      </c>
    </row>
    <row r="79" spans="2:31" x14ac:dyDescent="0.25">
      <c r="B79" s="166">
        <v>600</v>
      </c>
      <c r="C79" t="s">
        <v>980</v>
      </c>
      <c r="D79">
        <f>VF!$EO$111</f>
        <v>320608.67860066495</v>
      </c>
      <c r="F79">
        <f>VF!$N$173</f>
        <v>456.62507176211642</v>
      </c>
      <c r="G79">
        <v>0</v>
      </c>
      <c r="H79">
        <v>5</v>
      </c>
      <c r="I79">
        <f>VF!EL179</f>
        <v>9457.9416025844512</v>
      </c>
      <c r="L79" t="str">
        <f>$C$7</f>
        <v>ABR Siphon</v>
      </c>
      <c r="M79">
        <v>5</v>
      </c>
      <c r="N79">
        <f>($F$79+$G$79+I79)*25+$D$79</f>
        <v>568472.8454593292</v>
      </c>
      <c r="P79" t="str">
        <f>$C$8</f>
        <v>Wet Well</v>
      </c>
      <c r="Q79">
        <v>5</v>
      </c>
      <c r="S79" s="166">
        <v>600</v>
      </c>
      <c r="T79" t="s">
        <v>993</v>
      </c>
      <c r="U79">
        <v>82502.950003031219</v>
      </c>
      <c r="W79">
        <v>5</v>
      </c>
      <c r="X79">
        <v>11091.89247577021</v>
      </c>
      <c r="AD79">
        <v>5</v>
      </c>
      <c r="AE79">
        <f>U$79+X79*25</f>
        <v>359800.26189728646</v>
      </c>
    </row>
    <row r="80" spans="2:31" x14ac:dyDescent="0.25">
      <c r="B80" s="166"/>
      <c r="H80">
        <v>6</v>
      </c>
      <c r="I80">
        <f>VF!EL180</f>
        <v>7881.6180021537102</v>
      </c>
      <c r="L80" t="str">
        <f t="shared" ref="L80:L84" si="37">$C$7</f>
        <v>ABR Siphon</v>
      </c>
      <c r="M80">
        <v>6</v>
      </c>
      <c r="N80">
        <f t="shared" ref="N80:N84" si="38">($F$79+$G$79+I80)*25+$D$79</f>
        <v>529064.75544856058</v>
      </c>
      <c r="P80" t="str">
        <f t="shared" ref="P80:P84" si="39">$C$8</f>
        <v>Wet Well</v>
      </c>
      <c r="Q80">
        <v>6</v>
      </c>
      <c r="S80" s="166"/>
      <c r="W80">
        <v>6</v>
      </c>
      <c r="X80">
        <v>9386.8315090408978</v>
      </c>
      <c r="AD80">
        <v>6</v>
      </c>
      <c r="AE80">
        <f t="shared" ref="AE80:AE84" si="40">U$79+X80*25</f>
        <v>317173.73772905365</v>
      </c>
    </row>
    <row r="81" spans="2:31" x14ac:dyDescent="0.25">
      <c r="B81" s="166"/>
      <c r="H81">
        <v>7</v>
      </c>
      <c r="I81">
        <f>VF!EL181</f>
        <v>6755.6725732746081</v>
      </c>
      <c r="J81">
        <f>I81+F79</f>
        <v>7212.2976450367241</v>
      </c>
      <c r="L81" t="str">
        <f t="shared" si="37"/>
        <v>ABR Siphon</v>
      </c>
      <c r="M81">
        <v>7</v>
      </c>
      <c r="N81">
        <f t="shared" si="38"/>
        <v>500916.11972658301</v>
      </c>
      <c r="P81" t="str">
        <f t="shared" si="39"/>
        <v>Wet Well</v>
      </c>
      <c r="Q81">
        <v>7</v>
      </c>
      <c r="S81" s="166"/>
      <c r="W81">
        <v>7</v>
      </c>
      <c r="X81">
        <v>8168.9308185199607</v>
      </c>
      <c r="AD81">
        <v>7</v>
      </c>
      <c r="AE81">
        <f t="shared" si="40"/>
        <v>286726.22046603024</v>
      </c>
    </row>
    <row r="82" spans="2:31" x14ac:dyDescent="0.25">
      <c r="B82" s="166"/>
      <c r="H82">
        <v>8</v>
      </c>
      <c r="I82">
        <f>VF!EL182</f>
        <v>5911.2135016152824</v>
      </c>
      <c r="L82" t="str">
        <f t="shared" si="37"/>
        <v>ABR Siphon</v>
      </c>
      <c r="M82">
        <v>8</v>
      </c>
      <c r="N82">
        <f t="shared" si="38"/>
        <v>479804.6429350999</v>
      </c>
      <c r="P82" t="str">
        <f t="shared" si="39"/>
        <v>Wet Well</v>
      </c>
      <c r="Q82">
        <v>8</v>
      </c>
      <c r="S82" s="166"/>
      <c r="W82">
        <v>8</v>
      </c>
      <c r="X82">
        <v>7255.5053006292583</v>
      </c>
      <c r="AD82">
        <v>8</v>
      </c>
      <c r="AE82">
        <f t="shared" si="40"/>
        <v>263890.58251876268</v>
      </c>
    </row>
    <row r="83" spans="2:31" x14ac:dyDescent="0.25">
      <c r="B83" s="166"/>
      <c r="H83">
        <v>9</v>
      </c>
      <c r="I83">
        <f>VF!EL183</f>
        <v>5254.4120014358068</v>
      </c>
      <c r="L83" t="str">
        <f t="shared" si="37"/>
        <v>ABR Siphon</v>
      </c>
      <c r="M83">
        <v>9</v>
      </c>
      <c r="N83">
        <f t="shared" si="38"/>
        <v>463384.60543061304</v>
      </c>
      <c r="P83" t="str">
        <f t="shared" si="39"/>
        <v>Wet Well</v>
      </c>
      <c r="Q83">
        <v>9</v>
      </c>
      <c r="S83" s="166"/>
      <c r="W83">
        <v>9</v>
      </c>
      <c r="X83">
        <v>6545.0632311587115</v>
      </c>
      <c r="AD83">
        <v>9</v>
      </c>
      <c r="AE83">
        <f t="shared" si="40"/>
        <v>246129.530781999</v>
      </c>
    </row>
    <row r="84" spans="2:31" x14ac:dyDescent="0.25">
      <c r="B84" s="166"/>
      <c r="H84">
        <v>10</v>
      </c>
      <c r="I84">
        <f>VF!EL184</f>
        <v>4728.9708012922256</v>
      </c>
      <c r="L84" t="str">
        <f t="shared" si="37"/>
        <v>ABR Siphon</v>
      </c>
      <c r="M84">
        <v>10</v>
      </c>
      <c r="N84">
        <f t="shared" si="38"/>
        <v>450248.57542702346</v>
      </c>
      <c r="P84" t="str">
        <f t="shared" si="39"/>
        <v>Wet Well</v>
      </c>
      <c r="Q84">
        <v>10</v>
      </c>
      <c r="S84" s="166"/>
      <c r="W84">
        <v>10</v>
      </c>
      <c r="X84">
        <v>5976.7095755822747</v>
      </c>
      <c r="AD84">
        <v>10</v>
      </c>
      <c r="AE84">
        <f t="shared" si="40"/>
        <v>231920.6893925881</v>
      </c>
    </row>
    <row r="85" spans="2:31" x14ac:dyDescent="0.25">
      <c r="B85" s="166">
        <v>800</v>
      </c>
      <c r="C85" t="s">
        <v>980</v>
      </c>
      <c r="D85">
        <f>VF!$EZ$111</f>
        <v>375353.33483451826</v>
      </c>
      <c r="F85">
        <f>VF!$N$173</f>
        <v>456.62507176211642</v>
      </c>
      <c r="G85">
        <v>0</v>
      </c>
      <c r="H85">
        <v>5</v>
      </c>
      <c r="I85">
        <f>VF!EW179</f>
        <v>11073.457161099073</v>
      </c>
      <c r="L85" t="str">
        <f>$C$7</f>
        <v>ABR Siphon</v>
      </c>
      <c r="M85">
        <v>5</v>
      </c>
      <c r="N85">
        <f>($F$85+$G$85+I85)*25+$D$85</f>
        <v>663605.39065604797</v>
      </c>
      <c r="P85" t="str">
        <f>$C$8</f>
        <v>Wet Well</v>
      </c>
      <c r="Q85">
        <v>5</v>
      </c>
      <c r="S85" s="166">
        <v>800</v>
      </c>
      <c r="T85" t="s">
        <v>993</v>
      </c>
      <c r="U85">
        <v>98960.813053007383</v>
      </c>
      <c r="W85">
        <v>5</v>
      </c>
      <c r="X85">
        <v>13132.667493967254</v>
      </c>
      <c r="AD85">
        <v>5</v>
      </c>
      <c r="AE85">
        <f>U$85+X85*25</f>
        <v>427277.50040218874</v>
      </c>
    </row>
    <row r="86" spans="2:31" x14ac:dyDescent="0.25">
      <c r="B86" s="166"/>
      <c r="H86">
        <v>6</v>
      </c>
      <c r="I86">
        <f>VF!EW180</f>
        <v>9227.8809675825614</v>
      </c>
      <c r="L86" t="str">
        <f t="shared" ref="L86:L90" si="41">$C$7</f>
        <v>ABR Siphon</v>
      </c>
      <c r="M86">
        <v>6</v>
      </c>
      <c r="N86">
        <f t="shared" ref="N86:N90" si="42">($F$85+$G$85+I86)*25+$D$85</f>
        <v>617465.9858181352</v>
      </c>
      <c r="P86" t="str">
        <f t="shared" ref="P86:P90" si="43">$C$8</f>
        <v>Wet Well</v>
      </c>
      <c r="Q86">
        <v>6</v>
      </c>
      <c r="S86" s="166"/>
      <c r="W86">
        <v>6</v>
      </c>
      <c r="X86">
        <v>11087.477357538435</v>
      </c>
      <c r="AD86">
        <v>6</v>
      </c>
      <c r="AE86">
        <f t="shared" ref="AE86:AE90" si="44">U$85+X86*25</f>
        <v>376147.74699146824</v>
      </c>
    </row>
    <row r="87" spans="2:31" x14ac:dyDescent="0.25">
      <c r="B87" s="166"/>
      <c r="H87">
        <v>7</v>
      </c>
      <c r="I87">
        <f>VF!EW181</f>
        <v>7909.6122579279099</v>
      </c>
      <c r="J87">
        <f>I87+F85</f>
        <v>8366.2373296900259</v>
      </c>
      <c r="L87" t="str">
        <f t="shared" si="41"/>
        <v>ABR Siphon</v>
      </c>
      <c r="M87">
        <v>7</v>
      </c>
      <c r="N87">
        <f t="shared" si="42"/>
        <v>584509.26807676884</v>
      </c>
      <c r="P87" t="str">
        <f t="shared" si="43"/>
        <v>Wet Well</v>
      </c>
      <c r="Q87">
        <v>7</v>
      </c>
      <c r="S87" s="166"/>
      <c r="W87">
        <v>7</v>
      </c>
      <c r="X87">
        <v>9626.6272600892771</v>
      </c>
      <c r="AD87">
        <v>7</v>
      </c>
      <c r="AE87">
        <f t="shared" si="44"/>
        <v>339626.49455523933</v>
      </c>
    </row>
    <row r="88" spans="2:31" x14ac:dyDescent="0.25">
      <c r="B88" s="166"/>
      <c r="H88">
        <v>8</v>
      </c>
      <c r="I88">
        <f>VF!EW182</f>
        <v>6920.9107256869211</v>
      </c>
      <c r="L88" t="str">
        <f t="shared" si="41"/>
        <v>ABR Siphon</v>
      </c>
      <c r="M88">
        <v>8</v>
      </c>
      <c r="N88">
        <f t="shared" si="42"/>
        <v>559791.72977074422</v>
      </c>
      <c r="P88" t="str">
        <f t="shared" si="43"/>
        <v>Wet Well</v>
      </c>
      <c r="Q88">
        <v>8</v>
      </c>
      <c r="S88" s="166"/>
      <c r="W88">
        <v>8</v>
      </c>
      <c r="X88">
        <v>8530.9896870024113</v>
      </c>
      <c r="AD88">
        <v>8</v>
      </c>
      <c r="AE88">
        <f t="shared" si="44"/>
        <v>312235.55522806768</v>
      </c>
    </row>
    <row r="89" spans="2:31" x14ac:dyDescent="0.25">
      <c r="B89" s="166"/>
      <c r="H89">
        <v>9</v>
      </c>
      <c r="I89">
        <f>VF!EW183</f>
        <v>6151.9206450550409</v>
      </c>
      <c r="L89" t="str">
        <f t="shared" si="41"/>
        <v>ABR Siphon</v>
      </c>
      <c r="M89">
        <v>9</v>
      </c>
      <c r="N89">
        <f t="shared" si="42"/>
        <v>540566.97775494715</v>
      </c>
      <c r="P89" t="str">
        <f t="shared" si="43"/>
        <v>Wet Well</v>
      </c>
      <c r="Q89">
        <v>9</v>
      </c>
      <c r="S89" s="166"/>
      <c r="W89">
        <v>9</v>
      </c>
      <c r="X89">
        <v>7678.8271301570703</v>
      </c>
      <c r="AD89">
        <v>9</v>
      </c>
      <c r="AE89">
        <f t="shared" si="44"/>
        <v>290931.49130693416</v>
      </c>
    </row>
    <row r="90" spans="2:31" x14ac:dyDescent="0.25">
      <c r="B90" s="166"/>
      <c r="H90">
        <v>10</v>
      </c>
      <c r="I90">
        <f>VF!EW184</f>
        <v>5536.7285805495367</v>
      </c>
      <c r="L90" t="str">
        <f t="shared" si="41"/>
        <v>ABR Siphon</v>
      </c>
      <c r="M90">
        <v>10</v>
      </c>
      <c r="N90">
        <f t="shared" si="42"/>
        <v>525187.17614230956</v>
      </c>
      <c r="P90" t="str">
        <f t="shared" si="43"/>
        <v>Wet Well</v>
      </c>
      <c r="Q90">
        <v>10</v>
      </c>
      <c r="S90" s="166"/>
      <c r="W90">
        <v>10</v>
      </c>
      <c r="X90">
        <v>6997.0970846807968</v>
      </c>
      <c r="AD90">
        <v>10</v>
      </c>
      <c r="AE90">
        <f t="shared" si="44"/>
        <v>273888.2401700273</v>
      </c>
    </row>
    <row r="91" spans="2:31" x14ac:dyDescent="0.25">
      <c r="B91" s="166">
        <v>1000</v>
      </c>
      <c r="C91" t="s">
        <v>980</v>
      </c>
      <c r="D91">
        <f>VF!$FL$111</f>
        <v>431688.84413483273</v>
      </c>
      <c r="F91">
        <f>VF!$N$173</f>
        <v>456.62507176211642</v>
      </c>
      <c r="G91">
        <v>0</v>
      </c>
      <c r="H91">
        <v>5</v>
      </c>
      <c r="I91">
        <f>VF!FI179</f>
        <v>12706.17927250996</v>
      </c>
      <c r="L91" t="str">
        <f>$C$7</f>
        <v>ABR Siphon</v>
      </c>
      <c r="M91">
        <v>5</v>
      </c>
      <c r="N91">
        <f>($F$91+$G$91+I91)*25+$D$91</f>
        <v>760758.95274163468</v>
      </c>
      <c r="P91" t="str">
        <f>$C$8</f>
        <v>Wet Well</v>
      </c>
      <c r="Q91">
        <v>5</v>
      </c>
      <c r="S91" s="166">
        <v>1000</v>
      </c>
      <c r="T91" t="s">
        <v>993</v>
      </c>
      <c r="U91">
        <v>111455.25948607197</v>
      </c>
      <c r="W91">
        <v>5</v>
      </c>
      <c r="X91">
        <v>14681.978851667262</v>
      </c>
      <c r="AD91">
        <v>5</v>
      </c>
      <c r="AE91">
        <f>U$91+X91*25</f>
        <v>478504.73077775352</v>
      </c>
    </row>
    <row r="92" spans="2:31" x14ac:dyDescent="0.25">
      <c r="B92" s="166"/>
      <c r="H92">
        <v>6</v>
      </c>
      <c r="I92">
        <f>VF!FI180</f>
        <v>10588.482727091634</v>
      </c>
      <c r="L92" t="str">
        <f t="shared" ref="L92:L96" si="45">$C$7</f>
        <v>ABR Siphon</v>
      </c>
      <c r="M92">
        <v>6</v>
      </c>
      <c r="N92">
        <f t="shared" ref="N92:N96" si="46">($F$91+$G$91+I92)*25+$D$91</f>
        <v>707816.53910617647</v>
      </c>
      <c r="P92" t="str">
        <f t="shared" ref="P92:P96" si="47">$C$8</f>
        <v>Wet Well</v>
      </c>
      <c r="Q92">
        <v>6</v>
      </c>
      <c r="S92" s="166"/>
      <c r="W92">
        <v>6</v>
      </c>
      <c r="X92">
        <v>12378.570155621775</v>
      </c>
      <c r="AD92">
        <v>6</v>
      </c>
      <c r="AE92">
        <f t="shared" ref="AE92:AE95" si="48">U$91+X92*25</f>
        <v>420919.51337661641</v>
      </c>
    </row>
    <row r="93" spans="2:31" x14ac:dyDescent="0.25">
      <c r="B93" s="166"/>
      <c r="H93">
        <v>7</v>
      </c>
      <c r="I93">
        <f>VF!FI181</f>
        <v>9075.8423375071143</v>
      </c>
      <c r="J93">
        <f>I93+F91</f>
        <v>9532.4674092692312</v>
      </c>
      <c r="L93" t="str">
        <f t="shared" si="45"/>
        <v>ABR Siphon</v>
      </c>
      <c r="M93">
        <v>7</v>
      </c>
      <c r="N93">
        <f t="shared" si="46"/>
        <v>670000.52936656354</v>
      </c>
      <c r="P93" t="str">
        <f t="shared" si="47"/>
        <v>Wet Well</v>
      </c>
      <c r="Q93">
        <v>7</v>
      </c>
      <c r="S93" s="166"/>
      <c r="W93">
        <v>7</v>
      </c>
      <c r="X93">
        <v>10733.278229874999</v>
      </c>
      <c r="AD93">
        <v>7</v>
      </c>
      <c r="AE93">
        <f t="shared" si="48"/>
        <v>379787.21523294691</v>
      </c>
    </row>
    <row r="94" spans="2:31" x14ac:dyDescent="0.25">
      <c r="B94" s="166"/>
      <c r="H94">
        <v>8</v>
      </c>
      <c r="I94">
        <f>VF!FI182</f>
        <v>7941.362045318725</v>
      </c>
      <c r="L94" t="str">
        <f t="shared" si="45"/>
        <v>ABR Siphon</v>
      </c>
      <c r="M94">
        <v>8</v>
      </c>
      <c r="N94">
        <f t="shared" si="46"/>
        <v>641638.52206185379</v>
      </c>
      <c r="P94" t="str">
        <f t="shared" si="47"/>
        <v>Wet Well</v>
      </c>
      <c r="Q94">
        <v>8</v>
      </c>
      <c r="S94" s="166"/>
      <c r="W94">
        <v>8</v>
      </c>
      <c r="X94">
        <v>9499.3092855649156</v>
      </c>
      <c r="AD94">
        <v>8</v>
      </c>
      <c r="AE94">
        <f t="shared" si="48"/>
        <v>348937.9916251949</v>
      </c>
    </row>
    <row r="95" spans="2:31" x14ac:dyDescent="0.25">
      <c r="B95" s="166"/>
      <c r="H95">
        <v>9</v>
      </c>
      <c r="I95">
        <f>VF!FI183</f>
        <v>7058.9884847277553</v>
      </c>
      <c r="L95" t="str">
        <f t="shared" si="45"/>
        <v>ABR Siphon</v>
      </c>
      <c r="M95">
        <v>9</v>
      </c>
      <c r="N95">
        <f t="shared" si="46"/>
        <v>619579.18304707948</v>
      </c>
      <c r="P95" t="str">
        <f t="shared" si="47"/>
        <v>Wet Well</v>
      </c>
      <c r="Q95">
        <v>9</v>
      </c>
      <c r="S95" s="166"/>
      <c r="W95">
        <v>9</v>
      </c>
      <c r="X95">
        <v>8539.5556622126296</v>
      </c>
      <c r="AD95">
        <v>9</v>
      </c>
      <c r="AE95">
        <f t="shared" si="48"/>
        <v>324944.1510413877</v>
      </c>
    </row>
    <row r="96" spans="2:31" x14ac:dyDescent="0.25">
      <c r="B96" s="166"/>
      <c r="H96">
        <v>10</v>
      </c>
      <c r="I96">
        <f>VF!FI184</f>
        <v>6353.0896362549802</v>
      </c>
      <c r="L96" t="str">
        <f t="shared" si="45"/>
        <v>ABR Siphon</v>
      </c>
      <c r="M96">
        <v>10</v>
      </c>
      <c r="N96">
        <f t="shared" si="46"/>
        <v>601931.71183526015</v>
      </c>
      <c r="P96" t="str">
        <f t="shared" si="47"/>
        <v>Wet Well</v>
      </c>
      <c r="Q96">
        <v>10</v>
      </c>
      <c r="S96" s="166"/>
      <c r="W96">
        <v>10</v>
      </c>
      <c r="X96">
        <v>7771.7527635308006</v>
      </c>
      <c r="AD96">
        <v>10</v>
      </c>
      <c r="AE96">
        <f>U$91+X96*25</f>
        <v>305749.07857434195</v>
      </c>
    </row>
  </sheetData>
  <mergeCells count="46">
    <mergeCell ref="B13:B18"/>
    <mergeCell ref="B49:B54"/>
    <mergeCell ref="C4:C6"/>
    <mergeCell ref="S91:S96"/>
    <mergeCell ref="S25:S30"/>
    <mergeCell ref="S31:S36"/>
    <mergeCell ref="S37:S42"/>
    <mergeCell ref="S43:S48"/>
    <mergeCell ref="S49:S54"/>
    <mergeCell ref="S55:S60"/>
    <mergeCell ref="S61:S66"/>
    <mergeCell ref="S67:S72"/>
    <mergeCell ref="S73:S78"/>
    <mergeCell ref="S79:S84"/>
    <mergeCell ref="S85:S90"/>
    <mergeCell ref="M5:R5"/>
    <mergeCell ref="B1:R3"/>
    <mergeCell ref="S1:AI3"/>
    <mergeCell ref="T4:T6"/>
    <mergeCell ref="S4:S6"/>
    <mergeCell ref="B4:B6"/>
    <mergeCell ref="D4:D6"/>
    <mergeCell ref="F4:G4"/>
    <mergeCell ref="S7:S12"/>
    <mergeCell ref="S13:S18"/>
    <mergeCell ref="S19:S24"/>
    <mergeCell ref="U4:U6"/>
    <mergeCell ref="Y4:Z4"/>
    <mergeCell ref="Y5:Y6"/>
    <mergeCell ref="Z5:Z6"/>
    <mergeCell ref="B91:B96"/>
    <mergeCell ref="H5:I5"/>
    <mergeCell ref="G5:G6"/>
    <mergeCell ref="F5:F6"/>
    <mergeCell ref="B55:B60"/>
    <mergeCell ref="B61:B66"/>
    <mergeCell ref="B67:B72"/>
    <mergeCell ref="B73:B78"/>
    <mergeCell ref="B79:B84"/>
    <mergeCell ref="B19:B24"/>
    <mergeCell ref="B25:B30"/>
    <mergeCell ref="B31:B36"/>
    <mergeCell ref="B37:B42"/>
    <mergeCell ref="B43:B48"/>
    <mergeCell ref="B85:B90"/>
    <mergeCell ref="B7:B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3ED7B-2DD4-4BEF-9B10-87284BD1DE97}">
  <sheetPr>
    <tabColor rgb="FFFF0000"/>
  </sheetPr>
  <dimension ref="B2:S179"/>
  <sheetViews>
    <sheetView topLeftCell="A73" zoomScale="70" zoomScaleNormal="70" workbookViewId="0">
      <selection activeCell="F90" sqref="F90"/>
    </sheetView>
  </sheetViews>
  <sheetFormatPr defaultRowHeight="15" x14ac:dyDescent="0.25"/>
  <cols>
    <col min="2" max="2" width="40.42578125" bestFit="1" customWidth="1"/>
    <col min="3" max="3" width="12.28515625" customWidth="1"/>
    <col min="4" max="4" width="13" customWidth="1"/>
    <col min="7" max="7" width="12" bestFit="1" customWidth="1"/>
    <col min="8" max="8" width="11.5703125" bestFit="1" customWidth="1"/>
    <col min="28" max="28" width="9.140625" customWidth="1"/>
  </cols>
  <sheetData>
    <row r="2" spans="2:19" x14ac:dyDescent="0.25">
      <c r="B2" t="s">
        <v>5</v>
      </c>
    </row>
    <row r="3" spans="2:19" x14ac:dyDescent="0.25">
      <c r="S3" t="s">
        <v>30</v>
      </c>
    </row>
    <row r="4" spans="2:19" x14ac:dyDescent="0.25">
      <c r="B4" t="s">
        <v>0</v>
      </c>
      <c r="C4" t="s">
        <v>1</v>
      </c>
      <c r="D4" t="s">
        <v>2</v>
      </c>
      <c r="E4" t="s">
        <v>4</v>
      </c>
      <c r="F4" t="s">
        <v>3</v>
      </c>
    </row>
    <row r="5" spans="2:19" x14ac:dyDescent="0.25">
      <c r="B5" t="s">
        <v>27</v>
      </c>
      <c r="C5">
        <v>596.4</v>
      </c>
      <c r="D5">
        <v>1</v>
      </c>
      <c r="E5">
        <v>2021</v>
      </c>
      <c r="F5" t="s">
        <v>29</v>
      </c>
      <c r="G5" s="4" t="s">
        <v>28</v>
      </c>
    </row>
    <row r="6" spans="2:19" x14ac:dyDescent="0.25">
      <c r="B6" t="s">
        <v>155</v>
      </c>
      <c r="C6">
        <v>834</v>
      </c>
      <c r="D6">
        <v>1</v>
      </c>
      <c r="E6">
        <v>2021</v>
      </c>
      <c r="F6" t="s">
        <v>41</v>
      </c>
      <c r="G6" s="4" t="s">
        <v>44</v>
      </c>
    </row>
    <row r="7" spans="2:19" x14ac:dyDescent="0.25">
      <c r="B7" t="s">
        <v>177</v>
      </c>
      <c r="C7">
        <f>Quoting!D31</f>
        <v>765</v>
      </c>
      <c r="D7">
        <v>1</v>
      </c>
      <c r="E7">
        <v>2021</v>
      </c>
      <c r="F7" t="s">
        <v>48</v>
      </c>
      <c r="G7" s="4" t="s">
        <v>173</v>
      </c>
    </row>
    <row r="8" spans="2:19" x14ac:dyDescent="0.25">
      <c r="B8" t="s">
        <v>176</v>
      </c>
      <c r="C8">
        <f>Quoting!D39</f>
        <v>1090</v>
      </c>
      <c r="D8">
        <v>1</v>
      </c>
      <c r="E8">
        <v>2021</v>
      </c>
      <c r="F8" t="s">
        <v>48</v>
      </c>
      <c r="G8" s="4" t="s">
        <v>175</v>
      </c>
    </row>
    <row r="9" spans="2:19" x14ac:dyDescent="0.25">
      <c r="B9" t="s">
        <v>198</v>
      </c>
      <c r="C9">
        <f>Quoting!D48</f>
        <v>1678.8</v>
      </c>
      <c r="D9">
        <v>1</v>
      </c>
      <c r="E9">
        <v>2021</v>
      </c>
      <c r="F9" t="s">
        <v>195</v>
      </c>
      <c r="G9" s="4" t="s">
        <v>196</v>
      </c>
    </row>
    <row r="10" spans="2:19" x14ac:dyDescent="0.25">
      <c r="B10" t="s">
        <v>289</v>
      </c>
      <c r="C10">
        <v>1745</v>
      </c>
      <c r="D10">
        <v>1</v>
      </c>
      <c r="E10">
        <v>2021</v>
      </c>
      <c r="F10" t="s">
        <v>280</v>
      </c>
      <c r="G10" s="4" t="s">
        <v>279</v>
      </c>
    </row>
    <row r="11" spans="2:19" x14ac:dyDescent="0.25">
      <c r="B11" t="s">
        <v>290</v>
      </c>
      <c r="C11">
        <f>C10+540</f>
        <v>2285</v>
      </c>
      <c r="D11">
        <v>1</v>
      </c>
      <c r="E11">
        <v>2021</v>
      </c>
      <c r="F11" t="s">
        <v>280</v>
      </c>
      <c r="G11" s="4" t="s">
        <v>279</v>
      </c>
    </row>
    <row r="12" spans="2:19" x14ac:dyDescent="0.25">
      <c r="B12" t="s">
        <v>301</v>
      </c>
      <c r="C12">
        <v>2910</v>
      </c>
      <c r="D12">
        <v>1</v>
      </c>
      <c r="E12">
        <v>2021</v>
      </c>
      <c r="F12" t="s">
        <v>48</v>
      </c>
      <c r="G12" s="4" t="s">
        <v>297</v>
      </c>
    </row>
    <row r="13" spans="2:19" x14ac:dyDescent="0.25">
      <c r="B13" t="s">
        <v>310</v>
      </c>
      <c r="C13">
        <v>3114</v>
      </c>
      <c r="D13">
        <v>1</v>
      </c>
      <c r="E13">
        <v>2021</v>
      </c>
      <c r="F13" t="s">
        <v>48</v>
      </c>
      <c r="G13" s="4" t="s">
        <v>284</v>
      </c>
    </row>
    <row r="14" spans="2:19" x14ac:dyDescent="0.25">
      <c r="B14" t="s">
        <v>318</v>
      </c>
      <c r="C14">
        <v>4861</v>
      </c>
      <c r="D14">
        <v>1</v>
      </c>
      <c r="E14">
        <v>2021</v>
      </c>
      <c r="F14" t="s">
        <v>299</v>
      </c>
      <c r="G14" s="4" t="s">
        <v>316</v>
      </c>
    </row>
    <row r="15" spans="2:19" x14ac:dyDescent="0.25">
      <c r="B15" t="s">
        <v>319</v>
      </c>
      <c r="C15">
        <v>5184</v>
      </c>
      <c r="D15">
        <v>1</v>
      </c>
      <c r="E15">
        <v>2021</v>
      </c>
      <c r="F15" t="s">
        <v>299</v>
      </c>
      <c r="G15" s="4" t="s">
        <v>314</v>
      </c>
    </row>
    <row r="16" spans="2:19" x14ac:dyDescent="0.25">
      <c r="B16" t="s">
        <v>323</v>
      </c>
      <c r="C16">
        <v>6083</v>
      </c>
      <c r="D16">
        <v>1</v>
      </c>
      <c r="E16">
        <v>2021</v>
      </c>
      <c r="F16" t="s">
        <v>299</v>
      </c>
      <c r="G16" s="4" t="s">
        <v>314</v>
      </c>
    </row>
    <row r="18" spans="2:8" x14ac:dyDescent="0.25">
      <c r="B18" t="s">
        <v>1416</v>
      </c>
      <c r="C18">
        <v>1435</v>
      </c>
      <c r="D18">
        <v>1</v>
      </c>
      <c r="E18">
        <v>2021</v>
      </c>
      <c r="F18" t="s">
        <v>299</v>
      </c>
      <c r="G18" s="4" t="s">
        <v>1417</v>
      </c>
      <c r="H18" s="35">
        <v>44525</v>
      </c>
    </row>
    <row r="19" spans="2:8" x14ac:dyDescent="0.25">
      <c r="B19" t="s">
        <v>505</v>
      </c>
      <c r="C19">
        <v>2242.8000000000002</v>
      </c>
      <c r="D19">
        <v>1</v>
      </c>
      <c r="E19">
        <v>2021</v>
      </c>
      <c r="F19" t="s">
        <v>299</v>
      </c>
      <c r="G19" s="4" t="s">
        <v>493</v>
      </c>
      <c r="H19" s="35">
        <v>44501</v>
      </c>
    </row>
    <row r="20" spans="2:8" x14ac:dyDescent="0.25">
      <c r="B20" t="s">
        <v>506</v>
      </c>
      <c r="C20">
        <v>2791.2</v>
      </c>
      <c r="D20">
        <v>1</v>
      </c>
      <c r="E20">
        <v>2021</v>
      </c>
      <c r="F20" t="s">
        <v>299</v>
      </c>
      <c r="G20" t="s">
        <v>493</v>
      </c>
      <c r="H20" s="35">
        <v>44501</v>
      </c>
    </row>
    <row r="21" spans="2:8" x14ac:dyDescent="0.25">
      <c r="B21" t="s">
        <v>507</v>
      </c>
      <c r="C21">
        <v>2910</v>
      </c>
      <c r="D21">
        <v>1</v>
      </c>
      <c r="E21">
        <v>2021</v>
      </c>
      <c r="F21" t="s">
        <v>497</v>
      </c>
      <c r="G21" t="s">
        <v>297</v>
      </c>
    </row>
    <row r="22" spans="2:8" x14ac:dyDescent="0.25">
      <c r="B22" t="s">
        <v>508</v>
      </c>
      <c r="C22">
        <v>5242.8</v>
      </c>
      <c r="D22">
        <v>1</v>
      </c>
      <c r="E22">
        <v>2021</v>
      </c>
      <c r="F22" t="s">
        <v>501</v>
      </c>
      <c r="G22" t="s">
        <v>502</v>
      </c>
    </row>
    <row r="23" spans="2:8" x14ac:dyDescent="0.25">
      <c r="B23" t="s">
        <v>1146</v>
      </c>
      <c r="C23">
        <f>1025*1.2</f>
        <v>1230</v>
      </c>
      <c r="D23">
        <v>1</v>
      </c>
      <c r="E23">
        <v>2021</v>
      </c>
      <c r="F23" t="s">
        <v>299</v>
      </c>
      <c r="G23" t="s">
        <v>1145</v>
      </c>
      <c r="H23" s="35">
        <v>44501</v>
      </c>
    </row>
    <row r="24" spans="2:8" x14ac:dyDescent="0.25">
      <c r="B24" t="s">
        <v>1147</v>
      </c>
      <c r="C24">
        <v>1354.8</v>
      </c>
      <c r="D24">
        <v>1</v>
      </c>
      <c r="E24">
        <v>2021</v>
      </c>
      <c r="F24" t="s">
        <v>299</v>
      </c>
      <c r="G24" t="s">
        <v>1145</v>
      </c>
      <c r="H24" s="35">
        <v>44501</v>
      </c>
    </row>
    <row r="25" spans="2:8" x14ac:dyDescent="0.25">
      <c r="B25" t="s">
        <v>1149</v>
      </c>
      <c r="C25">
        <v>1678.8</v>
      </c>
      <c r="D25">
        <v>1</v>
      </c>
      <c r="E25">
        <v>2021</v>
      </c>
      <c r="F25" t="s">
        <v>299</v>
      </c>
      <c r="G25" s="4" t="s">
        <v>1150</v>
      </c>
      <c r="H25" s="35">
        <v>44501</v>
      </c>
    </row>
    <row r="26" spans="2:8" x14ac:dyDescent="0.25">
      <c r="B26" t="s">
        <v>1151</v>
      </c>
      <c r="C26">
        <v>3478.8</v>
      </c>
      <c r="D26">
        <v>1</v>
      </c>
      <c r="E26">
        <v>2021</v>
      </c>
      <c r="F26" t="s">
        <v>299</v>
      </c>
      <c r="G26" s="4" t="s">
        <v>1152</v>
      </c>
      <c r="H26" s="35">
        <v>44501</v>
      </c>
    </row>
    <row r="27" spans="2:8" x14ac:dyDescent="0.25">
      <c r="B27" t="s">
        <v>1409</v>
      </c>
      <c r="C27">
        <v>7726.8</v>
      </c>
      <c r="D27">
        <v>1</v>
      </c>
      <c r="E27">
        <v>2021</v>
      </c>
      <c r="F27" t="s">
        <v>1410</v>
      </c>
      <c r="G27" s="4" t="s">
        <v>1411</v>
      </c>
      <c r="H27" s="35">
        <v>44501</v>
      </c>
    </row>
    <row r="28" spans="2:8" x14ac:dyDescent="0.25">
      <c r="B28" t="s">
        <v>1414</v>
      </c>
      <c r="C28">
        <v>8454</v>
      </c>
      <c r="D28">
        <v>1</v>
      </c>
      <c r="E28">
        <v>2021</v>
      </c>
      <c r="F28" t="s">
        <v>1410</v>
      </c>
      <c r="G28" s="4" t="s">
        <v>1411</v>
      </c>
      <c r="H28" s="35">
        <v>44501</v>
      </c>
    </row>
    <row r="29" spans="2:8" x14ac:dyDescent="0.25">
      <c r="B29" t="s">
        <v>1412</v>
      </c>
      <c r="C29">
        <v>9786</v>
      </c>
      <c r="D29">
        <v>1</v>
      </c>
      <c r="E29">
        <v>2021</v>
      </c>
      <c r="F29" t="s">
        <v>299</v>
      </c>
      <c r="G29" s="4" t="s">
        <v>1413</v>
      </c>
      <c r="H29" s="35">
        <v>44525</v>
      </c>
    </row>
    <row r="30" spans="2:8" x14ac:dyDescent="0.25">
      <c r="B30" t="s">
        <v>1415</v>
      </c>
      <c r="C30">
        <v>12194.4</v>
      </c>
      <c r="D30">
        <v>1</v>
      </c>
      <c r="E30">
        <v>2021</v>
      </c>
      <c r="F30" t="s">
        <v>299</v>
      </c>
      <c r="G30" s="4" t="s">
        <v>1413</v>
      </c>
      <c r="H30" s="35">
        <v>44525</v>
      </c>
    </row>
    <row r="31" spans="2:8" x14ac:dyDescent="0.25">
      <c r="H31" s="35"/>
    </row>
    <row r="33" spans="2:7" x14ac:dyDescent="0.25">
      <c r="B33" t="s">
        <v>79</v>
      </c>
      <c r="C33">
        <v>42.55</v>
      </c>
      <c r="D33" t="s">
        <v>12</v>
      </c>
      <c r="E33">
        <v>2018</v>
      </c>
      <c r="F33" s="6" t="s">
        <v>78</v>
      </c>
    </row>
    <row r="34" spans="2:7" x14ac:dyDescent="0.25">
      <c r="B34" t="str">
        <f>B33</f>
        <v>Gravel (20mm)</v>
      </c>
      <c r="C34">
        <f>C33*CPI!$E$33*CPI!$E$34*CPI!$E$35</f>
        <v>44.711323420499987</v>
      </c>
      <c r="D34" t="str">
        <f>D33</f>
        <v>per m3</v>
      </c>
      <c r="E34">
        <v>2021</v>
      </c>
      <c r="F34" s="6" t="str">
        <f>F33</f>
        <v>Gaby's Spreadsheet</v>
      </c>
    </row>
    <row r="35" spans="2:7" ht="15.75" x14ac:dyDescent="0.25">
      <c r="B35" s="8" t="s">
        <v>102</v>
      </c>
      <c r="C35">
        <v>20.399237456217303</v>
      </c>
      <c r="D35" t="s">
        <v>95</v>
      </c>
      <c r="E35">
        <v>2018</v>
      </c>
      <c r="F35" s="6" t="s">
        <v>78</v>
      </c>
    </row>
    <row r="36" spans="2:7" x14ac:dyDescent="0.25">
      <c r="C36" s="9">
        <f>C35*1.8</f>
        <v>36.718627421191144</v>
      </c>
      <c r="D36" t="s">
        <v>12</v>
      </c>
      <c r="E36">
        <v>2018</v>
      </c>
      <c r="F36" s="6" t="s">
        <v>78</v>
      </c>
    </row>
    <row r="37" spans="2:7" x14ac:dyDescent="0.25">
      <c r="B37" t="str">
        <f>B35</f>
        <v xml:space="preserve"> 4_10MM AGGREGATE WASHED GRAVEL</v>
      </c>
      <c r="C37">
        <f>C36*CPI!$E$33*CPI!$E$34*CPI!$E$35</f>
        <v>38.583746796374072</v>
      </c>
      <c r="D37" t="str">
        <f>D36</f>
        <v>per m3</v>
      </c>
      <c r="E37">
        <v>2021</v>
      </c>
      <c r="F37" s="6" t="str">
        <f>F36</f>
        <v>Gaby's Spreadsheet</v>
      </c>
    </row>
    <row r="38" spans="2:7" x14ac:dyDescent="0.25">
      <c r="B38" t="s">
        <v>737</v>
      </c>
      <c r="C38">
        <v>24.711624563533565</v>
      </c>
      <c r="D38" t="s">
        <v>12</v>
      </c>
      <c r="E38">
        <v>2018</v>
      </c>
      <c r="F38" s="6" t="s">
        <v>78</v>
      </c>
    </row>
    <row r="39" spans="2:7" x14ac:dyDescent="0.25">
      <c r="B39" t="str">
        <f>B38</f>
        <v>CIVILS MATERIAL DRYSTONE 100MM CRUSHER RUN</v>
      </c>
      <c r="C39">
        <f>C38*CPI!$E$33*CPI!$E$34*CPI!$E$35</f>
        <v>25.966849309192035</v>
      </c>
      <c r="D39" t="str">
        <f>D38</f>
        <v>per m3</v>
      </c>
      <c r="E39">
        <v>2021</v>
      </c>
      <c r="F39" s="6" t="str">
        <f>F38</f>
        <v>Gaby's Spreadsheet</v>
      </c>
    </row>
    <row r="40" spans="2:7" x14ac:dyDescent="0.25">
      <c r="B40" t="s">
        <v>872</v>
      </c>
      <c r="C40">
        <f>'[1]Itemised list'!H6</f>
        <v>42.548814755102455</v>
      </c>
      <c r="D40" t="s">
        <v>12</v>
      </c>
      <c r="E40">
        <v>2018</v>
      </c>
      <c r="F40" s="6" t="s">
        <v>78</v>
      </c>
    </row>
    <row r="41" spans="2:7" x14ac:dyDescent="0.25">
      <c r="B41" t="str">
        <f>B40</f>
        <v>CIVILS MATERIAL 20MM SINGLE SIZE GRAVEL</v>
      </c>
      <c r="C41">
        <f>C40*CPI!$E$33*CPI!$E$34*CPI!$E$35</f>
        <v>44.710077971194551</v>
      </c>
      <c r="D41" t="str">
        <f>D40</f>
        <v>per m3</v>
      </c>
      <c r="E41">
        <v>2021</v>
      </c>
      <c r="F41" s="6" t="str">
        <f>F40</f>
        <v>Gaby's Spreadsheet</v>
      </c>
    </row>
    <row r="44" spans="2:7" x14ac:dyDescent="0.25">
      <c r="B44" t="s">
        <v>85</v>
      </c>
    </row>
    <row r="45" spans="2:7" x14ac:dyDescent="0.25">
      <c r="B45" t="s">
        <v>90</v>
      </c>
      <c r="C45">
        <v>4.0199999999999996</v>
      </c>
      <c r="D45" t="s">
        <v>91</v>
      </c>
      <c r="E45">
        <v>2021</v>
      </c>
      <c r="F45" t="s">
        <v>87</v>
      </c>
      <c r="G45" t="s">
        <v>92</v>
      </c>
    </row>
    <row r="46" spans="2:7" x14ac:dyDescent="0.25">
      <c r="B46" t="s">
        <v>89</v>
      </c>
      <c r="C46">
        <v>38</v>
      </c>
      <c r="D46" t="s">
        <v>96</v>
      </c>
      <c r="E46">
        <v>2021</v>
      </c>
      <c r="F46" t="s">
        <v>87</v>
      </c>
      <c r="G46" t="s">
        <v>88</v>
      </c>
    </row>
    <row r="47" spans="2:7" x14ac:dyDescent="0.25">
      <c r="C47">
        <f>C46*2</f>
        <v>76</v>
      </c>
      <c r="D47" t="s">
        <v>12</v>
      </c>
    </row>
    <row r="48" spans="2:7" x14ac:dyDescent="0.25">
      <c r="B48" t="s">
        <v>84</v>
      </c>
      <c r="C48">
        <v>38</v>
      </c>
      <c r="D48" t="s">
        <v>96</v>
      </c>
      <c r="E48">
        <v>2021</v>
      </c>
      <c r="F48" t="s">
        <v>87</v>
      </c>
      <c r="G48" t="s">
        <v>88</v>
      </c>
    </row>
    <row r="49" spans="2:18" x14ac:dyDescent="0.25">
      <c r="B49" t="s">
        <v>86</v>
      </c>
      <c r="D49" t="s">
        <v>97</v>
      </c>
    </row>
    <row r="51" spans="2:18" x14ac:dyDescent="0.25">
      <c r="C51">
        <f>C45*4+(C46/4)+C48/2</f>
        <v>44.58</v>
      </c>
      <c r="D51" t="s">
        <v>99</v>
      </c>
    </row>
    <row r="52" spans="2:18" x14ac:dyDescent="0.25">
      <c r="B52" t="s">
        <v>100</v>
      </c>
      <c r="C52" s="7">
        <f>C51/1.12</f>
        <v>39.803571428571423</v>
      </c>
      <c r="D52" t="s">
        <v>98</v>
      </c>
      <c r="E52">
        <v>2021</v>
      </c>
    </row>
    <row r="53" spans="2:18" x14ac:dyDescent="0.25">
      <c r="B53" t="s">
        <v>100</v>
      </c>
      <c r="C53" s="7">
        <f>C52*2.5</f>
        <v>99.508928571428555</v>
      </c>
      <c r="D53" t="s">
        <v>12</v>
      </c>
      <c r="E53">
        <v>2021</v>
      </c>
    </row>
    <row r="55" spans="2:18" x14ac:dyDescent="0.25">
      <c r="B55" t="s">
        <v>118</v>
      </c>
      <c r="C55">
        <v>163.5</v>
      </c>
      <c r="D55" t="s">
        <v>119</v>
      </c>
      <c r="F55" s="6" t="s">
        <v>121</v>
      </c>
      <c r="G55" s="4" t="s">
        <v>120</v>
      </c>
    </row>
    <row r="56" spans="2:18" x14ac:dyDescent="0.25">
      <c r="B56" t="s">
        <v>112</v>
      </c>
      <c r="C56">
        <v>1.95</v>
      </c>
      <c r="D56" t="s">
        <v>124</v>
      </c>
      <c r="E56">
        <v>2018</v>
      </c>
      <c r="F56" s="6" t="s">
        <v>78</v>
      </c>
      <c r="I56" s="4" t="s">
        <v>620</v>
      </c>
      <c r="J56" t="s">
        <v>621</v>
      </c>
    </row>
    <row r="57" spans="2:18" x14ac:dyDescent="0.25">
      <c r="B57" t="s">
        <v>112</v>
      </c>
      <c r="C57">
        <f>C56*CPI!$E$33*CPI!$E$34*CPI!$E$35</f>
        <v>2.0490500744999993</v>
      </c>
      <c r="D57" t="s">
        <v>124</v>
      </c>
      <c r="E57">
        <v>2021</v>
      </c>
      <c r="F57" s="6" t="s">
        <v>78</v>
      </c>
      <c r="I57" s="4"/>
    </row>
    <row r="58" spans="2:18" x14ac:dyDescent="0.25">
      <c r="B58" t="s">
        <v>619</v>
      </c>
      <c r="C58">
        <v>4.95</v>
      </c>
      <c r="D58" t="s">
        <v>124</v>
      </c>
      <c r="E58">
        <v>2018</v>
      </c>
      <c r="F58" s="6" t="s">
        <v>78</v>
      </c>
      <c r="I58" s="4" t="s">
        <v>620</v>
      </c>
      <c r="J58" t="s">
        <v>621</v>
      </c>
    </row>
    <row r="59" spans="2:18" x14ac:dyDescent="0.25">
      <c r="B59" t="s">
        <v>619</v>
      </c>
      <c r="C59">
        <f>C58*CPI!$E$33*CPI!$E$34*CPI!$E$35</f>
        <v>5.201434804499999</v>
      </c>
      <c r="D59" t="s">
        <v>124</v>
      </c>
      <c r="E59">
        <v>2021</v>
      </c>
      <c r="F59" s="6" t="s">
        <v>78</v>
      </c>
      <c r="I59" s="4"/>
    </row>
    <row r="61" spans="2:18" x14ac:dyDescent="0.25">
      <c r="B61" t="s">
        <v>6</v>
      </c>
    </row>
    <row r="63" spans="2:18" x14ac:dyDescent="0.25">
      <c r="B63" t="s">
        <v>0</v>
      </c>
      <c r="C63" t="s">
        <v>13</v>
      </c>
      <c r="D63" t="s">
        <v>2</v>
      </c>
      <c r="E63" t="s">
        <v>4</v>
      </c>
      <c r="F63" t="s">
        <v>3</v>
      </c>
      <c r="G63" t="s">
        <v>3</v>
      </c>
    </row>
    <row r="64" spans="2:18" x14ac:dyDescent="0.25">
      <c r="B64" t="s">
        <v>17</v>
      </c>
      <c r="C64" s="1">
        <v>35.634615384615387</v>
      </c>
      <c r="D64" t="s">
        <v>21</v>
      </c>
      <c r="E64">
        <v>2020</v>
      </c>
      <c r="F64" t="s">
        <v>19</v>
      </c>
      <c r="G64" s="4" t="s">
        <v>18</v>
      </c>
      <c r="R64" t="s">
        <v>467</v>
      </c>
    </row>
    <row r="65" spans="2:7" x14ac:dyDescent="0.25">
      <c r="B65" t="s">
        <v>8</v>
      </c>
      <c r="C65">
        <v>193.5</v>
      </c>
      <c r="D65" t="s">
        <v>11</v>
      </c>
      <c r="E65">
        <v>2021</v>
      </c>
      <c r="F65" t="s">
        <v>20</v>
      </c>
      <c r="G65" s="4" t="s">
        <v>10</v>
      </c>
    </row>
    <row r="66" spans="2:7" x14ac:dyDescent="0.25">
      <c r="B66" t="s">
        <v>7</v>
      </c>
      <c r="C66">
        <v>211.7</v>
      </c>
      <c r="D66" t="s">
        <v>11</v>
      </c>
      <c r="E66">
        <v>2021</v>
      </c>
      <c r="F66" t="s">
        <v>20</v>
      </c>
      <c r="G66" t="s">
        <v>10</v>
      </c>
    </row>
    <row r="67" spans="2:7" x14ac:dyDescent="0.25">
      <c r="B67" t="s">
        <v>9</v>
      </c>
      <c r="C67">
        <v>20.399999999999999</v>
      </c>
      <c r="D67" t="s">
        <v>12</v>
      </c>
      <c r="E67">
        <v>2021</v>
      </c>
      <c r="F67" t="s">
        <v>20</v>
      </c>
      <c r="G67" s="4" t="s">
        <v>10</v>
      </c>
    </row>
    <row r="68" spans="2:7" x14ac:dyDescent="0.25">
      <c r="B68" t="s">
        <v>14</v>
      </c>
      <c r="C68">
        <v>11.38</v>
      </c>
      <c r="D68" t="s">
        <v>12</v>
      </c>
      <c r="E68">
        <v>2018</v>
      </c>
      <c r="F68" s="6" t="s">
        <v>78</v>
      </c>
    </row>
    <row r="69" spans="2:7" x14ac:dyDescent="0.25">
      <c r="B69" t="s">
        <v>14</v>
      </c>
      <c r="C69">
        <f>C68*CPI!$E$33*CPI!$E$34*CPI!$E$35</f>
        <v>11.9580460758</v>
      </c>
      <c r="D69" t="s">
        <v>12</v>
      </c>
      <c r="E69">
        <f>E67</f>
        <v>2021</v>
      </c>
      <c r="F69" s="6" t="str">
        <f>F68</f>
        <v>Gaby's Spreadsheet</v>
      </c>
    </row>
    <row r="70" spans="2:7" x14ac:dyDescent="0.25">
      <c r="B70" t="s">
        <v>15</v>
      </c>
    </row>
    <row r="71" spans="2:7" x14ac:dyDescent="0.25">
      <c r="B71" t="s">
        <v>16</v>
      </c>
    </row>
    <row r="75" spans="2:7" x14ac:dyDescent="0.25">
      <c r="B75" t="s">
        <v>410</v>
      </c>
    </row>
    <row r="76" spans="2:7" x14ac:dyDescent="0.25">
      <c r="B76" t="s">
        <v>0</v>
      </c>
      <c r="C76" t="s">
        <v>1</v>
      </c>
      <c r="D76" t="s">
        <v>2</v>
      </c>
      <c r="E76" t="s">
        <v>4</v>
      </c>
      <c r="F76" t="s">
        <v>3</v>
      </c>
    </row>
    <row r="77" spans="2:7" x14ac:dyDescent="0.25">
      <c r="B77" s="25" t="s">
        <v>378</v>
      </c>
      <c r="C77" s="25">
        <v>2970</v>
      </c>
      <c r="D77">
        <v>1</v>
      </c>
      <c r="E77">
        <v>2021</v>
      </c>
      <c r="F77" s="25" t="s">
        <v>415</v>
      </c>
    </row>
    <row r="78" spans="2:7" x14ac:dyDescent="0.25">
      <c r="B78" s="25" t="s">
        <v>381</v>
      </c>
      <c r="C78" s="25">
        <v>5604</v>
      </c>
      <c r="D78">
        <v>1</v>
      </c>
      <c r="E78">
        <v>2021</v>
      </c>
      <c r="F78" s="25" t="s">
        <v>299</v>
      </c>
    </row>
    <row r="79" spans="2:7" x14ac:dyDescent="0.25">
      <c r="B79" s="25" t="s">
        <v>384</v>
      </c>
      <c r="C79" s="25">
        <v>8852.4</v>
      </c>
      <c r="D79">
        <v>1</v>
      </c>
      <c r="E79">
        <v>2021</v>
      </c>
      <c r="F79" s="25" t="s">
        <v>413</v>
      </c>
    </row>
    <row r="80" spans="2:7" x14ac:dyDescent="0.25">
      <c r="B80" s="25" t="s">
        <v>430</v>
      </c>
      <c r="C80">
        <v>15930</v>
      </c>
      <c r="D80">
        <v>1</v>
      </c>
      <c r="E80">
        <v>2021</v>
      </c>
      <c r="F80" t="s">
        <v>444</v>
      </c>
      <c r="G80" t="s">
        <v>445</v>
      </c>
    </row>
    <row r="81" spans="2:8" x14ac:dyDescent="0.25">
      <c r="B81" s="25" t="s">
        <v>433</v>
      </c>
      <c r="C81">
        <v>24834</v>
      </c>
      <c r="D81">
        <v>1</v>
      </c>
      <c r="E81">
        <v>2021</v>
      </c>
      <c r="F81" t="s">
        <v>444</v>
      </c>
    </row>
    <row r="82" spans="2:8" x14ac:dyDescent="0.25">
      <c r="B82" s="25" t="s">
        <v>355</v>
      </c>
      <c r="C82">
        <v>26935.200000000001</v>
      </c>
      <c r="D82">
        <v>1</v>
      </c>
      <c r="E82">
        <v>2021</v>
      </c>
      <c r="F82" t="s">
        <v>413</v>
      </c>
    </row>
    <row r="83" spans="2:8" x14ac:dyDescent="0.25">
      <c r="B83" s="25" t="s">
        <v>391</v>
      </c>
      <c r="C83">
        <v>29478</v>
      </c>
      <c r="D83">
        <v>1</v>
      </c>
      <c r="E83">
        <v>2021</v>
      </c>
      <c r="F83" t="s">
        <v>413</v>
      </c>
    </row>
    <row r="87" spans="2:8" x14ac:dyDescent="0.25">
      <c r="B87" t="s">
        <v>476</v>
      </c>
      <c r="C87" t="s">
        <v>1</v>
      </c>
      <c r="D87" t="s">
        <v>2</v>
      </c>
      <c r="E87" t="s">
        <v>4</v>
      </c>
      <c r="F87" t="s">
        <v>3</v>
      </c>
      <c r="G87" t="s">
        <v>412</v>
      </c>
    </row>
    <row r="88" spans="2:8" x14ac:dyDescent="0.25">
      <c r="B88" t="s">
        <v>477</v>
      </c>
      <c r="C88">
        <v>40</v>
      </c>
      <c r="D88" t="s">
        <v>478</v>
      </c>
      <c r="E88">
        <v>2021</v>
      </c>
      <c r="F88" t="s">
        <v>479</v>
      </c>
      <c r="G88" s="35">
        <v>44351</v>
      </c>
      <c r="H88" s="14" t="s">
        <v>480</v>
      </c>
    </row>
    <row r="89" spans="2:8" x14ac:dyDescent="0.25">
      <c r="B89" t="s">
        <v>676</v>
      </c>
      <c r="C89">
        <v>32.58</v>
      </c>
      <c r="D89" t="s">
        <v>478</v>
      </c>
      <c r="E89">
        <v>2017</v>
      </c>
      <c r="F89" s="6" t="s">
        <v>78</v>
      </c>
      <c r="H89" t="s">
        <v>677</v>
      </c>
    </row>
    <row r="90" spans="2:8" x14ac:dyDescent="0.25">
      <c r="B90" t="s">
        <v>676</v>
      </c>
      <c r="C90">
        <f>C89*CPI!$E$33*CPI!$E$34*CPI!$E$35*CPI!E32</f>
        <v>35.125005520162802</v>
      </c>
      <c r="D90" t="s">
        <v>478</v>
      </c>
      <c r="E90">
        <v>2021</v>
      </c>
    </row>
    <row r="93" spans="2:8" x14ac:dyDescent="0.25">
      <c r="D93" t="s">
        <v>2</v>
      </c>
      <c r="E93" t="s">
        <v>4</v>
      </c>
    </row>
    <row r="94" spans="2:8" x14ac:dyDescent="0.25">
      <c r="B94" t="s">
        <v>734</v>
      </c>
      <c r="C94">
        <v>1.56</v>
      </c>
      <c r="D94">
        <v>1</v>
      </c>
      <c r="E94">
        <v>2021</v>
      </c>
      <c r="F94" t="s">
        <v>714</v>
      </c>
      <c r="G94" s="35">
        <v>44473</v>
      </c>
      <c r="H94" t="s">
        <v>713</v>
      </c>
    </row>
    <row r="95" spans="2:8" x14ac:dyDescent="0.25">
      <c r="B95" t="s">
        <v>735</v>
      </c>
      <c r="C95">
        <v>1.73</v>
      </c>
      <c r="D95">
        <v>1</v>
      </c>
      <c r="E95">
        <v>2021</v>
      </c>
      <c r="F95" t="s">
        <v>714</v>
      </c>
      <c r="G95" s="35">
        <v>44473</v>
      </c>
      <c r="H95" t="s">
        <v>713</v>
      </c>
    </row>
    <row r="96" spans="2:8" x14ac:dyDescent="0.25">
      <c r="B96" t="s">
        <v>715</v>
      </c>
      <c r="C96">
        <v>5.93</v>
      </c>
      <c r="D96">
        <v>1</v>
      </c>
      <c r="E96">
        <f>E95</f>
        <v>2021</v>
      </c>
      <c r="F96" s="4" t="s">
        <v>714</v>
      </c>
      <c r="G96" s="35">
        <v>44473</v>
      </c>
      <c r="H96" t="s">
        <v>713</v>
      </c>
    </row>
    <row r="97" spans="2:8" x14ac:dyDescent="0.25">
      <c r="B97" t="s">
        <v>716</v>
      </c>
      <c r="C97">
        <v>6.29</v>
      </c>
      <c r="D97">
        <v>1</v>
      </c>
      <c r="E97">
        <v>2021</v>
      </c>
      <c r="F97" t="s">
        <v>714</v>
      </c>
      <c r="G97" s="35">
        <v>44473</v>
      </c>
      <c r="H97" t="s">
        <v>713</v>
      </c>
    </row>
    <row r="100" spans="2:8" x14ac:dyDescent="0.25">
      <c r="B100" t="s">
        <v>768</v>
      </c>
    </row>
    <row r="101" spans="2:8" x14ac:dyDescent="0.25">
      <c r="B101" t="s">
        <v>761</v>
      </c>
      <c r="C101">
        <f>42.91/5</f>
        <v>8.581999999999999</v>
      </c>
      <c r="D101" t="s">
        <v>772</v>
      </c>
      <c r="E101">
        <v>2021</v>
      </c>
      <c r="F101" t="s">
        <v>773</v>
      </c>
      <c r="G101" s="35">
        <v>44475</v>
      </c>
    </row>
    <row r="102" spans="2:8" x14ac:dyDescent="0.25">
      <c r="B102" t="s">
        <v>762</v>
      </c>
      <c r="C102">
        <v>6.22</v>
      </c>
      <c r="D102">
        <v>1</v>
      </c>
      <c r="E102">
        <v>2021</v>
      </c>
      <c r="F102" t="s">
        <v>774</v>
      </c>
      <c r="G102" s="35">
        <v>44475</v>
      </c>
    </row>
    <row r="103" spans="2:8" x14ac:dyDescent="0.25">
      <c r="B103" t="s">
        <v>763</v>
      </c>
      <c r="C103">
        <v>17.61</v>
      </c>
      <c r="D103">
        <v>1</v>
      </c>
      <c r="E103">
        <v>2021</v>
      </c>
      <c r="F103" s="4" t="s">
        <v>769</v>
      </c>
      <c r="G103" s="35">
        <v>44475</v>
      </c>
    </row>
    <row r="104" spans="2:8" x14ac:dyDescent="0.25">
      <c r="B104" t="s">
        <v>764</v>
      </c>
      <c r="C104">
        <v>13.67</v>
      </c>
      <c r="D104">
        <v>1</v>
      </c>
      <c r="E104">
        <v>2021</v>
      </c>
      <c r="F104" t="s">
        <v>770</v>
      </c>
      <c r="G104" s="35">
        <v>44475</v>
      </c>
    </row>
    <row r="105" spans="2:8" x14ac:dyDescent="0.25">
      <c r="B105" t="s">
        <v>766</v>
      </c>
      <c r="C105">
        <v>52.92</v>
      </c>
      <c r="D105">
        <v>1</v>
      </c>
      <c r="E105">
        <v>2021</v>
      </c>
      <c r="F105" t="s">
        <v>771</v>
      </c>
      <c r="G105" s="35">
        <v>44475</v>
      </c>
    </row>
    <row r="107" spans="2:8" x14ac:dyDescent="0.25">
      <c r="B107" t="s">
        <v>898</v>
      </c>
      <c r="F107" s="4"/>
    </row>
    <row r="108" spans="2:8" x14ac:dyDescent="0.25">
      <c r="B108" t="s">
        <v>761</v>
      </c>
      <c r="C108">
        <f>10.27/5</f>
        <v>2.0539999999999998</v>
      </c>
      <c r="D108" t="s">
        <v>772</v>
      </c>
      <c r="E108">
        <v>2021</v>
      </c>
      <c r="F108" s="4" t="s">
        <v>902</v>
      </c>
      <c r="G108" s="35">
        <v>44480</v>
      </c>
    </row>
    <row r="109" spans="2:8" x14ac:dyDescent="0.25">
      <c r="B109" t="s">
        <v>762</v>
      </c>
    </row>
    <row r="110" spans="2:8" x14ac:dyDescent="0.25">
      <c r="B110" t="s">
        <v>763</v>
      </c>
      <c r="C110">
        <v>2.38</v>
      </c>
      <c r="D110" t="s">
        <v>900</v>
      </c>
      <c r="E110">
        <v>2021</v>
      </c>
      <c r="F110" s="4" t="s">
        <v>901</v>
      </c>
      <c r="G110" s="35">
        <v>44480</v>
      </c>
    </row>
    <row r="111" spans="2:8" x14ac:dyDescent="0.25">
      <c r="B111" t="s">
        <v>764</v>
      </c>
      <c r="C111">
        <v>1.81</v>
      </c>
      <c r="D111" t="s">
        <v>900</v>
      </c>
      <c r="E111">
        <v>2021</v>
      </c>
      <c r="F111" t="s">
        <v>903</v>
      </c>
      <c r="G111" s="35">
        <v>44480</v>
      </c>
    </row>
    <row r="120" spans="2:8" x14ac:dyDescent="0.25">
      <c r="B120" t="str">
        <f>'Wetland Design'!AE240</f>
        <v>Enviro 30</v>
      </c>
      <c r="C120">
        <f>'Wetland Design'!AF240</f>
        <v>69.95</v>
      </c>
      <c r="D120" t="str">
        <f>'Wetland Design'!AG240</f>
        <v>pump</v>
      </c>
      <c r="E120">
        <v>2021</v>
      </c>
      <c r="F120" t="str">
        <f>'Wetland Design'!AH240</f>
        <v>Koi Zone</v>
      </c>
      <c r="G120" t="str">
        <f>'Wetland Design'!AI240</f>
        <v>https://www.koi-zone.co.uk/Enviro-ET30-Airpump</v>
      </c>
      <c r="H120" s="35">
        <v>44476</v>
      </c>
    </row>
    <row r="121" spans="2:8" x14ac:dyDescent="0.25">
      <c r="B121" t="str">
        <f>'Wetland Design'!AE241</f>
        <v>Enviro 60</v>
      </c>
      <c r="C121">
        <f>'Wetland Design'!AF241</f>
        <v>84.95</v>
      </c>
      <c r="D121" t="str">
        <f>'Wetland Design'!AG241</f>
        <v>pump</v>
      </c>
      <c r="E121">
        <v>2021</v>
      </c>
      <c r="F121" t="str">
        <f>'Wetland Design'!AH241</f>
        <v>Koi Zone</v>
      </c>
      <c r="G121" t="str">
        <f>'Wetland Design'!AI241</f>
        <v>https://www.koi-zone.co.uk/Enviro-ET-60-Airpump</v>
      </c>
      <c r="H121" s="35">
        <v>44476</v>
      </c>
    </row>
    <row r="122" spans="2:8" x14ac:dyDescent="0.25">
      <c r="B122" t="str">
        <f>'Wetland Design'!AE242</f>
        <v>Enviro 100</v>
      </c>
      <c r="C122">
        <f>'Wetland Design'!AF242</f>
        <v>129.57</v>
      </c>
      <c r="D122" t="str">
        <f>'Wetland Design'!AG242</f>
        <v>pump</v>
      </c>
      <c r="E122">
        <v>2021</v>
      </c>
      <c r="F122" t="str">
        <f>'Wetland Design'!AH242</f>
        <v>Orionair</v>
      </c>
      <c r="G122" t="str">
        <f>'Wetland Design'!AI242</f>
        <v>https://www.orionairsales.co.uk/air-blowers-and-pumps-349-c.asp</v>
      </c>
      <c r="H122" s="35">
        <v>44476</v>
      </c>
    </row>
    <row r="123" spans="2:8" x14ac:dyDescent="0.25">
      <c r="B123" t="str">
        <f>'Wetland Design'!AE243</f>
        <v>Enviro 150</v>
      </c>
      <c r="C123">
        <f>'Wetland Design'!AF243</f>
        <v>283.2</v>
      </c>
      <c r="D123" t="str">
        <f>'Wetland Design'!AG243</f>
        <v>pump</v>
      </c>
      <c r="E123">
        <v>2021</v>
      </c>
      <c r="F123" t="str">
        <f>'Wetland Design'!AH243</f>
        <v>MPCservices</v>
      </c>
      <c r="G123" t="str">
        <f>'Wetland Design'!AI243</f>
        <v>https://www.mpcservices.co.uk/charles-austen-et150-compressor.html</v>
      </c>
      <c r="H123" s="35">
        <v>44476</v>
      </c>
    </row>
    <row r="124" spans="2:8" x14ac:dyDescent="0.25">
      <c r="B124" t="str">
        <f>'Wetland Design'!AE244</f>
        <v>Enviro 250</v>
      </c>
      <c r="C124">
        <f>'Wetland Design'!AF244</f>
        <v>378</v>
      </c>
      <c r="D124" t="str">
        <f>'Wetland Design'!AG244</f>
        <v>pump</v>
      </c>
      <c r="E124">
        <v>2021</v>
      </c>
      <c r="F124" t="str">
        <f>'Wetland Design'!AH244</f>
        <v>MPCservices</v>
      </c>
      <c r="G124" t="str">
        <f>'Wetland Design'!AI244</f>
        <v>https://www.mpcservices.co.uk/charles-austen-et250-compressor.html</v>
      </c>
      <c r="H124" s="35">
        <v>44476</v>
      </c>
    </row>
    <row r="125" spans="2:8" x14ac:dyDescent="0.25">
      <c r="B125" t="str">
        <f>'Wetland Design'!AE245</f>
        <v>HaileaVB-390G</v>
      </c>
      <c r="C125">
        <f>'Wetland Design'!AF245</f>
        <v>180.41</v>
      </c>
      <c r="D125" t="str">
        <f>'Wetland Design'!AG245</f>
        <v>pump</v>
      </c>
      <c r="E125">
        <v>2021</v>
      </c>
      <c r="F125" t="str">
        <f>'Wetland Design'!AH245</f>
        <v>Orionair</v>
      </c>
      <c r="G125" t="str">
        <f>'Wetland Design'!AI245</f>
        <v>https://www.orionairsales.co.uk/air-blowers-and-pumps-349-c.asp</v>
      </c>
      <c r="H125" s="35">
        <v>44476</v>
      </c>
    </row>
    <row r="126" spans="2:8" x14ac:dyDescent="0.25">
      <c r="B126" t="str">
        <f>'Wetland Design'!AE246</f>
        <v>HaileaVB-800G</v>
      </c>
      <c r="C126">
        <f>'Wetland Design'!AF246</f>
        <v>267.74</v>
      </c>
      <c r="D126" t="str">
        <f>'Wetland Design'!AG246</f>
        <v>pump</v>
      </c>
      <c r="E126">
        <v>2021</v>
      </c>
      <c r="F126" t="str">
        <f>'Wetland Design'!AH246</f>
        <v>Orionair</v>
      </c>
      <c r="G126" t="str">
        <f>'Wetland Design'!AI246</f>
        <v>https://www.orionairsales.co.uk/air-blowers-and-pumps-349-c.asp</v>
      </c>
      <c r="H126" s="35">
        <v>44476</v>
      </c>
    </row>
    <row r="127" spans="2:8" x14ac:dyDescent="0.25">
      <c r="B127" t="str">
        <f>'Wetland Design'!AE247</f>
        <v>HaileaVB-2200G</v>
      </c>
      <c r="C127">
        <f>'Wetland Design'!AF247</f>
        <v>396.29</v>
      </c>
      <c r="D127" t="str">
        <f>'Wetland Design'!AG247</f>
        <v>pump</v>
      </c>
      <c r="E127">
        <v>2021</v>
      </c>
      <c r="F127" t="str">
        <f>'Wetland Design'!AH247</f>
        <v>Orionair</v>
      </c>
      <c r="G127" t="str">
        <f>'Wetland Design'!AI247</f>
        <v>https://www.orionairsales.co.uk/air-blowers-and-pumps-349-c.asp</v>
      </c>
      <c r="H127" s="35">
        <v>44476</v>
      </c>
    </row>
    <row r="129" spans="2:10" x14ac:dyDescent="0.25">
      <c r="B129" t="s">
        <v>833</v>
      </c>
      <c r="C129">
        <v>0.65</v>
      </c>
      <c r="D129" t="s">
        <v>772</v>
      </c>
      <c r="E129">
        <v>2021</v>
      </c>
      <c r="F129" t="s">
        <v>835</v>
      </c>
      <c r="G129" s="4" t="s">
        <v>834</v>
      </c>
      <c r="H129" s="35">
        <v>44476</v>
      </c>
    </row>
    <row r="131" spans="2:10" x14ac:dyDescent="0.25">
      <c r="B131" t="s">
        <v>850</v>
      </c>
      <c r="C131">
        <v>1.25</v>
      </c>
      <c r="D131" t="s">
        <v>852</v>
      </c>
      <c r="E131">
        <v>2017</v>
      </c>
      <c r="F131" t="s">
        <v>851</v>
      </c>
    </row>
    <row r="132" spans="2:10" x14ac:dyDescent="0.25">
      <c r="C132">
        <f>C131*CPI!$E$33*CPI!$E$34*CPI!$E$35*CPI!E32</f>
        <v>1.3476444720749998</v>
      </c>
      <c r="D132" t="str">
        <f>D131</f>
        <v>per plant</v>
      </c>
      <c r="E132">
        <v>2021</v>
      </c>
      <c r="F132" t="str">
        <f>F131</f>
        <v>Jenkins 2017</v>
      </c>
    </row>
    <row r="134" spans="2:10" x14ac:dyDescent="0.25">
      <c r="B134" t="s">
        <v>891</v>
      </c>
      <c r="C134">
        <f>667.68/40</f>
        <v>16.692</v>
      </c>
      <c r="D134" t="s">
        <v>892</v>
      </c>
      <c r="E134">
        <v>2021</v>
      </c>
      <c r="F134" s="4" t="s">
        <v>893</v>
      </c>
      <c r="H134" t="s">
        <v>894</v>
      </c>
      <c r="I134">
        <f>920/40</f>
        <v>23</v>
      </c>
      <c r="J134" t="s">
        <v>895</v>
      </c>
    </row>
    <row r="136" spans="2:10" x14ac:dyDescent="0.25">
      <c r="B136" t="s">
        <v>1068</v>
      </c>
      <c r="C136">
        <v>11.94</v>
      </c>
      <c r="D136" t="s">
        <v>1077</v>
      </c>
      <c r="E136">
        <v>2021</v>
      </c>
      <c r="F136" t="s">
        <v>1057</v>
      </c>
      <c r="G136" s="4" t="s">
        <v>1058</v>
      </c>
      <c r="H136" s="35">
        <v>44483</v>
      </c>
    </row>
    <row r="137" spans="2:10" x14ac:dyDescent="0.25">
      <c r="B137" t="s">
        <v>1069</v>
      </c>
      <c r="C137">
        <v>24.4</v>
      </c>
      <c r="D137" t="s">
        <v>1077</v>
      </c>
      <c r="E137">
        <v>2021</v>
      </c>
      <c r="F137" t="s">
        <v>1057</v>
      </c>
      <c r="G137" t="s">
        <v>1058</v>
      </c>
      <c r="H137" s="35">
        <v>44483</v>
      </c>
    </row>
    <row r="138" spans="2:10" x14ac:dyDescent="0.25">
      <c r="B138" t="s">
        <v>1075</v>
      </c>
      <c r="C138">
        <v>9.24</v>
      </c>
      <c r="D138" t="s">
        <v>1077</v>
      </c>
      <c r="E138">
        <v>2021</v>
      </c>
      <c r="F138" t="s">
        <v>1057</v>
      </c>
      <c r="G138" s="4" t="s">
        <v>1070</v>
      </c>
      <c r="H138" s="35">
        <v>44483</v>
      </c>
    </row>
    <row r="139" spans="2:10" x14ac:dyDescent="0.25">
      <c r="B139" t="s">
        <v>1076</v>
      </c>
      <c r="C139">
        <v>6.83</v>
      </c>
      <c r="D139" t="s">
        <v>1077</v>
      </c>
      <c r="E139">
        <v>2021</v>
      </c>
      <c r="F139" t="s">
        <v>1057</v>
      </c>
      <c r="G139" t="s">
        <v>1070</v>
      </c>
      <c r="H139" s="35">
        <v>44483</v>
      </c>
    </row>
    <row r="141" spans="2:10" x14ac:dyDescent="0.25">
      <c r="B141" t="s">
        <v>1426</v>
      </c>
      <c r="C141">
        <f>945.6+158.4</f>
        <v>1104</v>
      </c>
      <c r="D141" t="s">
        <v>1077</v>
      </c>
      <c r="E141">
        <v>2021</v>
      </c>
      <c r="F141" t="s">
        <v>1428</v>
      </c>
      <c r="G141" s="4" t="s">
        <v>1425</v>
      </c>
      <c r="H141" s="35">
        <v>44537</v>
      </c>
    </row>
    <row r="142" spans="2:10" x14ac:dyDescent="0.25">
      <c r="B142" t="s">
        <v>1427</v>
      </c>
      <c r="C142">
        <f>1240.8+158.4</f>
        <v>1399.2</v>
      </c>
      <c r="D142" t="s">
        <v>1077</v>
      </c>
      <c r="E142">
        <v>2021</v>
      </c>
      <c r="F142" t="s">
        <v>1428</v>
      </c>
      <c r="G142" t="s">
        <v>1424</v>
      </c>
      <c r="H142" s="35">
        <v>44537</v>
      </c>
    </row>
    <row r="144" spans="2:10" x14ac:dyDescent="0.25">
      <c r="B144" t="s">
        <v>1440</v>
      </c>
    </row>
    <row r="146" spans="2:8" x14ac:dyDescent="0.25">
      <c r="B146" t="s">
        <v>1432</v>
      </c>
      <c r="C146">
        <v>115</v>
      </c>
      <c r="D146" t="s">
        <v>12</v>
      </c>
      <c r="E146">
        <v>2021</v>
      </c>
      <c r="F146" t="s">
        <v>1434</v>
      </c>
      <c r="G146" t="s">
        <v>1433</v>
      </c>
      <c r="H146" s="35">
        <v>44537</v>
      </c>
    </row>
    <row r="147" spans="2:8" x14ac:dyDescent="0.25">
      <c r="B147" t="s">
        <v>1442</v>
      </c>
      <c r="C147">
        <v>101.86</v>
      </c>
      <c r="D147" t="s">
        <v>1077</v>
      </c>
      <c r="E147">
        <v>2021</v>
      </c>
      <c r="F147" t="s">
        <v>1443</v>
      </c>
      <c r="G147" t="s">
        <v>1444</v>
      </c>
      <c r="H147" s="35">
        <v>44537</v>
      </c>
    </row>
    <row r="148" spans="2:8" x14ac:dyDescent="0.25">
      <c r="B148" t="s">
        <v>1445</v>
      </c>
      <c r="C148">
        <v>92.77</v>
      </c>
      <c r="D148" t="s">
        <v>1077</v>
      </c>
      <c r="E148">
        <v>2021</v>
      </c>
      <c r="F148" t="s">
        <v>1443</v>
      </c>
      <c r="G148" t="s">
        <v>1446</v>
      </c>
      <c r="H148" s="35">
        <v>44537</v>
      </c>
    </row>
    <row r="149" spans="2:8" x14ac:dyDescent="0.25">
      <c r="B149" t="s">
        <v>1441</v>
      </c>
      <c r="C149">
        <f>C147+C148</f>
        <v>194.63</v>
      </c>
      <c r="D149" t="s">
        <v>1077</v>
      </c>
    </row>
    <row r="151" spans="2:8" x14ac:dyDescent="0.25">
      <c r="B151" t="s">
        <v>1438</v>
      </c>
      <c r="C151">
        <v>154.80000000000001</v>
      </c>
      <c r="D151" t="s">
        <v>1077</v>
      </c>
      <c r="E151">
        <v>2021</v>
      </c>
      <c r="F151" t="s">
        <v>1448</v>
      </c>
      <c r="G151" t="s">
        <v>1447</v>
      </c>
      <c r="H151" s="35">
        <v>44537</v>
      </c>
    </row>
    <row r="152" spans="2:8" x14ac:dyDescent="0.25">
      <c r="B152" t="s">
        <v>1449</v>
      </c>
      <c r="C152">
        <v>597.6</v>
      </c>
      <c r="D152" t="s">
        <v>1077</v>
      </c>
      <c r="E152">
        <v>2021</v>
      </c>
      <c r="F152" t="s">
        <v>1443</v>
      </c>
      <c r="G152" t="s">
        <v>1450</v>
      </c>
      <c r="H152" s="35">
        <v>44537</v>
      </c>
    </row>
    <row r="153" spans="2:8" x14ac:dyDescent="0.25">
      <c r="B153" t="s">
        <v>1435</v>
      </c>
      <c r="C153">
        <v>138</v>
      </c>
      <c r="D153" t="s">
        <v>1077</v>
      </c>
      <c r="E153">
        <v>2021</v>
      </c>
      <c r="F153" t="s">
        <v>1443</v>
      </c>
      <c r="G153" t="s">
        <v>1451</v>
      </c>
      <c r="H153" s="35">
        <v>44537</v>
      </c>
    </row>
    <row r="155" spans="2:8" x14ac:dyDescent="0.25">
      <c r="B155" t="s">
        <v>1535</v>
      </c>
    </row>
    <row r="157" spans="2:8" x14ac:dyDescent="0.25">
      <c r="B157" s="6" t="s">
        <v>1536</v>
      </c>
    </row>
    <row r="159" spans="2:8" x14ac:dyDescent="0.25">
      <c r="B159" t="s">
        <v>1537</v>
      </c>
      <c r="C159">
        <v>130</v>
      </c>
      <c r="D159" t="s">
        <v>1538</v>
      </c>
      <c r="E159">
        <v>2022</v>
      </c>
      <c r="F159" t="s">
        <v>1539</v>
      </c>
    </row>
    <row r="160" spans="2:8" x14ac:dyDescent="0.25">
      <c r="B160" t="s">
        <v>1540</v>
      </c>
      <c r="C160">
        <v>3.5</v>
      </c>
    </row>
    <row r="162" spans="2:6" x14ac:dyDescent="0.25">
      <c r="B162" t="s">
        <v>1541</v>
      </c>
      <c r="C162">
        <f>C159/C160</f>
        <v>37.142857142857146</v>
      </c>
      <c r="D162" t="s">
        <v>772</v>
      </c>
      <c r="E162">
        <v>2022</v>
      </c>
    </row>
    <row r="163" spans="2:6" x14ac:dyDescent="0.25">
      <c r="C163">
        <f>C162*1000</f>
        <v>37142.857142857145</v>
      </c>
      <c r="D163" t="s">
        <v>1542</v>
      </c>
    </row>
    <row r="164" spans="2:6" x14ac:dyDescent="0.25">
      <c r="C164">
        <f>C163*1.6</f>
        <v>59428.571428571435</v>
      </c>
    </row>
    <row r="166" spans="2:6" x14ac:dyDescent="0.25">
      <c r="B166" t="s">
        <v>1544</v>
      </c>
      <c r="C166">
        <v>75</v>
      </c>
      <c r="D166" t="s">
        <v>772</v>
      </c>
    </row>
    <row r="167" spans="2:6" x14ac:dyDescent="0.25">
      <c r="C167">
        <f>C166*1000</f>
        <v>75000</v>
      </c>
      <c r="D167" t="s">
        <v>1542</v>
      </c>
    </row>
    <row r="171" spans="2:6" x14ac:dyDescent="0.25">
      <c r="B171" t="s">
        <v>1543</v>
      </c>
      <c r="C171">
        <v>46.25</v>
      </c>
      <c r="D171" t="s">
        <v>1538</v>
      </c>
      <c r="E171">
        <v>2022</v>
      </c>
      <c r="F171" t="s">
        <v>1545</v>
      </c>
    </row>
    <row r="172" spans="2:6" x14ac:dyDescent="0.25">
      <c r="B172" t="s">
        <v>1540</v>
      </c>
      <c r="C172">
        <v>3.5</v>
      </c>
    </row>
    <row r="174" spans="2:6" x14ac:dyDescent="0.25">
      <c r="B174" t="s">
        <v>1541</v>
      </c>
      <c r="C174">
        <f>C171/C172</f>
        <v>13.214285714285714</v>
      </c>
      <c r="D174" t="s">
        <v>772</v>
      </c>
      <c r="E174">
        <v>2022</v>
      </c>
    </row>
    <row r="175" spans="2:6" x14ac:dyDescent="0.25">
      <c r="C175">
        <f>C174*1000</f>
        <v>13214.285714285714</v>
      </c>
      <c r="D175" t="s">
        <v>1542</v>
      </c>
    </row>
    <row r="176" spans="2:6" x14ac:dyDescent="0.25">
      <c r="C176">
        <f>C175*1.6</f>
        <v>21142.857142857145</v>
      </c>
    </row>
    <row r="179" spans="2:6" x14ac:dyDescent="0.25">
      <c r="B179" t="s">
        <v>1573</v>
      </c>
      <c r="C179">
        <v>47.51</v>
      </c>
      <c r="D179" t="s">
        <v>1556</v>
      </c>
      <c r="E179">
        <v>2022</v>
      </c>
      <c r="F179" s="4" t="s">
        <v>1555</v>
      </c>
    </row>
  </sheetData>
  <phoneticPr fontId="10" type="noConversion"/>
  <hyperlinks>
    <hyperlink ref="G5" r:id="rId1" xr:uid="{6D15C121-0DBF-405B-A06D-FFA2F31E4AAA}"/>
    <hyperlink ref="G6" r:id="rId2" xr:uid="{434296D4-90C5-4CBF-9A92-5B89248F11DB}"/>
    <hyperlink ref="G7" r:id="rId3" xr:uid="{57FEFFCE-58DE-4C0C-8908-112D3A0048E0}"/>
    <hyperlink ref="G8" r:id="rId4" xr:uid="{BFADA1FC-FD0B-4348-BAC5-968DF72949E4}"/>
    <hyperlink ref="G65" r:id="rId5" xr:uid="{877F6C97-7812-4F0E-BF9B-9204C8275BDA}"/>
    <hyperlink ref="G9" r:id="rId6" xr:uid="{944DD553-7BD3-44E1-B215-89F35F5DF0EE}"/>
    <hyperlink ref="G10" r:id="rId7" xr:uid="{7A5A4DA9-FCB3-4AEA-A88B-A516046252D3}"/>
    <hyperlink ref="G11" r:id="rId8" xr:uid="{908F1BC9-B26D-4A15-B523-6684B8F1B0B1}"/>
    <hyperlink ref="G14" r:id="rId9" xr:uid="{981E3533-D14B-406A-A63C-2E15B8E7214F}"/>
    <hyperlink ref="G15" r:id="rId10" xr:uid="{42273BAA-7B1F-4799-ABBF-3F6CFEECF840}"/>
    <hyperlink ref="G16" r:id="rId11" xr:uid="{ECDEBE13-8D20-4B06-AFB4-A293B41CD458}"/>
    <hyperlink ref="G64" r:id="rId12" xr:uid="{759D0FCD-D2E2-40A4-A3F2-1EF9E5B9BEB8}"/>
    <hyperlink ref="G13" r:id="rId13" xr:uid="{33A08AFF-8A6A-4F34-BFBA-44A1BB86537E}"/>
    <hyperlink ref="G67" r:id="rId14" xr:uid="{7317B928-6290-488E-82FF-C66E0C572461}"/>
    <hyperlink ref="G55" r:id="rId15" display="https://www.drainageshop.co.uk/landrainage.html?kw=%2Bperforated%20%2Bpvc%20%2Bpipe&amp;ci=289641794806&amp;network=g&amp;pm=&amp;cid=331631403&amp;aid=19830406443&amp;tid=kwd-20739667723&amp;dev=c&amp;mt=b&amp;lim=&amp;lpm=1006870&amp;pos=&amp;dm=&amp;fid=&amp;mid=&amp;pid=&amp;country=&amp;source=google&amp;gclid=CjwKCAiAyc2BBhAaEiwA44-wW2qEmmhgdm0AxZyGHtRYs0niBaHVgadmJqJNBCNGIrxJMPmWZovRBRoCa_EQAvD_BwE" xr:uid="{BAF50ED6-A366-4045-9BE0-F5E10FB7511D}"/>
    <hyperlink ref="G12" r:id="rId16" xr:uid="{1106DCAD-ACE9-4FE0-B896-537D30DF6742}"/>
    <hyperlink ref="I56" r:id="rId17" xr:uid="{F1773BB0-F3E9-430E-9F61-DD1BD07EEF09}"/>
    <hyperlink ref="I58" r:id="rId18" xr:uid="{2E2D8B3C-7F51-4B68-ACE6-82BC58CB83B1}"/>
    <hyperlink ref="F96" r:id="rId19" xr:uid="{EBE7EA0F-B418-48DF-AF74-54A837A5DCDB}"/>
    <hyperlink ref="F103" r:id="rId20" xr:uid="{ACE9E408-23E0-4BF5-99B9-14ED1559436A}"/>
    <hyperlink ref="G129" r:id="rId21" xr:uid="{C4B62E4F-E8DD-4F41-978A-09413F0AE7F0}"/>
    <hyperlink ref="F110" r:id="rId22" display="https://www.plasticpipeshop.co.uk/Inch-PVC-Tee-Equal_c_511.html" xr:uid="{E68DB797-AB85-41B4-8DA1-9B0D1DFFED27}"/>
    <hyperlink ref="F108" r:id="rId23" display="https://www.plasticpipeshop.co.uk/1-Grey-PVC-Pipe-Class-E-5m-Length_p_564.html" xr:uid="{A827335E-593C-4990-B02F-0DAE46592477}"/>
    <hyperlink ref="F134" r:id="rId24" xr:uid="{A3FC53AF-D55D-4D7C-A881-B11DF8A1B8F4}"/>
    <hyperlink ref="G136" r:id="rId25" xr:uid="{1B32E9EA-5971-488F-9759-ED2C4CE872CD}"/>
    <hyperlink ref="G138" r:id="rId26" xr:uid="{A1228F11-4064-472C-AB6F-CEEB593D194B}"/>
    <hyperlink ref="G19" r:id="rId27" xr:uid="{BDEBFCD5-C6DA-49A3-B6D5-AE8CEB414787}"/>
    <hyperlink ref="G25" r:id="rId28" xr:uid="{1447594A-3415-42BB-827A-E697DFE4A424}"/>
    <hyperlink ref="G26" r:id="rId29" xr:uid="{7168F297-D7E7-43C1-BD40-7EBF7F89D0B2}"/>
    <hyperlink ref="G27" r:id="rId30" xr:uid="{D73F0DE1-EAE8-4061-AD68-AAA0CEB51E67}"/>
    <hyperlink ref="G28" r:id="rId31" xr:uid="{9C9C1EF1-009F-46F7-A6F1-1238F927350A}"/>
    <hyperlink ref="G18" r:id="rId32" display="https://www.drainstore.com/septic-sewage-storage/septic-tanks-and-cesspools/septic-tanks-up-to-4600-litres/premier-tech-aqua-septic-tank-4000-litre-low-profile-hdpe/" xr:uid="{5CCA5C87-6EA0-4F67-A26E-86AA81DFB158}"/>
    <hyperlink ref="G141" r:id="rId33" xr:uid="{EF00FA82-A1B6-4197-9223-5D5A8B522191}"/>
    <hyperlink ref="F179" r:id="rId34" xr:uid="{496D5133-E398-4754-A3C3-DC9A987F2F57}"/>
  </hyperlinks>
  <pageMargins left="0.7" right="0.7" top="0.75" bottom="0.75" header="0.3" footer="0.3"/>
  <pageSetup paperSize="9" orientation="portrait" horizontalDpi="4294967293" r:id="rId35"/>
  <drawing r:id="rId3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A366E-66AF-42AB-BEC1-7DFF4FD6BADF}">
  <sheetPr>
    <tabColor theme="9"/>
  </sheetPr>
  <dimension ref="B1:AF112"/>
  <sheetViews>
    <sheetView topLeftCell="A19" workbookViewId="0">
      <selection activeCell="AB26" sqref="AB26"/>
    </sheetView>
  </sheetViews>
  <sheetFormatPr defaultRowHeight="15" x14ac:dyDescent="0.25"/>
  <sheetData>
    <row r="1" spans="2:32" ht="15.75" thickBot="1" x14ac:dyDescent="0.3"/>
    <row r="2" spans="2:32" ht="15" customHeight="1" x14ac:dyDescent="0.25">
      <c r="B2" s="40" t="s">
        <v>156</v>
      </c>
      <c r="C2" s="39" t="s">
        <v>138</v>
      </c>
      <c r="D2" t="s">
        <v>1458</v>
      </c>
      <c r="F2" s="173" t="s">
        <v>156</v>
      </c>
      <c r="G2" s="143" t="s">
        <v>138</v>
      </c>
      <c r="H2" s="168" t="s">
        <v>982</v>
      </c>
      <c r="J2" s="173" t="s">
        <v>156</v>
      </c>
      <c r="K2" s="143" t="s">
        <v>138</v>
      </c>
      <c r="L2" s="167" t="s">
        <v>982</v>
      </c>
      <c r="W2" t="s">
        <v>156</v>
      </c>
    </row>
    <row r="3" spans="2:32" x14ac:dyDescent="0.25">
      <c r="B3" s="162">
        <v>5</v>
      </c>
      <c r="C3" t="s">
        <v>14</v>
      </c>
      <c r="F3" s="173"/>
      <c r="G3" s="143"/>
      <c r="H3" s="168"/>
      <c r="J3" s="173"/>
      <c r="K3" s="143"/>
      <c r="L3" s="168"/>
      <c r="P3" t="s">
        <v>156</v>
      </c>
      <c r="Q3" t="s">
        <v>1459</v>
      </c>
      <c r="R3" t="s">
        <v>593</v>
      </c>
      <c r="S3" t="s">
        <v>604</v>
      </c>
      <c r="X3" t="s">
        <v>1460</v>
      </c>
      <c r="Y3" t="s">
        <v>1108</v>
      </c>
      <c r="Z3" t="s">
        <v>1127</v>
      </c>
      <c r="AA3" t="s">
        <v>1128</v>
      </c>
      <c r="AD3" t="s">
        <v>1108</v>
      </c>
      <c r="AE3" t="s">
        <v>1127</v>
      </c>
      <c r="AF3" t="s">
        <v>1128</v>
      </c>
    </row>
    <row r="4" spans="2:32" x14ac:dyDescent="0.25">
      <c r="B4" s="163"/>
      <c r="C4" t="s">
        <v>181</v>
      </c>
      <c r="F4" s="173"/>
      <c r="G4" s="143"/>
      <c r="H4" s="168"/>
      <c r="J4" s="173"/>
      <c r="K4" s="143"/>
      <c r="L4" s="168"/>
      <c r="P4">
        <v>5</v>
      </c>
      <c r="Q4">
        <f>'ABR-Exca'!E32</f>
        <v>887.26740781634828</v>
      </c>
      <c r="R4">
        <f>VF!$M$28</f>
        <v>2352.2039568315367</v>
      </c>
      <c r="S4">
        <f>AHF!$N$40</f>
        <v>1497.9126889824477</v>
      </c>
      <c r="W4">
        <v>5</v>
      </c>
      <c r="Y4">
        <v>4310.0937009069048</v>
      </c>
      <c r="Z4">
        <f>Q4+R4</f>
        <v>3239.4713646478849</v>
      </c>
      <c r="AA4">
        <f t="shared" ref="AA4:AA18" si="0">Q4+S4</f>
        <v>2385.1800967987961</v>
      </c>
      <c r="AD4">
        <f t="shared" ref="AD4:AD18" si="1">Y4/$W4</f>
        <v>862.01874018138096</v>
      </c>
      <c r="AE4">
        <f t="shared" ref="AE4:AE18" si="2">Z4/$W4</f>
        <v>647.89427292957703</v>
      </c>
      <c r="AF4">
        <f t="shared" ref="AF4:AF18" si="3">AA4/$W4</f>
        <v>477.03601935975922</v>
      </c>
    </row>
    <row r="5" spans="2:32" x14ac:dyDescent="0.25">
      <c r="B5" s="163"/>
      <c r="F5" s="166">
        <v>5</v>
      </c>
      <c r="G5" t="s">
        <v>980</v>
      </c>
      <c r="J5" s="166">
        <v>5</v>
      </c>
      <c r="K5" t="s">
        <v>993</v>
      </c>
      <c r="P5">
        <v>10</v>
      </c>
      <c r="Q5">
        <f>'ABR-Exca'!E33</f>
        <v>1120.2967700715831</v>
      </c>
      <c r="R5">
        <f>VF!$X$28</f>
        <v>4555.1490307460417</v>
      </c>
      <c r="S5">
        <f>AHF!$Z$40</f>
        <v>2233.9076394376484</v>
      </c>
      <c r="W5">
        <v>10</v>
      </c>
      <c r="Y5">
        <v>7780.9026922892381</v>
      </c>
      <c r="Z5">
        <f t="shared" ref="Z5:Z18" si="4">Q5+R5</f>
        <v>5675.4458008176243</v>
      </c>
      <c r="AA5">
        <f t="shared" si="0"/>
        <v>3354.2044095092315</v>
      </c>
      <c r="AD5">
        <f t="shared" si="1"/>
        <v>778.09026922892383</v>
      </c>
      <c r="AE5">
        <f t="shared" si="2"/>
        <v>567.54458008176243</v>
      </c>
      <c r="AF5">
        <f t="shared" si="3"/>
        <v>335.42044095092314</v>
      </c>
    </row>
    <row r="6" spans="2:32" x14ac:dyDescent="0.25">
      <c r="B6" s="163"/>
      <c r="F6" s="166"/>
      <c r="G6" t="s">
        <v>985</v>
      </c>
      <c r="J6" s="166"/>
      <c r="P6">
        <v>20</v>
      </c>
      <c r="Q6">
        <f>'ABR-Exca'!E34</f>
        <v>1951.532381261404</v>
      </c>
      <c r="R6">
        <f>VF!$AI$28</f>
        <v>8630.0796087781473</v>
      </c>
      <c r="S6">
        <f>AHF!$AK$40</f>
        <v>3677.5186195644719</v>
      </c>
      <c r="W6">
        <v>20</v>
      </c>
      <c r="Y6">
        <v>13767.70314578991</v>
      </c>
      <c r="Z6">
        <f t="shared" si="4"/>
        <v>10581.611990039552</v>
      </c>
      <c r="AA6">
        <f t="shared" si="0"/>
        <v>5629.0510008258761</v>
      </c>
      <c r="AD6">
        <f t="shared" si="1"/>
        <v>688.38515728949551</v>
      </c>
      <c r="AE6">
        <f t="shared" si="2"/>
        <v>529.08059950197753</v>
      </c>
      <c r="AF6">
        <f t="shared" si="3"/>
        <v>281.45255004129382</v>
      </c>
    </row>
    <row r="7" spans="2:32" x14ac:dyDescent="0.25">
      <c r="B7" s="163"/>
      <c r="F7" s="166"/>
      <c r="J7" s="166"/>
      <c r="P7">
        <v>30</v>
      </c>
      <c r="Q7">
        <f>'ABR-Exca'!E35</f>
        <v>2301.0736941729683</v>
      </c>
      <c r="R7">
        <f>VF!$AT$28</f>
        <v>12897.218608404817</v>
      </c>
      <c r="S7">
        <f>AHF!$AV$40</f>
        <v>4961.1281663039508</v>
      </c>
      <c r="W7">
        <v>30</v>
      </c>
      <c r="Y7">
        <v>17608.088680610017</v>
      </c>
      <c r="Z7">
        <f t="shared" si="4"/>
        <v>15198.292302577785</v>
      </c>
      <c r="AA7">
        <f t="shared" si="0"/>
        <v>7262.2018604769191</v>
      </c>
      <c r="AD7">
        <f t="shared" si="1"/>
        <v>586.93628935366723</v>
      </c>
      <c r="AE7">
        <f t="shared" si="2"/>
        <v>506.60974341925953</v>
      </c>
      <c r="AF7">
        <f t="shared" si="3"/>
        <v>242.07339534923065</v>
      </c>
    </row>
    <row r="8" spans="2:32" x14ac:dyDescent="0.25">
      <c r="B8" s="163"/>
      <c r="F8" s="166"/>
      <c r="J8" s="166"/>
      <c r="P8">
        <v>50</v>
      </c>
      <c r="Q8">
        <f>'ABR-Exca'!E36</f>
        <v>2977.2132553352576</v>
      </c>
      <c r="R8">
        <f>VF!$BE$28</f>
        <v>21283.123603349177</v>
      </c>
      <c r="S8">
        <f>AHF!$BG$40</f>
        <v>7354.7737600718156</v>
      </c>
      <c r="W8">
        <v>50</v>
      </c>
      <c r="Y8">
        <v>27297.220756277788</v>
      </c>
      <c r="Z8">
        <f t="shared" si="4"/>
        <v>24260.336858684434</v>
      </c>
      <c r="AA8">
        <f t="shared" si="0"/>
        <v>10331.987015407074</v>
      </c>
      <c r="AD8">
        <f t="shared" si="1"/>
        <v>545.94441512555579</v>
      </c>
      <c r="AE8">
        <f t="shared" si="2"/>
        <v>485.20673717368868</v>
      </c>
      <c r="AF8">
        <f t="shared" si="3"/>
        <v>206.63974030814148</v>
      </c>
    </row>
    <row r="9" spans="2:32" x14ac:dyDescent="0.25">
      <c r="B9" s="163"/>
      <c r="F9" s="166"/>
      <c r="J9" s="166"/>
      <c r="P9">
        <v>75</v>
      </c>
      <c r="Q9">
        <f>'ABR-Exca'!E37</f>
        <v>4265.0726044703515</v>
      </c>
      <c r="R9">
        <f>VF!$BP$28</f>
        <v>31527.84077743419</v>
      </c>
      <c r="S9">
        <f>AHF!$BR$40</f>
        <v>12600.760636013538</v>
      </c>
      <c r="W9">
        <v>75</v>
      </c>
      <c r="Y9">
        <v>35794.11134113025</v>
      </c>
      <c r="Z9">
        <f t="shared" si="4"/>
        <v>35792.913381904538</v>
      </c>
      <c r="AA9">
        <f t="shared" si="0"/>
        <v>16865.833240483887</v>
      </c>
      <c r="AD9">
        <f t="shared" si="1"/>
        <v>477.2548178817367</v>
      </c>
      <c r="AE9">
        <f t="shared" si="2"/>
        <v>477.2388450920605</v>
      </c>
      <c r="AF9">
        <f t="shared" si="3"/>
        <v>224.87777653978517</v>
      </c>
    </row>
    <row r="10" spans="2:32" x14ac:dyDescent="0.25">
      <c r="B10" s="163"/>
      <c r="F10" s="166"/>
      <c r="J10" s="166"/>
      <c r="P10">
        <v>100</v>
      </c>
      <c r="Q10">
        <f>'ABR-Exca'!E38</f>
        <v>5074.2866356006407</v>
      </c>
      <c r="R10">
        <f>VF!$CA$28</f>
        <v>41576.058427982949</v>
      </c>
      <c r="S10">
        <f>AHF!$CC$40</f>
        <v>15820.197359661826</v>
      </c>
      <c r="W10">
        <v>100</v>
      </c>
      <c r="Y10">
        <v>40016.929668373516</v>
      </c>
      <c r="Z10">
        <f t="shared" si="4"/>
        <v>46650.345063583591</v>
      </c>
      <c r="AA10">
        <f t="shared" si="0"/>
        <v>20894.483995262468</v>
      </c>
      <c r="AD10">
        <f t="shared" si="1"/>
        <v>400.16929668373518</v>
      </c>
      <c r="AE10">
        <f t="shared" si="2"/>
        <v>466.50345063583592</v>
      </c>
      <c r="AF10">
        <f t="shared" si="3"/>
        <v>208.94483995262468</v>
      </c>
    </row>
    <row r="11" spans="2:32" x14ac:dyDescent="0.25">
      <c r="B11" s="163"/>
      <c r="F11" s="166">
        <v>10</v>
      </c>
      <c r="G11" t="s">
        <v>980</v>
      </c>
      <c r="J11" s="166">
        <v>10</v>
      </c>
      <c r="K11" t="s">
        <v>993</v>
      </c>
      <c r="P11">
        <v>150</v>
      </c>
      <c r="Q11">
        <f>AVERAGE(Q10,Q12)</f>
        <v>6891.6360097071592</v>
      </c>
      <c r="R11">
        <f>VF!$CL$111</f>
        <v>81352.024284242914</v>
      </c>
      <c r="S11">
        <f>AHF!$CN$40</f>
        <v>20926.619010306003</v>
      </c>
      <c r="W11">
        <v>150</v>
      </c>
      <c r="Y11">
        <v>59301.044786547631</v>
      </c>
      <c r="Z11">
        <f t="shared" si="4"/>
        <v>88243.660293950074</v>
      </c>
      <c r="AA11">
        <f t="shared" si="0"/>
        <v>27818.255020013163</v>
      </c>
      <c r="AD11">
        <f t="shared" si="1"/>
        <v>395.3402985769842</v>
      </c>
      <c r="AE11">
        <f t="shared" si="2"/>
        <v>588.29106862633387</v>
      </c>
      <c r="AF11">
        <f t="shared" si="3"/>
        <v>185.45503346675443</v>
      </c>
    </row>
    <row r="12" spans="2:32" x14ac:dyDescent="0.25">
      <c r="B12" s="163"/>
      <c r="F12" s="166"/>
      <c r="J12" s="166"/>
      <c r="P12">
        <v>200</v>
      </c>
      <c r="Q12">
        <f>'ABR-Exca'!E39</f>
        <v>8708.9853838136787</v>
      </c>
      <c r="R12">
        <f>VF!$CW$111</f>
        <v>107054.98514383459</v>
      </c>
      <c r="S12">
        <f>AHF!$CY$40</f>
        <v>28556.630030461383</v>
      </c>
      <c r="W12">
        <v>200</v>
      </c>
      <c r="Y12">
        <v>73676.438116863195</v>
      </c>
      <c r="Z12">
        <f t="shared" si="4"/>
        <v>115763.97052764827</v>
      </c>
      <c r="AA12">
        <f t="shared" si="0"/>
        <v>37265.61541427506</v>
      </c>
      <c r="AD12">
        <f t="shared" si="1"/>
        <v>368.38219058431599</v>
      </c>
      <c r="AE12">
        <f t="shared" si="2"/>
        <v>578.8198526382414</v>
      </c>
      <c r="AF12">
        <f t="shared" si="3"/>
        <v>186.3280770713753</v>
      </c>
    </row>
    <row r="13" spans="2:32" x14ac:dyDescent="0.25">
      <c r="B13" s="162">
        <v>10</v>
      </c>
      <c r="C13" t="s">
        <v>14</v>
      </c>
      <c r="F13" s="166"/>
      <c r="J13" s="166"/>
      <c r="P13">
        <v>300</v>
      </c>
      <c r="Q13">
        <f>'ABR-Exca'!E40</f>
        <v>12290.574077928772</v>
      </c>
      <c r="R13">
        <f>VF!$DH$111</f>
        <v>160581.80389351587</v>
      </c>
      <c r="S13">
        <f>AHF!$DJ$40</f>
        <v>41378.118820612006</v>
      </c>
      <c r="W13">
        <v>300</v>
      </c>
      <c r="Y13">
        <v>100043.6381439713</v>
      </c>
      <c r="Z13">
        <f t="shared" si="4"/>
        <v>172872.37797144463</v>
      </c>
      <c r="AA13">
        <f t="shared" si="0"/>
        <v>53668.692898540779</v>
      </c>
      <c r="AD13">
        <f t="shared" si="1"/>
        <v>333.47879381323764</v>
      </c>
      <c r="AE13">
        <f t="shared" si="2"/>
        <v>576.24125990481548</v>
      </c>
      <c r="AF13">
        <f t="shared" si="3"/>
        <v>178.89564299513594</v>
      </c>
    </row>
    <row r="14" spans="2:32" x14ac:dyDescent="0.25">
      <c r="B14" s="163"/>
      <c r="C14" t="s">
        <v>181</v>
      </c>
      <c r="F14" s="166"/>
      <c r="J14" s="166"/>
      <c r="P14">
        <v>400</v>
      </c>
      <c r="Q14">
        <f>'ABR-Exca'!E41</f>
        <v>15379.77156055209</v>
      </c>
      <c r="R14">
        <f>VF!$DS$111</f>
        <v>214108.62264319713</v>
      </c>
      <c r="S14">
        <f>AHF!$DU$40</f>
        <v>56859.596860922771</v>
      </c>
      <c r="W14">
        <v>400</v>
      </c>
      <c r="Y14">
        <v>124295.5995333866</v>
      </c>
      <c r="Z14">
        <f t="shared" si="4"/>
        <v>229488.39420374922</v>
      </c>
      <c r="AA14">
        <f t="shared" si="0"/>
        <v>72239.368421474865</v>
      </c>
      <c r="AD14">
        <f t="shared" si="1"/>
        <v>310.7389988334665</v>
      </c>
      <c r="AE14">
        <f t="shared" si="2"/>
        <v>573.72098550937301</v>
      </c>
      <c r="AF14">
        <f t="shared" si="3"/>
        <v>180.59842105368716</v>
      </c>
    </row>
    <row r="15" spans="2:32" x14ac:dyDescent="0.25">
      <c r="B15" s="163"/>
      <c r="F15" s="166"/>
      <c r="J15" s="166"/>
      <c r="P15">
        <v>500</v>
      </c>
      <c r="Q15">
        <f>'ABR-Exca'!E42</f>
        <v>18916.299700808355</v>
      </c>
      <c r="R15">
        <f>VF!$ED$111</f>
        <v>264447.09690722253</v>
      </c>
      <c r="S15">
        <f>AHF!$EF$40</f>
        <v>69556.228451073388</v>
      </c>
      <c r="W15">
        <v>500</v>
      </c>
      <c r="Y15">
        <v>147087.02308169013</v>
      </c>
      <c r="Z15">
        <f t="shared" si="4"/>
        <v>283363.39660803089</v>
      </c>
      <c r="AA15">
        <f t="shared" si="0"/>
        <v>88472.528151881736</v>
      </c>
      <c r="AD15">
        <f t="shared" si="1"/>
        <v>294.17404616338024</v>
      </c>
      <c r="AE15">
        <f t="shared" si="2"/>
        <v>566.72679321606176</v>
      </c>
      <c r="AF15">
        <f t="shared" si="3"/>
        <v>176.94505630376347</v>
      </c>
    </row>
    <row r="16" spans="2:32" x14ac:dyDescent="0.25">
      <c r="B16" s="163"/>
      <c r="F16" s="166"/>
      <c r="J16" s="166"/>
      <c r="P16">
        <v>600</v>
      </c>
      <c r="Q16">
        <f>'ABR-Exca'!E43</f>
        <v>21975.448778486814</v>
      </c>
      <c r="R16">
        <f>VF!$EO$111</f>
        <v>320608.67860066495</v>
      </c>
      <c r="S16">
        <v>82502.950003031219</v>
      </c>
      <c r="W16">
        <v>600</v>
      </c>
      <c r="Y16">
        <v>168778.30009754444</v>
      </c>
      <c r="Z16">
        <f t="shared" si="4"/>
        <v>342584.12737915176</v>
      </c>
      <c r="AA16">
        <f t="shared" si="0"/>
        <v>104478.39878151803</v>
      </c>
      <c r="AD16">
        <f t="shared" si="1"/>
        <v>281.29716682924072</v>
      </c>
      <c r="AE16">
        <f t="shared" si="2"/>
        <v>570.97354563191959</v>
      </c>
      <c r="AF16">
        <f t="shared" si="3"/>
        <v>174.13066463586338</v>
      </c>
    </row>
    <row r="17" spans="2:32" x14ac:dyDescent="0.25">
      <c r="B17" s="163"/>
      <c r="F17" s="166">
        <v>20</v>
      </c>
      <c r="G17" t="s">
        <v>980</v>
      </c>
      <c r="J17" s="166">
        <v>20</v>
      </c>
      <c r="K17" t="s">
        <v>993</v>
      </c>
      <c r="P17">
        <v>800</v>
      </c>
      <c r="Q17">
        <f>'ABR-Exca'!E44</f>
        <v>28532.246738429109</v>
      </c>
      <c r="R17">
        <f>VF!$EZ$111</f>
        <v>375353.33483451826</v>
      </c>
      <c r="S17">
        <v>98960.813053007383</v>
      </c>
      <c r="W17">
        <v>800</v>
      </c>
      <c r="Y17">
        <v>209692.49407603955</v>
      </c>
      <c r="Z17">
        <f t="shared" si="4"/>
        <v>403885.58157294738</v>
      </c>
      <c r="AA17">
        <f t="shared" si="0"/>
        <v>127493.05979143649</v>
      </c>
      <c r="AD17">
        <f t="shared" si="1"/>
        <v>262.11561759504946</v>
      </c>
      <c r="AE17">
        <f t="shared" si="2"/>
        <v>504.85697696618422</v>
      </c>
      <c r="AF17">
        <f t="shared" si="3"/>
        <v>159.36632473929561</v>
      </c>
    </row>
    <row r="18" spans="2:32" x14ac:dyDescent="0.25">
      <c r="B18" s="163"/>
      <c r="F18" s="166"/>
      <c r="J18" s="166"/>
      <c r="P18">
        <v>1000</v>
      </c>
      <c r="Q18">
        <f>'ABR-Exca'!E45</f>
        <v>35064.198709968645</v>
      </c>
      <c r="R18">
        <f>VF!$FL$111</f>
        <v>431688.84413483273</v>
      </c>
      <c r="S18">
        <v>111455.25948607197</v>
      </c>
      <c r="W18">
        <v>1000</v>
      </c>
      <c r="Y18">
        <v>248142.69235601506</v>
      </c>
      <c r="Z18">
        <f t="shared" si="4"/>
        <v>466753.04284480138</v>
      </c>
      <c r="AA18">
        <f t="shared" si="0"/>
        <v>146519.45819604062</v>
      </c>
      <c r="AD18">
        <f t="shared" si="1"/>
        <v>248.14269235601506</v>
      </c>
      <c r="AE18">
        <f t="shared" si="2"/>
        <v>466.75304284480137</v>
      </c>
      <c r="AF18">
        <f t="shared" si="3"/>
        <v>146.51945819604063</v>
      </c>
    </row>
    <row r="19" spans="2:32" x14ac:dyDescent="0.25">
      <c r="B19" s="163"/>
      <c r="F19" s="166"/>
      <c r="J19" s="166"/>
    </row>
    <row r="20" spans="2:32" x14ac:dyDescent="0.25">
      <c r="B20" s="163"/>
      <c r="F20" s="166"/>
      <c r="J20" s="166"/>
    </row>
    <row r="21" spans="2:32" x14ac:dyDescent="0.25">
      <c r="B21" s="163"/>
      <c r="F21" s="166"/>
      <c r="J21" s="166"/>
    </row>
    <row r="22" spans="2:32" x14ac:dyDescent="0.25">
      <c r="B22" s="163"/>
      <c r="F22" s="166"/>
      <c r="J22" s="166"/>
    </row>
    <row r="23" spans="2:32" x14ac:dyDescent="0.25">
      <c r="B23" s="162">
        <v>20</v>
      </c>
      <c r="C23" t="s">
        <v>14</v>
      </c>
      <c r="F23" s="166">
        <v>30</v>
      </c>
      <c r="G23" t="s">
        <v>980</v>
      </c>
      <c r="J23" s="166">
        <v>30</v>
      </c>
      <c r="K23" t="s">
        <v>993</v>
      </c>
    </row>
    <row r="24" spans="2:32" x14ac:dyDescent="0.25">
      <c r="B24" s="163"/>
      <c r="C24" t="s">
        <v>181</v>
      </c>
      <c r="F24" s="166"/>
      <c r="J24" s="166"/>
    </row>
    <row r="25" spans="2:32" x14ac:dyDescent="0.25">
      <c r="B25" s="163"/>
      <c r="F25" s="166"/>
      <c r="J25" s="166"/>
    </row>
    <row r="26" spans="2:32" x14ac:dyDescent="0.25">
      <c r="B26" s="163"/>
      <c r="F26" s="166"/>
      <c r="J26" s="166"/>
    </row>
    <row r="27" spans="2:32" x14ac:dyDescent="0.25">
      <c r="B27" s="163"/>
      <c r="F27" s="166"/>
      <c r="J27" s="166"/>
    </row>
    <row r="28" spans="2:32" x14ac:dyDescent="0.25">
      <c r="B28" s="163"/>
      <c r="F28" s="166"/>
      <c r="J28" s="166"/>
    </row>
    <row r="29" spans="2:32" x14ac:dyDescent="0.25">
      <c r="B29" s="163"/>
      <c r="F29" s="166">
        <v>50</v>
      </c>
      <c r="G29" t="s">
        <v>980</v>
      </c>
      <c r="J29" s="166">
        <v>50</v>
      </c>
      <c r="K29" t="s">
        <v>993</v>
      </c>
    </row>
    <row r="30" spans="2:32" x14ac:dyDescent="0.25">
      <c r="B30" s="163"/>
      <c r="F30" s="166"/>
      <c r="J30" s="166"/>
    </row>
    <row r="31" spans="2:32" x14ac:dyDescent="0.25">
      <c r="B31" s="163"/>
      <c r="F31" s="166"/>
      <c r="J31" s="166"/>
    </row>
    <row r="32" spans="2:32" x14ac:dyDescent="0.25">
      <c r="B32" s="163"/>
      <c r="F32" s="166"/>
      <c r="J32" s="166"/>
    </row>
    <row r="33" spans="2:11" x14ac:dyDescent="0.25">
      <c r="B33" s="162">
        <v>30</v>
      </c>
      <c r="C33" t="s">
        <v>14</v>
      </c>
      <c r="F33" s="166"/>
      <c r="J33" s="166"/>
    </row>
    <row r="34" spans="2:11" x14ac:dyDescent="0.25">
      <c r="B34" s="163"/>
      <c r="C34" t="s">
        <v>181</v>
      </c>
      <c r="F34" s="166"/>
      <c r="J34" s="166"/>
    </row>
    <row r="35" spans="2:11" x14ac:dyDescent="0.25">
      <c r="B35" s="163"/>
      <c r="F35" s="166">
        <v>75</v>
      </c>
      <c r="G35" t="s">
        <v>980</v>
      </c>
      <c r="J35" s="166">
        <v>75</v>
      </c>
      <c r="K35" t="s">
        <v>993</v>
      </c>
    </row>
    <row r="36" spans="2:11" x14ac:dyDescent="0.25">
      <c r="B36" s="163"/>
      <c r="F36" s="166"/>
      <c r="J36" s="166"/>
    </row>
    <row r="37" spans="2:11" x14ac:dyDescent="0.25">
      <c r="B37" s="163"/>
      <c r="F37" s="166"/>
      <c r="J37" s="166"/>
    </row>
    <row r="38" spans="2:11" x14ac:dyDescent="0.25">
      <c r="B38" s="163"/>
      <c r="F38" s="166"/>
      <c r="J38" s="166"/>
    </row>
    <row r="39" spans="2:11" x14ac:dyDescent="0.25">
      <c r="B39" s="163"/>
      <c r="F39" s="166"/>
      <c r="J39" s="166"/>
    </row>
    <row r="40" spans="2:11" x14ac:dyDescent="0.25">
      <c r="B40" s="163"/>
      <c r="F40" s="166"/>
      <c r="J40" s="166"/>
    </row>
    <row r="41" spans="2:11" x14ac:dyDescent="0.25">
      <c r="B41" s="163"/>
      <c r="F41" s="166">
        <v>100</v>
      </c>
      <c r="G41" t="s">
        <v>980</v>
      </c>
      <c r="J41" s="166">
        <v>100</v>
      </c>
      <c r="K41" t="s">
        <v>993</v>
      </c>
    </row>
    <row r="42" spans="2:11" x14ac:dyDescent="0.25">
      <c r="B42" s="163"/>
      <c r="F42" s="166"/>
      <c r="J42" s="166"/>
    </row>
    <row r="43" spans="2:11" x14ac:dyDescent="0.25">
      <c r="B43" s="162">
        <v>50</v>
      </c>
      <c r="C43" t="s">
        <v>14</v>
      </c>
      <c r="F43" s="166"/>
      <c r="J43" s="166"/>
    </row>
    <row r="44" spans="2:11" x14ac:dyDescent="0.25">
      <c r="B44" s="163"/>
      <c r="C44" t="s">
        <v>181</v>
      </c>
      <c r="F44" s="166"/>
      <c r="J44" s="166"/>
    </row>
    <row r="45" spans="2:11" x14ac:dyDescent="0.25">
      <c r="B45" s="163"/>
      <c r="F45" s="166"/>
      <c r="J45" s="166"/>
    </row>
    <row r="46" spans="2:11" x14ac:dyDescent="0.25">
      <c r="B46" s="163"/>
      <c r="F46" s="166"/>
      <c r="J46" s="166"/>
    </row>
    <row r="47" spans="2:11" x14ac:dyDescent="0.25">
      <c r="B47" s="163"/>
      <c r="F47" s="166">
        <v>150</v>
      </c>
      <c r="G47" t="s">
        <v>980</v>
      </c>
      <c r="J47" s="166">
        <v>150</v>
      </c>
      <c r="K47" t="s">
        <v>993</v>
      </c>
    </row>
    <row r="48" spans="2:11" x14ac:dyDescent="0.25">
      <c r="B48" s="163"/>
      <c r="F48" s="166"/>
      <c r="J48" s="166"/>
    </row>
    <row r="49" spans="2:11" x14ac:dyDescent="0.25">
      <c r="B49" s="163"/>
      <c r="F49" s="166"/>
      <c r="J49" s="166"/>
    </row>
    <row r="50" spans="2:11" x14ac:dyDescent="0.25">
      <c r="B50" s="163"/>
      <c r="F50" s="166"/>
      <c r="J50" s="166"/>
    </row>
    <row r="51" spans="2:11" x14ac:dyDescent="0.25">
      <c r="B51" s="163"/>
      <c r="F51" s="166"/>
      <c r="J51" s="166"/>
    </row>
    <row r="52" spans="2:11" x14ac:dyDescent="0.25">
      <c r="B52" s="162">
        <v>75</v>
      </c>
      <c r="C52" t="s">
        <v>14</v>
      </c>
      <c r="F52" s="166"/>
      <c r="J52" s="166"/>
    </row>
    <row r="53" spans="2:11" x14ac:dyDescent="0.25">
      <c r="B53" s="163"/>
      <c r="C53" t="s">
        <v>181</v>
      </c>
      <c r="F53" s="166">
        <v>200</v>
      </c>
      <c r="G53" t="s">
        <v>980</v>
      </c>
      <c r="J53" s="166">
        <v>200</v>
      </c>
      <c r="K53" t="s">
        <v>993</v>
      </c>
    </row>
    <row r="54" spans="2:11" x14ac:dyDescent="0.25">
      <c r="B54" s="163"/>
      <c r="F54" s="166"/>
      <c r="J54" s="166"/>
    </row>
    <row r="55" spans="2:11" x14ac:dyDescent="0.25">
      <c r="B55" s="163"/>
      <c r="F55" s="166"/>
      <c r="J55" s="166"/>
    </row>
    <row r="56" spans="2:11" x14ac:dyDescent="0.25">
      <c r="B56" s="163"/>
      <c r="F56" s="166"/>
      <c r="J56" s="166"/>
    </row>
    <row r="57" spans="2:11" x14ac:dyDescent="0.25">
      <c r="B57" s="163"/>
      <c r="F57" s="166"/>
      <c r="J57" s="166"/>
    </row>
    <row r="58" spans="2:11" x14ac:dyDescent="0.25">
      <c r="B58" s="163"/>
      <c r="F58" s="166"/>
      <c r="J58" s="166"/>
    </row>
    <row r="59" spans="2:11" x14ac:dyDescent="0.25">
      <c r="B59" s="162">
        <v>100</v>
      </c>
      <c r="C59" t="s">
        <v>14</v>
      </c>
      <c r="D59">
        <f>'ABR-Exca'!E38</f>
        <v>5074.2866356006407</v>
      </c>
      <c r="F59" s="166">
        <v>300</v>
      </c>
      <c r="G59" t="s">
        <v>980</v>
      </c>
      <c r="J59" s="166">
        <v>300</v>
      </c>
      <c r="K59" t="s">
        <v>993</v>
      </c>
    </row>
    <row r="60" spans="2:11" x14ac:dyDescent="0.25">
      <c r="B60" s="163"/>
      <c r="C60" t="s">
        <v>181</v>
      </c>
      <c r="F60" s="166"/>
      <c r="J60" s="166"/>
    </row>
    <row r="61" spans="2:11" x14ac:dyDescent="0.25">
      <c r="B61" s="163"/>
      <c r="F61" s="166"/>
      <c r="J61" s="166"/>
    </row>
    <row r="62" spans="2:11" x14ac:dyDescent="0.25">
      <c r="B62" s="163"/>
      <c r="F62" s="166"/>
      <c r="J62" s="166"/>
    </row>
    <row r="63" spans="2:11" x14ac:dyDescent="0.25">
      <c r="B63" s="163"/>
      <c r="F63" s="166"/>
      <c r="J63" s="166"/>
    </row>
    <row r="64" spans="2:11" x14ac:dyDescent="0.25">
      <c r="B64" s="163"/>
      <c r="F64" s="166"/>
      <c r="J64" s="166"/>
    </row>
    <row r="65" spans="2:11" x14ac:dyDescent="0.25">
      <c r="B65" s="164">
        <v>150</v>
      </c>
      <c r="C65" s="6" t="s">
        <v>14</v>
      </c>
      <c r="F65" s="166">
        <v>400</v>
      </c>
      <c r="G65" t="s">
        <v>980</v>
      </c>
      <c r="J65" s="166">
        <v>400</v>
      </c>
      <c r="K65" t="s">
        <v>993</v>
      </c>
    </row>
    <row r="66" spans="2:11" x14ac:dyDescent="0.25">
      <c r="B66" s="165"/>
      <c r="C66" s="6" t="s">
        <v>181</v>
      </c>
      <c r="F66" s="166"/>
      <c r="J66" s="166"/>
    </row>
    <row r="67" spans="2:11" x14ac:dyDescent="0.25">
      <c r="B67" s="165"/>
      <c r="C67" s="6"/>
      <c r="F67" s="166"/>
      <c r="J67" s="166"/>
    </row>
    <row r="68" spans="2:11" x14ac:dyDescent="0.25">
      <c r="B68" s="165"/>
      <c r="C68" s="6"/>
      <c r="F68" s="166"/>
      <c r="J68" s="166"/>
    </row>
    <row r="69" spans="2:11" x14ac:dyDescent="0.25">
      <c r="B69" s="165"/>
      <c r="C69" s="6"/>
      <c r="F69" s="166"/>
      <c r="J69" s="166"/>
    </row>
    <row r="70" spans="2:11" x14ac:dyDescent="0.25">
      <c r="B70" s="165"/>
      <c r="C70" s="6"/>
      <c r="F70" s="166"/>
      <c r="J70" s="166"/>
    </row>
    <row r="71" spans="2:11" x14ac:dyDescent="0.25">
      <c r="B71" s="162">
        <v>200</v>
      </c>
      <c r="C71" t="s">
        <v>14</v>
      </c>
      <c r="D71">
        <f>'ABR-Exca'!E39</f>
        <v>8708.9853838136787</v>
      </c>
      <c r="F71" s="166">
        <v>500</v>
      </c>
      <c r="G71" t="s">
        <v>980</v>
      </c>
      <c r="J71" s="166">
        <v>500</v>
      </c>
      <c r="K71" t="s">
        <v>993</v>
      </c>
    </row>
    <row r="72" spans="2:11" x14ac:dyDescent="0.25">
      <c r="B72" s="163"/>
      <c r="C72" t="s">
        <v>181</v>
      </c>
      <c r="F72" s="166"/>
      <c r="J72" s="166"/>
    </row>
    <row r="73" spans="2:11" x14ac:dyDescent="0.25">
      <c r="B73" s="163"/>
      <c r="F73" s="166"/>
      <c r="J73" s="166"/>
    </row>
    <row r="74" spans="2:11" x14ac:dyDescent="0.25">
      <c r="B74" s="163"/>
      <c r="F74" s="166"/>
      <c r="J74" s="166"/>
    </row>
    <row r="75" spans="2:11" x14ac:dyDescent="0.25">
      <c r="B75" s="163"/>
      <c r="F75" s="166"/>
      <c r="J75" s="166"/>
    </row>
    <row r="76" spans="2:11" x14ac:dyDescent="0.25">
      <c r="B76" s="163"/>
      <c r="F76" s="166"/>
      <c r="J76" s="166"/>
    </row>
    <row r="77" spans="2:11" x14ac:dyDescent="0.25">
      <c r="B77" s="162">
        <v>300</v>
      </c>
      <c r="C77" t="s">
        <v>14</v>
      </c>
      <c r="D77">
        <f>'ABR-Exca'!E40</f>
        <v>12290.574077928772</v>
      </c>
      <c r="F77" s="166">
        <v>600</v>
      </c>
      <c r="G77" t="s">
        <v>980</v>
      </c>
      <c r="J77" s="166">
        <v>600</v>
      </c>
      <c r="K77" t="s">
        <v>993</v>
      </c>
    </row>
    <row r="78" spans="2:11" x14ac:dyDescent="0.25">
      <c r="B78" s="163"/>
      <c r="C78" t="s">
        <v>181</v>
      </c>
      <c r="F78" s="166"/>
      <c r="J78" s="166"/>
    </row>
    <row r="79" spans="2:11" x14ac:dyDescent="0.25">
      <c r="B79" s="163"/>
      <c r="F79" s="166"/>
      <c r="J79" s="166"/>
    </row>
    <row r="80" spans="2:11" x14ac:dyDescent="0.25">
      <c r="B80" s="163"/>
      <c r="F80" s="166"/>
      <c r="J80" s="166"/>
    </row>
    <row r="81" spans="2:11" x14ac:dyDescent="0.25">
      <c r="B81" s="163"/>
      <c r="F81" s="166"/>
      <c r="J81" s="166"/>
    </row>
    <row r="82" spans="2:11" x14ac:dyDescent="0.25">
      <c r="B82" s="163"/>
      <c r="F82" s="166"/>
      <c r="J82" s="166"/>
    </row>
    <row r="83" spans="2:11" x14ac:dyDescent="0.25">
      <c r="B83" s="162">
        <v>400</v>
      </c>
      <c r="C83" t="s">
        <v>14</v>
      </c>
      <c r="D83">
        <f>'ABR-Exca'!E41</f>
        <v>15379.77156055209</v>
      </c>
      <c r="F83" s="166">
        <v>800</v>
      </c>
      <c r="G83" t="s">
        <v>980</v>
      </c>
      <c r="J83" s="166">
        <v>800</v>
      </c>
      <c r="K83" t="s">
        <v>993</v>
      </c>
    </row>
    <row r="84" spans="2:11" x14ac:dyDescent="0.25">
      <c r="B84" s="163"/>
      <c r="C84" t="s">
        <v>181</v>
      </c>
      <c r="F84" s="166"/>
      <c r="J84" s="166"/>
    </row>
    <row r="85" spans="2:11" x14ac:dyDescent="0.25">
      <c r="B85" s="163"/>
      <c r="F85" s="166"/>
      <c r="J85" s="166"/>
    </row>
    <row r="86" spans="2:11" x14ac:dyDescent="0.25">
      <c r="B86" s="163"/>
      <c r="F86" s="166"/>
      <c r="J86" s="166"/>
    </row>
    <row r="87" spans="2:11" x14ac:dyDescent="0.25">
      <c r="B87" s="163"/>
      <c r="F87" s="166"/>
      <c r="J87" s="166"/>
    </row>
    <row r="88" spans="2:11" x14ac:dyDescent="0.25">
      <c r="B88" s="163"/>
      <c r="F88" s="166"/>
      <c r="J88" s="166"/>
    </row>
    <row r="89" spans="2:11" x14ac:dyDescent="0.25">
      <c r="B89" s="162">
        <v>500</v>
      </c>
      <c r="C89" t="s">
        <v>14</v>
      </c>
      <c r="D89">
        <f>'ABR-Exca'!E42</f>
        <v>18916.299700808355</v>
      </c>
      <c r="F89" s="166">
        <v>1000</v>
      </c>
      <c r="G89" t="s">
        <v>980</v>
      </c>
      <c r="J89" s="166">
        <v>1000</v>
      </c>
      <c r="K89" t="s">
        <v>993</v>
      </c>
    </row>
    <row r="90" spans="2:11" x14ac:dyDescent="0.25">
      <c r="B90" s="163"/>
      <c r="C90" t="s">
        <v>181</v>
      </c>
      <c r="F90" s="166"/>
      <c r="J90" s="166"/>
    </row>
    <row r="91" spans="2:11" x14ac:dyDescent="0.25">
      <c r="B91" s="163"/>
      <c r="F91" s="166"/>
      <c r="J91" s="166"/>
    </row>
    <row r="92" spans="2:11" x14ac:dyDescent="0.25">
      <c r="B92" s="163"/>
      <c r="F92" s="166"/>
      <c r="J92" s="166"/>
    </row>
    <row r="93" spans="2:11" x14ac:dyDescent="0.25">
      <c r="B93" s="163"/>
      <c r="F93" s="166"/>
      <c r="J93" s="166"/>
    </row>
    <row r="94" spans="2:11" x14ac:dyDescent="0.25">
      <c r="B94" s="163"/>
      <c r="F94" s="166"/>
      <c r="J94" s="166"/>
    </row>
    <row r="95" spans="2:11" x14ac:dyDescent="0.25">
      <c r="B95" s="162">
        <v>600</v>
      </c>
      <c r="C95" t="s">
        <v>14</v>
      </c>
      <c r="D95">
        <f>'ABR-Exca'!E43</f>
        <v>21975.448778486814</v>
      </c>
    </row>
    <row r="96" spans="2:11" x14ac:dyDescent="0.25">
      <c r="B96" s="163"/>
      <c r="C96" t="s">
        <v>181</v>
      </c>
    </row>
    <row r="97" spans="2:4" x14ac:dyDescent="0.25">
      <c r="B97" s="163"/>
    </row>
    <row r="98" spans="2:4" x14ac:dyDescent="0.25">
      <c r="B98" s="163"/>
    </row>
    <row r="99" spans="2:4" x14ac:dyDescent="0.25">
      <c r="B99" s="163"/>
    </row>
    <row r="100" spans="2:4" x14ac:dyDescent="0.25">
      <c r="B100" s="163"/>
    </row>
    <row r="101" spans="2:4" x14ac:dyDescent="0.25">
      <c r="B101" s="162">
        <v>800</v>
      </c>
      <c r="C101" t="s">
        <v>14</v>
      </c>
      <c r="D101">
        <f>'ABR-Exca'!E44</f>
        <v>28532.246738429109</v>
      </c>
    </row>
    <row r="102" spans="2:4" x14ac:dyDescent="0.25">
      <c r="B102" s="163"/>
      <c r="C102" t="s">
        <v>181</v>
      </c>
    </row>
    <row r="103" spans="2:4" x14ac:dyDescent="0.25">
      <c r="B103" s="163"/>
    </row>
    <row r="104" spans="2:4" x14ac:dyDescent="0.25">
      <c r="B104" s="163"/>
    </row>
    <row r="105" spans="2:4" x14ac:dyDescent="0.25">
      <c r="B105" s="163"/>
    </row>
    <row r="106" spans="2:4" x14ac:dyDescent="0.25">
      <c r="B106" s="163"/>
    </row>
    <row r="107" spans="2:4" x14ac:dyDescent="0.25">
      <c r="B107" s="162">
        <v>1000</v>
      </c>
      <c r="C107" t="s">
        <v>14</v>
      </c>
      <c r="D107">
        <f>'ABR-Exca'!E45</f>
        <v>35064.198709968645</v>
      </c>
    </row>
    <row r="108" spans="2:4" x14ac:dyDescent="0.25">
      <c r="B108" s="163"/>
      <c r="C108" t="s">
        <v>181</v>
      </c>
    </row>
    <row r="109" spans="2:4" x14ac:dyDescent="0.25">
      <c r="B109" s="163"/>
    </row>
    <row r="110" spans="2:4" x14ac:dyDescent="0.25">
      <c r="B110" s="163"/>
    </row>
    <row r="111" spans="2:4" x14ac:dyDescent="0.25">
      <c r="B111" s="163"/>
    </row>
    <row r="112" spans="2:4" x14ac:dyDescent="0.25">
      <c r="B112" s="163"/>
    </row>
  </sheetData>
  <mergeCells count="51">
    <mergeCell ref="J89:J94"/>
    <mergeCell ref="J53:J58"/>
    <mergeCell ref="J59:J64"/>
    <mergeCell ref="J65:J70"/>
    <mergeCell ref="J71:J76"/>
    <mergeCell ref="J77:J82"/>
    <mergeCell ref="J83:J88"/>
    <mergeCell ref="F77:F82"/>
    <mergeCell ref="F83:F88"/>
    <mergeCell ref="K2:K4"/>
    <mergeCell ref="L2:L4"/>
    <mergeCell ref="J5:J10"/>
    <mergeCell ref="J11:J16"/>
    <mergeCell ref="J17:J22"/>
    <mergeCell ref="F89:F94"/>
    <mergeCell ref="J2:J4"/>
    <mergeCell ref="J29:J34"/>
    <mergeCell ref="J35:J40"/>
    <mergeCell ref="J41:J46"/>
    <mergeCell ref="J47:J52"/>
    <mergeCell ref="F29:F34"/>
    <mergeCell ref="F35:F40"/>
    <mergeCell ref="F41:F46"/>
    <mergeCell ref="F47:F52"/>
    <mergeCell ref="F53:F58"/>
    <mergeCell ref="F59:F64"/>
    <mergeCell ref="H2:H4"/>
    <mergeCell ref="J23:J28"/>
    <mergeCell ref="F65:F70"/>
    <mergeCell ref="F71:F76"/>
    <mergeCell ref="B95:B100"/>
    <mergeCell ref="B101:B106"/>
    <mergeCell ref="B107:B112"/>
    <mergeCell ref="F2:F4"/>
    <mergeCell ref="G2:G4"/>
    <mergeCell ref="F5:F10"/>
    <mergeCell ref="F11:F16"/>
    <mergeCell ref="F17:F22"/>
    <mergeCell ref="F23:F28"/>
    <mergeCell ref="B59:B64"/>
    <mergeCell ref="B65:B70"/>
    <mergeCell ref="B71:B76"/>
    <mergeCell ref="B77:B82"/>
    <mergeCell ref="B83:B88"/>
    <mergeCell ref="B89:B94"/>
    <mergeCell ref="B3:B12"/>
    <mergeCell ref="B13:B22"/>
    <mergeCell ref="B23:B32"/>
    <mergeCell ref="B33:B42"/>
    <mergeCell ref="B43:B51"/>
    <mergeCell ref="B52:B58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C4558-D28A-4D18-B730-6E5079304259}">
  <sheetPr>
    <tabColor theme="9"/>
  </sheetPr>
  <dimension ref="B3:AA93"/>
  <sheetViews>
    <sheetView workbookViewId="0">
      <selection activeCell="G22" sqref="G22"/>
    </sheetView>
  </sheetViews>
  <sheetFormatPr defaultRowHeight="15" x14ac:dyDescent="0.25"/>
  <cols>
    <col min="4" max="4" width="15.28515625" customWidth="1"/>
  </cols>
  <sheetData>
    <row r="3" spans="2:18" x14ac:dyDescent="0.25">
      <c r="B3" t="s">
        <v>1105</v>
      </c>
    </row>
    <row r="4" spans="2:18" x14ac:dyDescent="0.25">
      <c r="B4" t="s">
        <v>1106</v>
      </c>
      <c r="E4" t="s">
        <v>1107</v>
      </c>
    </row>
    <row r="7" spans="2:18" x14ac:dyDescent="0.25">
      <c r="C7">
        <v>5</v>
      </c>
      <c r="D7">
        <v>10</v>
      </c>
      <c r="E7">
        <v>20</v>
      </c>
      <c r="F7">
        <v>30</v>
      </c>
      <c r="G7">
        <v>50</v>
      </c>
      <c r="H7">
        <v>75</v>
      </c>
      <c r="I7">
        <v>100</v>
      </c>
      <c r="L7">
        <v>5</v>
      </c>
      <c r="M7">
        <v>10</v>
      </c>
      <c r="N7">
        <v>20</v>
      </c>
      <c r="O7">
        <v>30</v>
      </c>
      <c r="P7">
        <v>50</v>
      </c>
      <c r="Q7">
        <v>75</v>
      </c>
      <c r="R7">
        <v>100</v>
      </c>
    </row>
    <row r="8" spans="2:18" x14ac:dyDescent="0.25">
      <c r="B8" t="s">
        <v>1110</v>
      </c>
      <c r="C8">
        <v>11018.762335297653</v>
      </c>
      <c r="D8">
        <v>11749.247715618887</v>
      </c>
      <c r="E8">
        <v>13181.334793903545</v>
      </c>
      <c r="F8">
        <v>14074.87397042476</v>
      </c>
      <c r="G8">
        <v>32118.701930347441</v>
      </c>
      <c r="H8">
        <v>33174.555297998515</v>
      </c>
      <c r="I8">
        <v>43870.637671853437</v>
      </c>
    </row>
    <row r="9" spans="2:18" x14ac:dyDescent="0.25">
      <c r="B9" t="s">
        <v>1109</v>
      </c>
      <c r="C9">
        <v>12205.221687747307</v>
      </c>
      <c r="D9">
        <v>13612.196597122835</v>
      </c>
      <c r="E9">
        <v>16567.252674647869</v>
      </c>
      <c r="F9">
        <v>18983.760850409457</v>
      </c>
      <c r="G9">
        <v>40243.516749944669</v>
      </c>
      <c r="H9">
        <v>45404.359089300931</v>
      </c>
      <c r="I9">
        <v>60120.267311047901</v>
      </c>
      <c r="L9">
        <f>AVERAGE(C8:C9)</f>
        <v>11611.992011522481</v>
      </c>
      <c r="M9">
        <f t="shared" ref="M9:R9" si="0">AVERAGE(D8:D9)</f>
        <v>12680.722156370861</v>
      </c>
      <c r="N9">
        <f t="shared" si="0"/>
        <v>14874.293734275707</v>
      </c>
      <c r="O9">
        <f t="shared" si="0"/>
        <v>16529.317410417108</v>
      </c>
      <c r="P9">
        <f t="shared" si="0"/>
        <v>36181.109340146053</v>
      </c>
      <c r="Q9">
        <f t="shared" si="0"/>
        <v>39289.457193649723</v>
      </c>
      <c r="R9">
        <f t="shared" si="0"/>
        <v>51995.452491450669</v>
      </c>
    </row>
    <row r="10" spans="2:18" x14ac:dyDescent="0.25">
      <c r="B10" t="s">
        <v>1108</v>
      </c>
      <c r="C10">
        <v>33411.982539981764</v>
      </c>
      <c r="D10">
        <v>37189.577809993149</v>
      </c>
      <c r="E10">
        <v>44615.108278969943</v>
      </c>
      <c r="F10">
        <v>67762.955914408143</v>
      </c>
      <c r="G10">
        <v>82054.818273668367</v>
      </c>
      <c r="H10">
        <v>80126.55052191799</v>
      </c>
      <c r="I10">
        <v>103143.32583435145</v>
      </c>
      <c r="L10">
        <v>33411.982539981764</v>
      </c>
      <c r="M10">
        <v>37189.577809993149</v>
      </c>
      <c r="N10">
        <v>44615.108278969943</v>
      </c>
      <c r="O10">
        <v>67762.955914408143</v>
      </c>
      <c r="P10">
        <v>82054.818273668367</v>
      </c>
      <c r="Q10">
        <v>80126.55052191799</v>
      </c>
      <c r="R10">
        <v>103143.32583435145</v>
      </c>
    </row>
    <row r="11" spans="2:18" x14ac:dyDescent="0.25">
      <c r="B11" t="s">
        <v>1103</v>
      </c>
      <c r="C11">
        <v>16758.112424615934</v>
      </c>
      <c r="D11">
        <v>20823.612260414211</v>
      </c>
      <c r="E11">
        <v>29280.81849665309</v>
      </c>
      <c r="F11">
        <v>37550.379507208338</v>
      </c>
      <c r="G11">
        <v>53849.290346012109</v>
      </c>
      <c r="H11">
        <v>74237.397195678263</v>
      </c>
      <c r="I11">
        <v>94057.835739143629</v>
      </c>
      <c r="L11">
        <v>16758.112424615934</v>
      </c>
      <c r="M11">
        <v>20823.612260414211</v>
      </c>
      <c r="N11">
        <v>29280.81849665309</v>
      </c>
      <c r="O11">
        <v>37550.379507208338</v>
      </c>
      <c r="P11">
        <v>53849.290346012109</v>
      </c>
      <c r="Q11">
        <v>74237.397195678263</v>
      </c>
      <c r="R11">
        <v>94057.835739143629</v>
      </c>
    </row>
    <row r="12" spans="2:18" x14ac:dyDescent="0.25">
      <c r="B12" t="s">
        <v>1104</v>
      </c>
      <c r="C12">
        <v>20242.394020850072</v>
      </c>
      <c r="D12">
        <v>23278.436681272873</v>
      </c>
      <c r="E12">
        <v>32456.192129041337</v>
      </c>
      <c r="F12">
        <v>37703.750602134554</v>
      </c>
      <c r="G12">
        <v>47613.321922312331</v>
      </c>
      <c r="H12">
        <v>67719.163804177078</v>
      </c>
      <c r="I12">
        <v>80806.003032640307</v>
      </c>
      <c r="L12">
        <v>20242.394020850072</v>
      </c>
      <c r="M12">
        <v>23278.436681272873</v>
      </c>
      <c r="N12">
        <v>32456.192129041337</v>
      </c>
      <c r="O12">
        <v>37703.750602134554</v>
      </c>
      <c r="P12">
        <v>47613.321922312331</v>
      </c>
      <c r="Q12">
        <v>67719.163804177078</v>
      </c>
      <c r="R12">
        <v>80806.003032640307</v>
      </c>
    </row>
    <row r="18" spans="2:18" x14ac:dyDescent="0.25">
      <c r="B18" t="s">
        <v>1110</v>
      </c>
      <c r="C18">
        <f t="shared" ref="C18:I19" si="1">C8/C$7</f>
        <v>2203.7524670595308</v>
      </c>
      <c r="D18">
        <f t="shared" si="1"/>
        <v>1174.9247715618887</v>
      </c>
      <c r="E18">
        <f t="shared" si="1"/>
        <v>659.06673969517726</v>
      </c>
      <c r="F18">
        <f t="shared" si="1"/>
        <v>469.16246568082533</v>
      </c>
      <c r="G18">
        <f t="shared" si="1"/>
        <v>642.37403860694883</v>
      </c>
      <c r="H18">
        <f t="shared" si="1"/>
        <v>442.32740397331355</v>
      </c>
      <c r="I18">
        <f t="shared" si="1"/>
        <v>438.70637671853439</v>
      </c>
      <c r="L18">
        <v>5</v>
      </c>
      <c r="M18">
        <v>10</v>
      </c>
      <c r="N18">
        <v>20</v>
      </c>
      <c r="O18">
        <v>30</v>
      </c>
      <c r="P18">
        <v>50</v>
      </c>
      <c r="Q18">
        <v>75</v>
      </c>
      <c r="R18">
        <v>100</v>
      </c>
    </row>
    <row r="19" spans="2:18" x14ac:dyDescent="0.25">
      <c r="B19" t="s">
        <v>1109</v>
      </c>
      <c r="C19">
        <f t="shared" si="1"/>
        <v>2441.0443375494615</v>
      </c>
      <c r="D19">
        <f t="shared" si="1"/>
        <v>1361.2196597122834</v>
      </c>
      <c r="E19">
        <f t="shared" si="1"/>
        <v>828.36263373239342</v>
      </c>
      <c r="F19">
        <f t="shared" si="1"/>
        <v>632.79202834698185</v>
      </c>
      <c r="G19">
        <f t="shared" si="1"/>
        <v>804.87033499889333</v>
      </c>
      <c r="H19">
        <f t="shared" si="1"/>
        <v>605.39145452401237</v>
      </c>
      <c r="I19">
        <f t="shared" si="1"/>
        <v>601.20267311047905</v>
      </c>
      <c r="K19" t="s">
        <v>1115</v>
      </c>
      <c r="L19">
        <f t="shared" ref="L19:R19" si="2">L9/L$7</f>
        <v>2322.3984023044964</v>
      </c>
      <c r="M19">
        <f t="shared" si="2"/>
        <v>1268.0722156370862</v>
      </c>
      <c r="N19">
        <f t="shared" si="2"/>
        <v>743.71468671378534</v>
      </c>
      <c r="O19">
        <f t="shared" si="2"/>
        <v>550.97724701390359</v>
      </c>
      <c r="P19">
        <f t="shared" si="2"/>
        <v>723.62218680292108</v>
      </c>
      <c r="Q19">
        <f t="shared" si="2"/>
        <v>523.85942924866299</v>
      </c>
      <c r="R19">
        <f t="shared" si="2"/>
        <v>519.95452491450669</v>
      </c>
    </row>
    <row r="20" spans="2:18" x14ac:dyDescent="0.25">
      <c r="B20" t="s">
        <v>1108</v>
      </c>
      <c r="C20">
        <f>C10/C$7</f>
        <v>6682.3965079963527</v>
      </c>
      <c r="D20">
        <f t="shared" ref="D20:I20" si="3">D10/D$7</f>
        <v>3718.9577809993148</v>
      </c>
      <c r="E20">
        <f t="shared" si="3"/>
        <v>2230.7554139484973</v>
      </c>
      <c r="F20">
        <f t="shared" si="3"/>
        <v>2258.7651971469381</v>
      </c>
      <c r="G20">
        <f t="shared" si="3"/>
        <v>1641.0963654733673</v>
      </c>
      <c r="H20">
        <f t="shared" si="3"/>
        <v>1068.3540069589064</v>
      </c>
      <c r="I20">
        <f t="shared" si="3"/>
        <v>1031.4332583435144</v>
      </c>
      <c r="K20" t="s">
        <v>1108</v>
      </c>
      <c r="L20">
        <f>L10/L$7</f>
        <v>6682.3965079963527</v>
      </c>
      <c r="M20">
        <f t="shared" ref="M20:R20" si="4">M10/M$7</f>
        <v>3718.9577809993148</v>
      </c>
      <c r="N20">
        <f t="shared" si="4"/>
        <v>2230.7554139484973</v>
      </c>
      <c r="O20">
        <f t="shared" si="4"/>
        <v>2258.7651971469381</v>
      </c>
      <c r="P20">
        <f t="shared" si="4"/>
        <v>1641.0963654733673</v>
      </c>
      <c r="Q20">
        <f t="shared" si="4"/>
        <v>1068.3540069589064</v>
      </c>
      <c r="R20">
        <f t="shared" si="4"/>
        <v>1031.4332583435144</v>
      </c>
    </row>
    <row r="21" spans="2:18" x14ac:dyDescent="0.25">
      <c r="B21" t="s">
        <v>1103</v>
      </c>
      <c r="C21">
        <f>C11/C$7</f>
        <v>3351.6224849231867</v>
      </c>
      <c r="D21">
        <f t="shared" ref="D21:I22" si="5">D11/D$7</f>
        <v>2082.3612260414211</v>
      </c>
      <c r="E21">
        <f t="shared" si="5"/>
        <v>1464.0409248326546</v>
      </c>
      <c r="F21">
        <f t="shared" si="5"/>
        <v>1251.6793169069447</v>
      </c>
      <c r="G21">
        <f t="shared" si="5"/>
        <v>1076.9858069202421</v>
      </c>
      <c r="H21">
        <f t="shared" si="5"/>
        <v>989.83196260904344</v>
      </c>
      <c r="I21">
        <f t="shared" si="5"/>
        <v>940.57835739143627</v>
      </c>
      <c r="K21" t="s">
        <v>1114</v>
      </c>
      <c r="L21">
        <f>L11/L$7</f>
        <v>3351.6224849231867</v>
      </c>
      <c r="M21">
        <f t="shared" ref="M21:R21" si="6">M11/M$7</f>
        <v>2082.3612260414211</v>
      </c>
      <c r="N21">
        <f t="shared" si="6"/>
        <v>1464.0409248326546</v>
      </c>
      <c r="O21">
        <f t="shared" si="6"/>
        <v>1251.6793169069447</v>
      </c>
      <c r="P21">
        <f t="shared" si="6"/>
        <v>1076.9858069202421</v>
      </c>
      <c r="Q21">
        <f t="shared" si="6"/>
        <v>989.83196260904344</v>
      </c>
      <c r="R21">
        <f t="shared" si="6"/>
        <v>940.57835739143627</v>
      </c>
    </row>
    <row r="22" spans="2:18" x14ac:dyDescent="0.25">
      <c r="B22" t="s">
        <v>1104</v>
      </c>
      <c r="C22">
        <f>C12/C$7</f>
        <v>4048.4788041700144</v>
      </c>
      <c r="D22">
        <f t="shared" si="5"/>
        <v>2327.8436681272874</v>
      </c>
      <c r="E22">
        <f t="shared" si="5"/>
        <v>1622.8096064520669</v>
      </c>
      <c r="F22">
        <f t="shared" si="5"/>
        <v>1256.7916867378185</v>
      </c>
      <c r="G22">
        <f t="shared" si="5"/>
        <v>952.26643844624664</v>
      </c>
      <c r="H22">
        <f t="shared" si="5"/>
        <v>902.9221840556944</v>
      </c>
      <c r="I22">
        <f>I12/I$7</f>
        <v>808.06003032640308</v>
      </c>
      <c r="K22" t="s">
        <v>1104</v>
      </c>
      <c r="L22">
        <f>L12/L$7</f>
        <v>4048.4788041700144</v>
      </c>
      <c r="M22">
        <f t="shared" ref="M22:R22" si="7">M12/M$7</f>
        <v>2327.8436681272874</v>
      </c>
      <c r="N22">
        <f t="shared" si="7"/>
        <v>1622.8096064520669</v>
      </c>
      <c r="O22">
        <f t="shared" si="7"/>
        <v>1256.7916867378185</v>
      </c>
      <c r="P22">
        <f t="shared" si="7"/>
        <v>952.26643844624664</v>
      </c>
      <c r="Q22">
        <f t="shared" si="7"/>
        <v>902.9221840556944</v>
      </c>
      <c r="R22">
        <f t="shared" si="7"/>
        <v>808.06003032640308</v>
      </c>
    </row>
    <row r="25" spans="2:18" x14ac:dyDescent="0.25">
      <c r="C25" t="s">
        <v>156</v>
      </c>
    </row>
    <row r="30" spans="2:18" x14ac:dyDescent="0.25">
      <c r="D30" t="s">
        <v>1111</v>
      </c>
      <c r="E30" t="s">
        <v>1112</v>
      </c>
    </row>
    <row r="31" spans="2:18" x14ac:dyDescent="0.25">
      <c r="D31">
        <v>1343.7623352976532</v>
      </c>
      <c r="E31">
        <v>2530.221687747307</v>
      </c>
    </row>
    <row r="32" spans="2:18" x14ac:dyDescent="0.25">
      <c r="D32">
        <v>2074.2477156188875</v>
      </c>
      <c r="E32">
        <v>3937.1965971228346</v>
      </c>
    </row>
    <row r="33" spans="3:27" x14ac:dyDescent="0.25">
      <c r="D33">
        <v>3506.3347939035452</v>
      </c>
      <c r="E33">
        <v>6892.252674647867</v>
      </c>
    </row>
    <row r="34" spans="3:27" x14ac:dyDescent="0.25">
      <c r="D34">
        <v>4399.873970424761</v>
      </c>
      <c r="E34">
        <v>9308.7608504094569</v>
      </c>
    </row>
    <row r="35" spans="3:27" x14ac:dyDescent="0.25">
      <c r="D35">
        <v>6233.7019303474372</v>
      </c>
      <c r="E35">
        <v>14358.516749944667</v>
      </c>
    </row>
    <row r="36" spans="3:27" x14ac:dyDescent="0.25">
      <c r="D36">
        <v>7289.5552979985114</v>
      </c>
      <c r="E36">
        <v>19519.359089300928</v>
      </c>
    </row>
    <row r="37" spans="3:27" x14ac:dyDescent="0.25">
      <c r="D37">
        <v>10845.637671853437</v>
      </c>
      <c r="E37">
        <v>27095.267311047901</v>
      </c>
    </row>
    <row r="41" spans="3:27" x14ac:dyDescent="0.25">
      <c r="C41" t="s">
        <v>1115</v>
      </c>
      <c r="D41" t="s">
        <v>1113</v>
      </c>
    </row>
    <row r="42" spans="3:27" x14ac:dyDescent="0.25">
      <c r="C42">
        <f t="shared" ref="C42:C48" si="8">AVERAGE(D31:E31)</f>
        <v>1936.99201152248</v>
      </c>
      <c r="D42">
        <v>387</v>
      </c>
      <c r="L42">
        <v>32.012490179147051</v>
      </c>
      <c r="P42">
        <f>C42+F42+(D42+G42)*L42</f>
        <v>14325.825710852389</v>
      </c>
      <c r="S42">
        <f>P42/S52</f>
        <v>2865.1651421704778</v>
      </c>
      <c r="V42">
        <f>S42/L52</f>
        <v>89.501476646663605</v>
      </c>
      <c r="AA42">
        <f>(Z52/V42)*100</f>
        <v>43.417748906523663</v>
      </c>
    </row>
    <row r="43" spans="3:27" x14ac:dyDescent="0.25">
      <c r="C43">
        <f t="shared" si="8"/>
        <v>3005.7221563708608</v>
      </c>
      <c r="D43">
        <v>387</v>
      </c>
      <c r="L43">
        <v>17.370512072692406</v>
      </c>
      <c r="P43">
        <f>C43+(D43)*L43</f>
        <v>9728.1103285028221</v>
      </c>
      <c r="S43">
        <f t="shared" ref="S43:S48" si="9">P43/S53</f>
        <v>972.81103285028223</v>
      </c>
      <c r="V43">
        <f t="shared" ref="V43:V48" si="10">S43/L53</f>
        <v>56.003589806635894</v>
      </c>
      <c r="AA43">
        <f t="shared" ref="AA43:AA48" si="11">(Z53/V43)*100</f>
        <v>66.627887553959681</v>
      </c>
    </row>
    <row r="44" spans="3:27" x14ac:dyDescent="0.25">
      <c r="C44">
        <f t="shared" si="8"/>
        <v>5199.2937342757059</v>
      </c>
      <c r="D44">
        <v>387</v>
      </c>
      <c r="L44">
        <v>30.723691989564006</v>
      </c>
      <c r="P44">
        <f t="shared" ref="P44:P47" si="12">C44+F44+(D44+G44)*L44</f>
        <v>17089.362534236978</v>
      </c>
      <c r="S44">
        <f t="shared" si="9"/>
        <v>854.46812671184887</v>
      </c>
      <c r="V44">
        <f t="shared" si="10"/>
        <v>27.811375241038355</v>
      </c>
      <c r="AA44">
        <f t="shared" si="11"/>
        <v>96.314045020507251</v>
      </c>
    </row>
    <row r="45" spans="3:27" x14ac:dyDescent="0.25">
      <c r="C45">
        <f t="shared" si="8"/>
        <v>6854.3174104171085</v>
      </c>
      <c r="D45">
        <v>387</v>
      </c>
      <c r="L45">
        <v>38.950624153036884</v>
      </c>
      <c r="P45">
        <f t="shared" si="12"/>
        <v>21928.208957642382</v>
      </c>
      <c r="S45">
        <f t="shared" si="9"/>
        <v>730.94029858807937</v>
      </c>
      <c r="V45">
        <f t="shared" si="10"/>
        <v>18.765817351635167</v>
      </c>
      <c r="AA45">
        <f t="shared" si="11"/>
        <v>127.9058694200715</v>
      </c>
    </row>
    <row r="46" spans="3:27" x14ac:dyDescent="0.25">
      <c r="C46">
        <f t="shared" si="8"/>
        <v>10296.109340146053</v>
      </c>
      <c r="D46">
        <v>1035.4000000000001</v>
      </c>
      <c r="L46">
        <v>39.457641784330562</v>
      </c>
      <c r="P46">
        <f t="shared" si="12"/>
        <v>51150.55164364192</v>
      </c>
      <c r="S46">
        <f t="shared" si="9"/>
        <v>1023.0110328728384</v>
      </c>
      <c r="V46">
        <f t="shared" si="10"/>
        <v>25.926816368409959</v>
      </c>
      <c r="AA46">
        <f t="shared" si="11"/>
        <v>38.569713118956969</v>
      </c>
    </row>
    <row r="47" spans="3:27" x14ac:dyDescent="0.25">
      <c r="C47">
        <f t="shared" si="8"/>
        <v>13404.45719364972</v>
      </c>
      <c r="D47">
        <v>1035.4000000000001</v>
      </c>
      <c r="L47">
        <v>41.120113781114007</v>
      </c>
      <c r="P47">
        <f t="shared" si="12"/>
        <v>55980.223002615166</v>
      </c>
      <c r="S47">
        <f t="shared" si="9"/>
        <v>746.4029733682022</v>
      </c>
      <c r="V47">
        <f t="shared" si="10"/>
        <v>18.151773055429054</v>
      </c>
      <c r="AA47">
        <f t="shared" si="11"/>
        <v>76.654989997410922</v>
      </c>
    </row>
    <row r="48" spans="3:27" x14ac:dyDescent="0.25">
      <c r="C48">
        <f t="shared" si="8"/>
        <v>18970.452491450669</v>
      </c>
      <c r="D48">
        <v>1321</v>
      </c>
      <c r="L48">
        <v>35.541700518545127</v>
      </c>
      <c r="P48">
        <f>C48+(D48+G48)*L48</f>
        <v>65921.038876448787</v>
      </c>
      <c r="Q48">
        <f>C48+(D48)*M58</f>
        <v>51057.408008547514</v>
      </c>
      <c r="S48">
        <f t="shared" si="9"/>
        <v>659.2103887644879</v>
      </c>
      <c r="T48">
        <f>Q48/S58</f>
        <v>510.57408008547515</v>
      </c>
      <c r="V48">
        <f t="shared" si="10"/>
        <v>18.547519650066317</v>
      </c>
      <c r="AA48">
        <f t="shared" si="11"/>
        <v>72.829716789195601</v>
      </c>
    </row>
    <row r="51" spans="3:27" x14ac:dyDescent="0.25">
      <c r="C51" t="s">
        <v>1117</v>
      </c>
      <c r="D51" t="s">
        <v>1116</v>
      </c>
      <c r="F51" t="s">
        <v>1118</v>
      </c>
      <c r="G51" t="s">
        <v>1119</v>
      </c>
      <c r="I51" t="s">
        <v>1120</v>
      </c>
      <c r="J51" t="s">
        <v>1121</v>
      </c>
      <c r="S51" t="s">
        <v>156</v>
      </c>
      <c r="Z51" t="s">
        <v>1114</v>
      </c>
      <c r="AA51" t="s">
        <v>1124</v>
      </c>
    </row>
    <row r="52" spans="3:27" x14ac:dyDescent="0.25">
      <c r="C52">
        <v>890.21954888729272</v>
      </c>
      <c r="D52">
        <v>25.403999999999996</v>
      </c>
      <c r="F52">
        <v>2364.6143491366115</v>
      </c>
      <c r="G52">
        <v>514.72714106368119</v>
      </c>
      <c r="I52">
        <v>1506.1851240395108</v>
      </c>
      <c r="J52">
        <v>1146.8888909633306</v>
      </c>
      <c r="L52">
        <v>32.012490179147051</v>
      </c>
      <c r="P52">
        <f>C52+F52+(D52+G52)*L52</f>
        <v>20545.776746776486</v>
      </c>
      <c r="S52">
        <v>5</v>
      </c>
      <c r="T52">
        <f>-(P42-P52)</f>
        <v>6219.9510359240976</v>
      </c>
      <c r="W52">
        <f>T52/S52</f>
        <v>1243.9902071848196</v>
      </c>
      <c r="Z52">
        <f>W52/L52</f>
        <v>38.859526398079318</v>
      </c>
    </row>
    <row r="53" spans="3:27" x14ac:dyDescent="0.25">
      <c r="C53">
        <v>1125.1919048665895</v>
      </c>
      <c r="D53">
        <v>32.747999999999998</v>
      </c>
      <c r="F53">
        <v>4579.88433756219</v>
      </c>
      <c r="G53">
        <v>571.99344071941732</v>
      </c>
      <c r="I53">
        <v>2247.6720649091149</v>
      </c>
      <c r="J53">
        <v>1221.9282255062867</v>
      </c>
      <c r="L53">
        <v>17.370512072692406</v>
      </c>
      <c r="P53">
        <f t="shared" ref="P53:P57" si="13">C53+F53+(D53+G53)*L53</f>
        <v>16209.74473930282</v>
      </c>
      <c r="S53">
        <v>10</v>
      </c>
      <c r="T53">
        <f t="shared" ref="T53:T56" si="14">-(P43-P53)</f>
        <v>6481.6344107999976</v>
      </c>
      <c r="W53">
        <f t="shared" ref="W53:W57" si="15">T53/S53</f>
        <v>648.16344107999976</v>
      </c>
      <c r="Z53">
        <f t="shared" ref="Z53:Z58" si="16">W53/L53</f>
        <v>37.314008842546187</v>
      </c>
    </row>
    <row r="54" spans="3:27" x14ac:dyDescent="0.25">
      <c r="C54">
        <v>1960.1441946185198</v>
      </c>
      <c r="D54">
        <v>62.124000000000002</v>
      </c>
      <c r="F54">
        <v>8678.8589741464457</v>
      </c>
      <c r="G54">
        <v>683.54861311552486</v>
      </c>
      <c r="I54">
        <v>3701.6611726849787</v>
      </c>
      <c r="J54">
        <v>1468.1047875159134</v>
      </c>
      <c r="L54">
        <v>30.723691989564006</v>
      </c>
      <c r="P54">
        <f t="shared" si="13"/>
        <v>33548.818859179679</v>
      </c>
      <c r="S54">
        <v>20</v>
      </c>
      <c r="T54">
        <f t="shared" si="14"/>
        <v>16459.456324942701</v>
      </c>
      <c r="W54">
        <f t="shared" si="15"/>
        <v>822.97281624713503</v>
      </c>
      <c r="Z54">
        <f t="shared" si="16"/>
        <v>26.786260470475888</v>
      </c>
    </row>
    <row r="55" spans="3:27" x14ac:dyDescent="0.25">
      <c r="C55">
        <v>2313.1493662863722</v>
      </c>
      <c r="D55">
        <v>91.5</v>
      </c>
      <c r="F55">
        <v>12970.671258587485</v>
      </c>
      <c r="G55">
        <v>799.16235529337905</v>
      </c>
      <c r="I55">
        <v>4995.9310886839812</v>
      </c>
      <c r="J55">
        <v>1582.740122932968</v>
      </c>
      <c r="L55">
        <v>38.950624153036884</v>
      </c>
      <c r="P55">
        <f t="shared" si="13"/>
        <v>49975.675273164867</v>
      </c>
      <c r="S55">
        <v>30</v>
      </c>
      <c r="T55">
        <f t="shared" si="14"/>
        <v>28047.466315522484</v>
      </c>
      <c r="W55">
        <f t="shared" si="15"/>
        <v>934.91554385074949</v>
      </c>
      <c r="Z55">
        <f t="shared" si="16"/>
        <v>24.002581837391595</v>
      </c>
    </row>
    <row r="56" spans="3:27" x14ac:dyDescent="0.25">
      <c r="C56">
        <v>2995.9892854689942</v>
      </c>
      <c r="D56">
        <v>150.25199999999998</v>
      </c>
      <c r="F56">
        <v>21405.410146888542</v>
      </c>
      <c r="G56">
        <v>1027.6636365461832</v>
      </c>
      <c r="I56">
        <v>7409.5097467713631</v>
      </c>
      <c r="J56">
        <v>1796.5142326492792</v>
      </c>
      <c r="L56">
        <v>39.457641784330562</v>
      </c>
      <c r="P56">
        <f t="shared" si="13"/>
        <v>70879.172671358538</v>
      </c>
      <c r="S56">
        <v>50</v>
      </c>
      <c r="T56">
        <f t="shared" si="14"/>
        <v>19728.621027716617</v>
      </c>
      <c r="W56">
        <f t="shared" si="15"/>
        <v>394.57242055433233</v>
      </c>
      <c r="Z56">
        <f t="shared" si="16"/>
        <v>9.9998986941744992</v>
      </c>
    </row>
    <row r="57" spans="3:27" x14ac:dyDescent="0.25">
      <c r="C57">
        <v>4292.0903294506406</v>
      </c>
      <c r="D57">
        <v>223.69199999999998</v>
      </c>
      <c r="F57">
        <v>31709.751452523651</v>
      </c>
      <c r="G57">
        <v>1305.7302165481585</v>
      </c>
      <c r="I57">
        <v>12690.229118557216</v>
      </c>
      <c r="J57">
        <v>2264.2350912931688</v>
      </c>
      <c r="L57">
        <v>41.120113781114007</v>
      </c>
      <c r="P57">
        <f t="shared" si="13"/>
        <v>98891.857345798155</v>
      </c>
      <c r="S57">
        <v>75</v>
      </c>
      <c r="T57">
        <f>-(P47-P57)</f>
        <v>42911.634343182988</v>
      </c>
      <c r="W57">
        <f t="shared" si="15"/>
        <v>572.15512457577313</v>
      </c>
      <c r="Z57">
        <f t="shared" si="16"/>
        <v>13.914239819991874</v>
      </c>
    </row>
    <row r="58" spans="3:27" x14ac:dyDescent="0.25">
      <c r="C58">
        <v>5109.3234501817951</v>
      </c>
      <c r="D58">
        <v>297.13199999999995</v>
      </c>
      <c r="F58">
        <v>41818.286428919382</v>
      </c>
      <c r="G58">
        <v>1588.0770344016983</v>
      </c>
      <c r="I58">
        <v>15936.239907629417</v>
      </c>
      <c r="J58">
        <v>2551.7389040395601</v>
      </c>
      <c r="L58">
        <v>35.541700518545127</v>
      </c>
      <c r="M58">
        <v>24.2898981961369</v>
      </c>
      <c r="P58">
        <f>C58+F58+(D58+G58)*L58</f>
        <v>113931.14479466197</v>
      </c>
      <c r="Q58">
        <f>C58+I58+(D58+J58)*M58</f>
        <v>90244.347590868623</v>
      </c>
      <c r="S58">
        <v>100</v>
      </c>
      <c r="T58">
        <f>-(P48-P58)</f>
        <v>48010.105918213187</v>
      </c>
      <c r="U58">
        <f>-(Q48-Q58)</f>
        <v>39186.939582321109</v>
      </c>
      <c r="W58">
        <f>T58/S58</f>
        <v>480.10105918213185</v>
      </c>
      <c r="X58">
        <f>U58/S58</f>
        <v>391.86939582321111</v>
      </c>
      <c r="Z58">
        <f t="shared" si="16"/>
        <v>13.508106032563701</v>
      </c>
      <c r="AA58">
        <f>X58/M58</f>
        <v>16.133019276529311</v>
      </c>
    </row>
    <row r="61" spans="3:27" x14ac:dyDescent="0.25">
      <c r="C61" t="s">
        <v>1122</v>
      </c>
      <c r="D61" t="s">
        <v>1123</v>
      </c>
      <c r="P61">
        <f>P52/S52</f>
        <v>4109.1553493552974</v>
      </c>
      <c r="Q61">
        <f>P61/L52</f>
        <v>128.36100304474292</v>
      </c>
    </row>
    <row r="62" spans="3:27" x14ac:dyDescent="0.25">
      <c r="C62">
        <v>3541.5795574119102</v>
      </c>
      <c r="D62">
        <v>1194.816119302792</v>
      </c>
      <c r="P62">
        <f t="shared" ref="P62:P67" si="17">P53/S53</f>
        <v>1620.9744739302819</v>
      </c>
      <c r="Q62">
        <f t="shared" ref="Q62:Q67" si="18">P62/L53</f>
        <v>93.317598649182074</v>
      </c>
    </row>
    <row r="63" spans="3:27" x14ac:dyDescent="0.25">
      <c r="C63">
        <v>6545.1748274232959</v>
      </c>
      <c r="D63">
        <v>1225.7761193027939</v>
      </c>
      <c r="P63">
        <f t="shared" si="17"/>
        <v>1677.4409429589839</v>
      </c>
      <c r="Q63">
        <f t="shared" si="18"/>
        <v>54.597635711514243</v>
      </c>
    </row>
    <row r="64" spans="3:27" x14ac:dyDescent="0.25">
      <c r="C64">
        <v>10885.205296400098</v>
      </c>
      <c r="D64">
        <v>1349.1961193027937</v>
      </c>
      <c r="P64">
        <f t="shared" si="17"/>
        <v>1665.8558424388289</v>
      </c>
      <c r="Q64">
        <f t="shared" si="18"/>
        <v>42.768399189026759</v>
      </c>
    </row>
    <row r="65" spans="3:17" x14ac:dyDescent="0.25">
      <c r="C65">
        <v>17608.088680610017</v>
      </c>
      <c r="D65">
        <v>2006.194689351925</v>
      </c>
      <c r="P65">
        <f t="shared" si="17"/>
        <v>1417.5834534271708</v>
      </c>
      <c r="Q65">
        <f t="shared" si="18"/>
        <v>35.926715062584456</v>
      </c>
    </row>
    <row r="66" spans="3:17" x14ac:dyDescent="0.25">
      <c r="C66">
        <v>27297.220756277788</v>
      </c>
      <c r="D66">
        <v>2190.3039006956233</v>
      </c>
      <c r="P66">
        <f t="shared" si="17"/>
        <v>1318.5580979439753</v>
      </c>
      <c r="Q66">
        <f t="shared" si="18"/>
        <v>32.066012875420931</v>
      </c>
    </row>
    <row r="67" spans="3:17" x14ac:dyDescent="0.25">
      <c r="C67">
        <v>35794.11134113025</v>
      </c>
      <c r="D67">
        <v>1773.2975672315097</v>
      </c>
      <c r="P67">
        <f t="shared" si="17"/>
        <v>1139.3114479466196</v>
      </c>
      <c r="Q67">
        <f t="shared" si="18"/>
        <v>32.055625682630016</v>
      </c>
    </row>
    <row r="68" spans="3:17" x14ac:dyDescent="0.25">
      <c r="C68">
        <v>40016.929668373516</v>
      </c>
      <c r="D68">
        <v>2525.0558466391171</v>
      </c>
    </row>
    <row r="77" spans="3:17" x14ac:dyDescent="0.25">
      <c r="D77" t="s">
        <v>1133</v>
      </c>
      <c r="E77" t="s">
        <v>1131</v>
      </c>
      <c r="F77" t="s">
        <v>528</v>
      </c>
      <c r="G77" t="s">
        <v>1132</v>
      </c>
    </row>
    <row r="78" spans="3:17" x14ac:dyDescent="0.25">
      <c r="C78" t="s">
        <v>1129</v>
      </c>
      <c r="D78">
        <v>14</v>
      </c>
      <c r="E78">
        <v>8</v>
      </c>
      <c r="F78">
        <f>E78*7</f>
        <v>56</v>
      </c>
      <c r="G78">
        <f>365.25/F78</f>
        <v>6.5223214285714288</v>
      </c>
      <c r="K78">
        <f>E78*D78</f>
        <v>112</v>
      </c>
    </row>
    <row r="79" spans="3:17" x14ac:dyDescent="0.25">
      <c r="C79" t="s">
        <v>1130</v>
      </c>
      <c r="D79">
        <v>13</v>
      </c>
      <c r="E79">
        <v>18</v>
      </c>
      <c r="F79">
        <f t="shared" ref="F79:F81" si="19">E79*7</f>
        <v>126</v>
      </c>
      <c r="G79">
        <f t="shared" ref="G79:G81" si="20">365.25/F79</f>
        <v>2.8988095238095237</v>
      </c>
      <c r="K79">
        <f t="shared" ref="K79:K81" si="21">E79*D79</f>
        <v>234</v>
      </c>
    </row>
    <row r="80" spans="3:17" x14ac:dyDescent="0.25">
      <c r="D80">
        <v>30</v>
      </c>
      <c r="E80">
        <v>26</v>
      </c>
      <c r="F80">
        <f t="shared" si="19"/>
        <v>182</v>
      </c>
      <c r="G80">
        <f t="shared" si="20"/>
        <v>2.0068681318681318</v>
      </c>
      <c r="K80">
        <f t="shared" si="21"/>
        <v>780</v>
      </c>
    </row>
    <row r="81" spans="4:11" x14ac:dyDescent="0.25">
      <c r="D81">
        <v>43</v>
      </c>
      <c r="E81">
        <v>52</v>
      </c>
      <c r="F81">
        <f t="shared" si="19"/>
        <v>364</v>
      </c>
      <c r="G81">
        <f t="shared" si="20"/>
        <v>1.0034340659340659</v>
      </c>
      <c r="K81">
        <f t="shared" si="21"/>
        <v>2236</v>
      </c>
    </row>
    <row r="85" spans="4:11" x14ac:dyDescent="0.25">
      <c r="E85">
        <v>6</v>
      </c>
      <c r="F85">
        <v>3963</v>
      </c>
    </row>
    <row r="86" spans="4:11" x14ac:dyDescent="0.25">
      <c r="E86">
        <v>4</v>
      </c>
      <c r="F86">
        <v>2642</v>
      </c>
    </row>
    <row r="87" spans="4:11" x14ac:dyDescent="0.25">
      <c r="E87">
        <v>2</v>
      </c>
      <c r="F87">
        <v>1321</v>
      </c>
    </row>
    <row r="88" spans="4:11" x14ac:dyDescent="0.25">
      <c r="E88">
        <v>1</v>
      </c>
      <c r="F88">
        <v>660.5</v>
      </c>
    </row>
    <row r="89" spans="4:11" x14ac:dyDescent="0.25">
      <c r="E89">
        <v>0.66666666666666663</v>
      </c>
      <c r="F89">
        <v>422.72</v>
      </c>
    </row>
    <row r="90" spans="4:11" x14ac:dyDescent="0.25">
      <c r="E90">
        <v>0.5</v>
      </c>
      <c r="F90">
        <v>317.04000000000002</v>
      </c>
    </row>
    <row r="91" spans="4:11" x14ac:dyDescent="0.25">
      <c r="E91">
        <v>0.25</v>
      </c>
      <c r="F91">
        <v>158.52000000000001</v>
      </c>
    </row>
    <row r="92" spans="4:11" x14ac:dyDescent="0.25">
      <c r="E92">
        <v>0.14285714285714285</v>
      </c>
      <c r="F92">
        <v>79.260000000000005</v>
      </c>
    </row>
    <row r="93" spans="4:11" x14ac:dyDescent="0.25">
      <c r="E93">
        <v>0.33</v>
      </c>
      <c r="F93">
        <v>211.36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CEEA2-6442-488B-8BCF-ECEFAA29EB08}">
  <sheetPr>
    <tabColor theme="9"/>
  </sheetPr>
  <dimension ref="B1:CC40"/>
  <sheetViews>
    <sheetView zoomScale="40" zoomScaleNormal="40" workbookViewId="0">
      <selection activeCell="U19" activeCellId="2" sqref="U6 U11 U19"/>
    </sheetView>
  </sheetViews>
  <sheetFormatPr defaultRowHeight="15" x14ac:dyDescent="0.25"/>
  <sheetData>
    <row r="1" spans="2:81" ht="15.75" thickBot="1" x14ac:dyDescent="0.3"/>
    <row r="2" spans="2:81" ht="15.75" thickBot="1" x14ac:dyDescent="0.3">
      <c r="B2" s="174" t="s">
        <v>156</v>
      </c>
      <c r="C2" s="129" t="s">
        <v>1461</v>
      </c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76"/>
      <c r="O2" s="129" t="s">
        <v>1462</v>
      </c>
      <c r="P2" s="130"/>
      <c r="Q2" s="130"/>
      <c r="R2" s="130"/>
      <c r="S2" s="130"/>
      <c r="T2" s="130"/>
      <c r="U2" s="130"/>
      <c r="V2" s="176"/>
      <c r="Z2" s="129" t="s">
        <v>1497</v>
      </c>
      <c r="AA2" s="130"/>
      <c r="AB2" s="130"/>
      <c r="AC2" s="130"/>
      <c r="AD2" s="130"/>
      <c r="AE2" s="130"/>
      <c r="AF2" s="130"/>
      <c r="AG2" s="176"/>
      <c r="AI2" s="117" t="s">
        <v>156</v>
      </c>
      <c r="AJ2" s="129" t="s">
        <v>1498</v>
      </c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76"/>
      <c r="AW2" s="117" t="s">
        <v>156</v>
      </c>
      <c r="AX2" s="129" t="s">
        <v>1498</v>
      </c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76"/>
    </row>
    <row r="3" spans="2:81" x14ac:dyDescent="0.25">
      <c r="B3" s="166"/>
      <c r="C3" s="148" t="s">
        <v>1488</v>
      </c>
      <c r="D3" s="177"/>
      <c r="E3" s="148" t="s">
        <v>1490</v>
      </c>
      <c r="F3" s="177"/>
      <c r="G3" s="148" t="s">
        <v>1489</v>
      </c>
      <c r="H3" s="177"/>
      <c r="I3" s="177" t="s">
        <v>1108</v>
      </c>
      <c r="J3" s="177"/>
      <c r="K3" s="177" t="s">
        <v>1114</v>
      </c>
      <c r="L3" s="177"/>
      <c r="M3" s="177" t="s">
        <v>1124</v>
      </c>
      <c r="N3" s="179"/>
      <c r="O3" s="180" t="s">
        <v>1460</v>
      </c>
      <c r="P3" s="177"/>
      <c r="Q3" s="177" t="s">
        <v>1108</v>
      </c>
      <c r="R3" s="177"/>
      <c r="S3" s="177" t="s">
        <v>1114</v>
      </c>
      <c r="T3" s="177"/>
      <c r="U3" s="177" t="s">
        <v>1124</v>
      </c>
      <c r="V3" s="178"/>
      <c r="X3" t="s">
        <v>1491</v>
      </c>
      <c r="Z3" s="180" t="s">
        <v>1460</v>
      </c>
      <c r="AA3" s="177"/>
      <c r="AB3" s="177" t="s">
        <v>1108</v>
      </c>
      <c r="AC3" s="177"/>
      <c r="AD3" s="177" t="s">
        <v>1114</v>
      </c>
      <c r="AE3" s="177"/>
      <c r="AF3" s="177" t="s">
        <v>1124</v>
      </c>
      <c r="AG3" s="178"/>
      <c r="AI3" s="118"/>
      <c r="AJ3" s="148" t="s">
        <v>1488</v>
      </c>
      <c r="AK3" s="177"/>
      <c r="AL3" s="148" t="s">
        <v>1490</v>
      </c>
      <c r="AM3" s="177"/>
      <c r="AN3" s="148" t="s">
        <v>1489</v>
      </c>
      <c r="AO3" s="177"/>
      <c r="AP3" s="177" t="s">
        <v>1108</v>
      </c>
      <c r="AQ3" s="177"/>
      <c r="AR3" s="177" t="s">
        <v>1114</v>
      </c>
      <c r="AS3" s="177"/>
      <c r="AT3" s="177" t="s">
        <v>1124</v>
      </c>
      <c r="AU3" s="179"/>
      <c r="AW3" s="118"/>
      <c r="AX3" s="148" t="s">
        <v>1488</v>
      </c>
      <c r="AY3" s="177"/>
      <c r="AZ3" s="148" t="s">
        <v>1490</v>
      </c>
      <c r="BA3" s="177"/>
      <c r="BB3" s="148" t="s">
        <v>1489</v>
      </c>
      <c r="BC3" s="177"/>
      <c r="BD3" s="177" t="s">
        <v>1108</v>
      </c>
      <c r="BE3" s="177"/>
      <c r="BF3" s="177" t="s">
        <v>1114</v>
      </c>
      <c r="BG3" s="177"/>
      <c r="BH3" s="177" t="s">
        <v>1124</v>
      </c>
      <c r="BI3" s="179"/>
    </row>
    <row r="4" spans="2:81" ht="15.75" thickBot="1" x14ac:dyDescent="0.3">
      <c r="B4" s="175"/>
      <c r="C4" s="104" t="s">
        <v>128</v>
      </c>
      <c r="D4" s="47" t="s">
        <v>129</v>
      </c>
      <c r="E4" s="104" t="s">
        <v>128</v>
      </c>
      <c r="F4" s="47" t="s">
        <v>129</v>
      </c>
      <c r="G4" s="104" t="s">
        <v>128</v>
      </c>
      <c r="H4" s="47" t="s">
        <v>129</v>
      </c>
      <c r="I4" s="47" t="s">
        <v>128</v>
      </c>
      <c r="J4" s="47" t="s">
        <v>129</v>
      </c>
      <c r="K4" s="47" t="s">
        <v>128</v>
      </c>
      <c r="L4" s="47" t="s">
        <v>129</v>
      </c>
      <c r="M4" s="47" t="s">
        <v>128</v>
      </c>
      <c r="N4" s="109" t="s">
        <v>129</v>
      </c>
      <c r="O4" s="110" t="s">
        <v>128</v>
      </c>
      <c r="P4" s="47" t="s">
        <v>129</v>
      </c>
      <c r="Q4" s="47" t="s">
        <v>128</v>
      </c>
      <c r="R4" s="47" t="s">
        <v>129</v>
      </c>
      <c r="S4" s="47" t="s">
        <v>128</v>
      </c>
      <c r="T4" s="47" t="s">
        <v>129</v>
      </c>
      <c r="U4" s="47" t="s">
        <v>128</v>
      </c>
      <c r="V4" s="111" t="s">
        <v>129</v>
      </c>
      <c r="X4" s="58">
        <v>0.02</v>
      </c>
      <c r="Z4" s="110" t="s">
        <v>128</v>
      </c>
      <c r="AA4" s="47" t="s">
        <v>129</v>
      </c>
      <c r="AB4" s="47" t="s">
        <v>128</v>
      </c>
      <c r="AC4" s="47" t="s">
        <v>129</v>
      </c>
      <c r="AD4" s="47" t="s">
        <v>128</v>
      </c>
      <c r="AE4" s="47" t="s">
        <v>129</v>
      </c>
      <c r="AF4" s="47" t="s">
        <v>128</v>
      </c>
      <c r="AG4" s="111" t="s">
        <v>129</v>
      </c>
      <c r="AI4" s="119"/>
      <c r="AJ4" s="104" t="s">
        <v>128</v>
      </c>
      <c r="AK4" s="47" t="s">
        <v>129</v>
      </c>
      <c r="AL4" s="104" t="s">
        <v>128</v>
      </c>
      <c r="AM4" s="47" t="s">
        <v>129</v>
      </c>
      <c r="AN4" s="104" t="s">
        <v>128</v>
      </c>
      <c r="AO4" s="47" t="s">
        <v>129</v>
      </c>
      <c r="AP4" s="47" t="s">
        <v>128</v>
      </c>
      <c r="AQ4" s="47" t="s">
        <v>129</v>
      </c>
      <c r="AR4" s="47" t="s">
        <v>128</v>
      </c>
      <c r="AS4" s="47" t="s">
        <v>129</v>
      </c>
      <c r="AT4" s="47" t="s">
        <v>128</v>
      </c>
      <c r="AU4" s="109" t="s">
        <v>129</v>
      </c>
      <c r="AW4" s="119"/>
      <c r="AX4" s="104" t="s">
        <v>128</v>
      </c>
      <c r="AY4" s="47" t="s">
        <v>129</v>
      </c>
      <c r="AZ4" s="104" t="s">
        <v>128</v>
      </c>
      <c r="BA4" s="47" t="s">
        <v>129</v>
      </c>
      <c r="BB4" s="104" t="s">
        <v>128</v>
      </c>
      <c r="BC4" s="47" t="s">
        <v>129</v>
      </c>
      <c r="BD4" s="47" t="s">
        <v>128</v>
      </c>
      <c r="BE4" s="47" t="s">
        <v>129</v>
      </c>
      <c r="BF4" s="47" t="s">
        <v>128</v>
      </c>
      <c r="BG4" s="47" t="s">
        <v>129</v>
      </c>
      <c r="BH4" s="47" t="s">
        <v>128</v>
      </c>
      <c r="BI4" s="109" t="s">
        <v>129</v>
      </c>
      <c r="BL4" s="40" t="s">
        <v>1488</v>
      </c>
      <c r="BM4" s="40" t="s">
        <v>1490</v>
      </c>
      <c r="BN4" s="40" t="s">
        <v>1489</v>
      </c>
      <c r="BO4" s="43" t="s">
        <v>1108</v>
      </c>
      <c r="BP4" s="43" t="s">
        <v>1114</v>
      </c>
      <c r="BQ4" s="43" t="s">
        <v>1124</v>
      </c>
      <c r="BT4" t="s">
        <v>1460</v>
      </c>
      <c r="BU4" s="43" t="s">
        <v>1108</v>
      </c>
      <c r="BV4" s="43" t="s">
        <v>1114</v>
      </c>
      <c r="BW4" s="43" t="s">
        <v>1124</v>
      </c>
      <c r="BZ4" t="s">
        <v>1460</v>
      </c>
      <c r="CA4" s="43" t="s">
        <v>1108</v>
      </c>
      <c r="CB4" s="43" t="s">
        <v>1114</v>
      </c>
      <c r="CC4" s="43" t="s">
        <v>1124</v>
      </c>
    </row>
    <row r="5" spans="2:81" x14ac:dyDescent="0.25">
      <c r="B5" s="94">
        <v>5</v>
      </c>
      <c r="C5" s="112">
        <f>'STS Summary'!$V$4+'STS Summary'!$AT$15</f>
        <v>1458.46351551199</v>
      </c>
      <c r="D5" s="114">
        <f>'STS Summary'!$V$5+'STS Summary'!$AT$15</f>
        <v>1640.0919977211133</v>
      </c>
      <c r="E5" s="105">
        <f>'STS Summary'!$V$4+'STS Summary'!$AT$16</f>
        <v>1921.3624295359082</v>
      </c>
      <c r="F5" s="105">
        <f>'STS Summary'!$V$5+'STS Summary'!$AT$16</f>
        <v>2102.9909117450316</v>
      </c>
      <c r="G5" s="105">
        <f>'STS Summary'!$V$4+'STS Summary'!$AT$17</f>
        <v>2393.2496719874753</v>
      </c>
      <c r="H5" s="105">
        <f>'STS Summary'!$V$5+'STS Summary'!$AT$17</f>
        <v>2574.8781541965982</v>
      </c>
      <c r="I5" s="42">
        <f>'SAF Summary'!$G$4</f>
        <v>3542.3426391858593</v>
      </c>
      <c r="J5" s="42">
        <f>'SAF Summary'!$G$5</f>
        <v>4310.856782680853</v>
      </c>
      <c r="K5" s="24">
        <f>'ABR-Wetland'!Z4</f>
        <v>3239.4713646478849</v>
      </c>
      <c r="L5" s="24"/>
      <c r="M5" s="24">
        <f>'ABR-Wetland'!AA4</f>
        <v>2385.1800967987961</v>
      </c>
      <c r="O5" s="113">
        <f>STS!$L101</f>
        <v>387</v>
      </c>
      <c r="P5" s="24"/>
      <c r="Q5" s="24">
        <f>SAF!D152/25</f>
        <v>38.813146333242884</v>
      </c>
      <c r="R5" s="24"/>
      <c r="S5" s="24">
        <f>'ABR-Exca'!H56+'Wetland Summary'!J9</f>
        <v>543.1417529222548</v>
      </c>
      <c r="T5" s="24"/>
      <c r="U5" s="24">
        <f>'ABR-Exca'!H56+'Wetland Summary'!X9</f>
        <v>716.00497698262609</v>
      </c>
      <c r="V5" s="29"/>
      <c r="X5">
        <v>0.02</v>
      </c>
      <c r="Z5">
        <f>O5*10</f>
        <v>3870</v>
      </c>
      <c r="AB5">
        <f>Q5*10</f>
        <v>388.13146333242884</v>
      </c>
      <c r="AD5">
        <f>S5*10</f>
        <v>5431.4175292225482</v>
      </c>
      <c r="AF5">
        <f>U5*10</f>
        <v>7160.0497698262607</v>
      </c>
      <c r="AI5" s="94">
        <v>5</v>
      </c>
      <c r="AJ5" s="5">
        <f>C5+$Z5</f>
        <v>5328.4635155119904</v>
      </c>
      <c r="AK5" s="5">
        <f>D5+$Z5</f>
        <v>5510.0919977211133</v>
      </c>
      <c r="AL5" s="5">
        <f>E5+$Z5</f>
        <v>5791.3624295359077</v>
      </c>
      <c r="AM5" s="5">
        <f t="shared" ref="AM5:AN5" si="0">F5+$Z5</f>
        <v>5972.9909117450316</v>
      </c>
      <c r="AN5" s="5">
        <f t="shared" si="0"/>
        <v>6263.2496719874753</v>
      </c>
      <c r="AO5" s="5">
        <f>H5+$Z5</f>
        <v>6444.8781541965982</v>
      </c>
      <c r="AP5" s="5">
        <f>I5+AB5</f>
        <v>3930.474102518288</v>
      </c>
      <c r="AQ5" s="5">
        <f>J5+AB5</f>
        <v>4698.9882460132822</v>
      </c>
      <c r="AR5">
        <f>K5+AD5</f>
        <v>8670.8888938704331</v>
      </c>
      <c r="AT5">
        <f>M5+AF5</f>
        <v>9545.2298666250572</v>
      </c>
      <c r="AW5" s="94">
        <v>5</v>
      </c>
      <c r="AX5">
        <f>AJ5/$AI5</f>
        <v>1065.6927031023981</v>
      </c>
      <c r="AY5">
        <f t="shared" ref="AY5:BH5" si="1">AK5/$AI5</f>
        <v>1102.0183995442226</v>
      </c>
      <c r="AZ5">
        <f t="shared" si="1"/>
        <v>1158.2724859071816</v>
      </c>
      <c r="BA5">
        <f t="shared" si="1"/>
        <v>1194.5981823490063</v>
      </c>
      <c r="BB5">
        <f t="shared" si="1"/>
        <v>1252.6499343974951</v>
      </c>
      <c r="BC5">
        <f t="shared" si="1"/>
        <v>1288.9756308393196</v>
      </c>
      <c r="BD5">
        <f t="shared" si="1"/>
        <v>786.09482050365762</v>
      </c>
      <c r="BE5">
        <f t="shared" si="1"/>
        <v>939.79764920265643</v>
      </c>
      <c r="BF5">
        <f t="shared" si="1"/>
        <v>1734.1777787740866</v>
      </c>
      <c r="BH5">
        <f t="shared" si="1"/>
        <v>1909.0459733250113</v>
      </c>
      <c r="BK5" s="94">
        <v>5</v>
      </c>
      <c r="BL5">
        <f t="shared" ref="BL5:BL11" si="2">AX5</f>
        <v>1065.6927031023981</v>
      </c>
      <c r="BM5">
        <f t="shared" ref="BM5:BM11" si="3">AZ5</f>
        <v>1158.2724859071816</v>
      </c>
      <c r="BN5">
        <f t="shared" ref="BN5:BN11" si="4">BB5</f>
        <v>1252.6499343974951</v>
      </c>
      <c r="BO5">
        <f t="shared" ref="BO5:BO11" si="5">BD5</f>
        <v>786.09482050365762</v>
      </c>
      <c r="BP5">
        <f t="shared" ref="BP5:BP11" si="6">BF5</f>
        <v>1734.1777787740866</v>
      </c>
      <c r="BQ5">
        <f t="shared" ref="BQ5:BQ11" si="7">BH5</f>
        <v>1909.0459733250113</v>
      </c>
      <c r="BS5" s="94">
        <v>5</v>
      </c>
      <c r="BT5">
        <f t="shared" ref="BT5:BT11" si="8">AVERAGE(BL5:BN5)</f>
        <v>1158.8717078023583</v>
      </c>
      <c r="BU5">
        <f t="shared" ref="BU5:BW11" si="9">BO5</f>
        <v>786.09482050365762</v>
      </c>
      <c r="BV5">
        <f t="shared" si="9"/>
        <v>1734.1777787740866</v>
      </c>
      <c r="BW5">
        <f t="shared" si="9"/>
        <v>1909.0459733250113</v>
      </c>
      <c r="BY5" s="94">
        <v>150</v>
      </c>
    </row>
    <row r="6" spans="2:81" x14ac:dyDescent="0.25">
      <c r="B6" s="94">
        <v>10</v>
      </c>
      <c r="C6" s="113">
        <f>'STS Summary'!$V$26+'STS Summary'!$AT$36</f>
        <v>2487.3516495684717</v>
      </c>
      <c r="D6" s="42">
        <f>'STS Summary'!$V$27+'STS Summary'!$AT$36</f>
        <v>2793.0256826826708</v>
      </c>
      <c r="E6" s="105">
        <f>'STS Summary'!$V$26+'STS Summary'!$AT$37</f>
        <v>3241.7327354258423</v>
      </c>
      <c r="F6" s="105">
        <f>'STS Summary'!$V$27+'STS Summary'!$AT$37</f>
        <v>3547.4067685400414</v>
      </c>
      <c r="G6" s="105">
        <f>'STS Summary'!$V$26+'STS Summary'!$AT$38</f>
        <v>3901.169124407028</v>
      </c>
      <c r="H6" s="105">
        <f>'STS Summary'!$V$27+'STS Summary'!$AT$38</f>
        <v>4206.8431575212271</v>
      </c>
      <c r="I6" s="24">
        <f>'SAF Summary'!$G$14</f>
        <v>6562.7667841985658</v>
      </c>
      <c r="J6" s="42">
        <f>'SAF Summary'!$G$15</f>
        <v>7798.871939738181</v>
      </c>
      <c r="K6" s="24">
        <f>'ABR-Wetland'!Z5</f>
        <v>5675.4458008176243</v>
      </c>
      <c r="L6" s="24"/>
      <c r="M6" s="24">
        <f>'ABR-Wetland'!AA5</f>
        <v>3354.2044095092315</v>
      </c>
      <c r="O6" s="113">
        <f>STS!$L102</f>
        <v>423.4</v>
      </c>
      <c r="P6" s="24"/>
      <c r="Q6" s="24">
        <f>SAF!S152/25</f>
        <v>39.994997355933478</v>
      </c>
      <c r="R6" s="24"/>
      <c r="S6" s="24">
        <f>'ABR-Exca'!H57+'Wetland Summary'!J15</f>
        <v>609.15090972084795</v>
      </c>
      <c r="T6" s="24"/>
      <c r="U6" s="24">
        <f>'ABR-Exca'!H57+'Wetland Summary'!X15</f>
        <v>799.30073523173508</v>
      </c>
      <c r="V6" s="29"/>
      <c r="Z6">
        <f>O6*10</f>
        <v>4234</v>
      </c>
      <c r="AB6">
        <f t="shared" ref="AB6:AB11" si="10">Q6*10</f>
        <v>399.94997355933481</v>
      </c>
      <c r="AD6">
        <f t="shared" ref="AD6:AD19" si="11">S6*10</f>
        <v>6091.5090972084799</v>
      </c>
      <c r="AF6">
        <f t="shared" ref="AF6:AF19" si="12">U6*10</f>
        <v>7993.0073523173505</v>
      </c>
      <c r="AI6" s="94">
        <v>10</v>
      </c>
      <c r="AJ6" s="5">
        <f t="shared" ref="AJ6:AJ19" si="13">C6+$Z6</f>
        <v>6721.3516495684717</v>
      </c>
      <c r="AK6" s="5">
        <f t="shared" ref="AK6:AK19" si="14">D6+$Z6</f>
        <v>7027.0256826826708</v>
      </c>
      <c r="AL6" s="5">
        <f t="shared" ref="AL6:AL19" si="15">E6+$Z6</f>
        <v>7475.7327354258423</v>
      </c>
      <c r="AM6" s="5">
        <f t="shared" ref="AM6:AM19" si="16">F6+$Z6</f>
        <v>7781.4067685400414</v>
      </c>
      <c r="AN6" s="5">
        <f t="shared" ref="AN6:AN19" si="17">G6+$Z6</f>
        <v>8135.169124407028</v>
      </c>
      <c r="AO6" s="5">
        <f t="shared" ref="AO6:AO19" si="18">H6+$Z6</f>
        <v>8440.8431575212271</v>
      </c>
      <c r="AP6" s="5">
        <f t="shared" ref="AP6:AP11" si="19">I6+AB6</f>
        <v>6962.7167577579003</v>
      </c>
      <c r="AQ6" s="5">
        <f t="shared" ref="AQ6:AQ11" si="20">J6+AB6</f>
        <v>8198.8219132975155</v>
      </c>
      <c r="AR6">
        <f t="shared" ref="AR6:AR19" si="21">K6+AD6</f>
        <v>11766.954898026104</v>
      </c>
      <c r="AT6">
        <f t="shared" ref="AT6:AT19" si="22">M6+AF6</f>
        <v>11347.211761826582</v>
      </c>
      <c r="AW6" s="94">
        <v>10</v>
      </c>
      <c r="AX6">
        <f t="shared" ref="AX6:AX19" si="23">AJ6/$AI6</f>
        <v>672.13516495684712</v>
      </c>
      <c r="AY6">
        <f t="shared" ref="AY6:AY19" si="24">AK6/$AI6</f>
        <v>702.7025682682671</v>
      </c>
      <c r="AZ6">
        <f t="shared" ref="AZ6:AZ19" si="25">AL6/$AI6</f>
        <v>747.57327354258427</v>
      </c>
      <c r="BA6">
        <f t="shared" ref="BA6:BA19" si="26">AM6/$AI6</f>
        <v>778.14067685400414</v>
      </c>
      <c r="BB6">
        <f t="shared" ref="BB6:BB19" si="27">AN6/$AI6</f>
        <v>813.51691244070275</v>
      </c>
      <c r="BC6">
        <f t="shared" ref="BC6:BC19" si="28">AO6/$AI6</f>
        <v>844.08431575212273</v>
      </c>
      <c r="BD6">
        <f t="shared" ref="BD6:BD11" si="29">AP6/$AI6</f>
        <v>696.27167577579007</v>
      </c>
      <c r="BE6">
        <f t="shared" ref="BE6:BE11" si="30">AQ6/$AI6</f>
        <v>819.88219132975155</v>
      </c>
      <c r="BF6">
        <f t="shared" ref="BF6:BF19" si="31">AR6/$AI6</f>
        <v>1176.6954898026104</v>
      </c>
      <c r="BH6">
        <f t="shared" ref="BH6:BH19" si="32">AT6/$AI6</f>
        <v>1134.7211761826582</v>
      </c>
      <c r="BK6" s="94">
        <v>10</v>
      </c>
      <c r="BL6">
        <f t="shared" si="2"/>
        <v>672.13516495684712</v>
      </c>
      <c r="BM6">
        <f t="shared" si="3"/>
        <v>747.57327354258427</v>
      </c>
      <c r="BN6">
        <f t="shared" si="4"/>
        <v>813.51691244070275</v>
      </c>
      <c r="BO6">
        <f t="shared" si="5"/>
        <v>696.27167577579007</v>
      </c>
      <c r="BP6">
        <f t="shared" si="6"/>
        <v>1176.6954898026104</v>
      </c>
      <c r="BQ6">
        <f t="shared" si="7"/>
        <v>1134.7211761826582</v>
      </c>
      <c r="BS6" s="94">
        <v>10</v>
      </c>
      <c r="BT6">
        <f t="shared" si="8"/>
        <v>744.40845031337813</v>
      </c>
      <c r="BU6">
        <f t="shared" si="9"/>
        <v>696.27167577579007</v>
      </c>
      <c r="BV6">
        <f t="shared" si="9"/>
        <v>1176.6954898026104</v>
      </c>
      <c r="BW6">
        <f t="shared" si="9"/>
        <v>1134.7211761826582</v>
      </c>
      <c r="BY6" s="94">
        <v>200</v>
      </c>
    </row>
    <row r="7" spans="2:81" x14ac:dyDescent="0.25">
      <c r="B7" s="94">
        <v>20</v>
      </c>
      <c r="C7" s="113">
        <f>'STS Summary'!$V$47+'STS Summary'!$AT$56</f>
        <v>3823.3015176419822</v>
      </c>
      <c r="D7" s="42">
        <f>'STS Summary'!$V$48+'STS Summary'!$AT$56</f>
        <v>4646.7322834996094</v>
      </c>
      <c r="E7" s="105">
        <f>'STS Summary'!$V$47+'STS Summary'!$AT$57</f>
        <v>5082.6657229211032</v>
      </c>
      <c r="F7" s="105">
        <f>'STS Summary'!$V$48+'STS Summary'!$AT$57</f>
        <v>5906.0964887787304</v>
      </c>
      <c r="G7" s="105">
        <f>'STS Summary'!$V$47+'STS Summary'!$AT$58</f>
        <v>6375.2498987661165</v>
      </c>
      <c r="H7" s="105">
        <f>'STS Summary'!$V$48+'STS Summary'!$AT$58</f>
        <v>7198.6806646237437</v>
      </c>
      <c r="I7" s="24">
        <f>'SAF Summary'!$G$24</f>
        <v>10916.281338658684</v>
      </c>
      <c r="J7" s="42">
        <f>'SAF Summary'!$G$25</f>
        <v>13798.986695028789</v>
      </c>
      <c r="K7" s="24">
        <f>'ABR-Wetland'!Z6</f>
        <v>10581.611990039552</v>
      </c>
      <c r="L7" s="24"/>
      <c r="M7" s="24">
        <f>'ABR-Wetland'!AA6</f>
        <v>5629.0510008258761</v>
      </c>
      <c r="O7" s="113">
        <f>STS!$L103</f>
        <v>423.4</v>
      </c>
      <c r="P7" s="24"/>
      <c r="Q7" s="24">
        <f>SAF!$AG$152/25</f>
        <v>42.817144423750953</v>
      </c>
      <c r="R7" s="24"/>
      <c r="S7" s="24">
        <f>'ABR-Exca'!H58+'Wetland Summary'!J21</f>
        <v>755.67751068838402</v>
      </c>
      <c r="T7" s="24"/>
      <c r="U7" s="24">
        <f>'ABR-Exca'!H58+'Wetland Summary'!X21</f>
        <v>1079.5717104968094</v>
      </c>
      <c r="V7" s="29"/>
      <c r="Z7">
        <f t="shared" ref="Z7:Z19" si="33">O7*10</f>
        <v>4234</v>
      </c>
      <c r="AB7">
        <f t="shared" si="10"/>
        <v>428.17144423750955</v>
      </c>
      <c r="AD7">
        <f t="shared" si="11"/>
        <v>7556.7751068838406</v>
      </c>
      <c r="AF7">
        <f t="shared" si="12"/>
        <v>10795.717104968095</v>
      </c>
      <c r="AI7" s="94">
        <v>20</v>
      </c>
      <c r="AJ7" s="5">
        <f t="shared" si="13"/>
        <v>8057.3015176419822</v>
      </c>
      <c r="AK7" s="5">
        <f t="shared" si="14"/>
        <v>8880.7322834996085</v>
      </c>
      <c r="AL7" s="5">
        <f t="shared" si="15"/>
        <v>9316.6657229211032</v>
      </c>
      <c r="AM7" s="5">
        <f t="shared" si="16"/>
        <v>10140.09648877873</v>
      </c>
      <c r="AN7" s="5">
        <f t="shared" si="17"/>
        <v>10609.249898766117</v>
      </c>
      <c r="AO7" s="5">
        <f t="shared" si="18"/>
        <v>11432.680664623744</v>
      </c>
      <c r="AP7" s="5">
        <f t="shared" si="19"/>
        <v>11344.452782896193</v>
      </c>
      <c r="AQ7" s="5">
        <f t="shared" si="20"/>
        <v>14227.158139266297</v>
      </c>
      <c r="AR7">
        <f t="shared" si="21"/>
        <v>18138.38709692339</v>
      </c>
      <c r="AT7">
        <f t="shared" si="22"/>
        <v>16424.76810579397</v>
      </c>
      <c r="AW7" s="94">
        <v>20</v>
      </c>
      <c r="AX7">
        <f t="shared" si="23"/>
        <v>402.86507588209912</v>
      </c>
      <c r="AY7">
        <f t="shared" si="24"/>
        <v>444.0366141749804</v>
      </c>
      <c r="AZ7">
        <f t="shared" si="25"/>
        <v>465.83328614605517</v>
      </c>
      <c r="BA7">
        <f t="shared" si="26"/>
        <v>507.00482443893651</v>
      </c>
      <c r="BB7">
        <f t="shared" si="27"/>
        <v>530.46249493830578</v>
      </c>
      <c r="BC7">
        <f t="shared" si="28"/>
        <v>571.63403323118723</v>
      </c>
      <c r="BD7">
        <f t="shared" si="29"/>
        <v>567.22263914480959</v>
      </c>
      <c r="BE7">
        <f t="shared" si="30"/>
        <v>711.35790696331492</v>
      </c>
      <c r="BF7">
        <f t="shared" si="31"/>
        <v>906.91935484616954</v>
      </c>
      <c r="BH7">
        <f t="shared" si="32"/>
        <v>821.23840528969845</v>
      </c>
      <c r="BK7" s="94">
        <v>20</v>
      </c>
      <c r="BL7">
        <f t="shared" si="2"/>
        <v>402.86507588209912</v>
      </c>
      <c r="BM7">
        <f t="shared" si="3"/>
        <v>465.83328614605517</v>
      </c>
      <c r="BN7">
        <f t="shared" si="4"/>
        <v>530.46249493830578</v>
      </c>
      <c r="BO7">
        <f t="shared" si="5"/>
        <v>567.22263914480959</v>
      </c>
      <c r="BP7">
        <f t="shared" si="6"/>
        <v>906.91935484616954</v>
      </c>
      <c r="BQ7">
        <f t="shared" si="7"/>
        <v>821.23840528969845</v>
      </c>
      <c r="BS7" s="94">
        <v>20</v>
      </c>
      <c r="BT7">
        <f t="shared" si="8"/>
        <v>466.38695232215332</v>
      </c>
      <c r="BU7">
        <f t="shared" si="9"/>
        <v>567.22263914480959</v>
      </c>
      <c r="BV7">
        <f t="shared" si="9"/>
        <v>906.91935484616954</v>
      </c>
      <c r="BW7">
        <f t="shared" si="9"/>
        <v>821.23840528969845</v>
      </c>
      <c r="BY7" s="94">
        <v>300</v>
      </c>
    </row>
    <row r="8" spans="2:81" x14ac:dyDescent="0.25">
      <c r="B8" s="94">
        <v>30</v>
      </c>
      <c r="C8" s="113">
        <f>'STS Summary'!$V$66+'STS Summary'!$AT$75</f>
        <v>6243.9797880481919</v>
      </c>
      <c r="D8" s="42">
        <f>'STS Summary'!$V$67+'STS Summary'!$AT$75</f>
        <v>7002.7271419938561</v>
      </c>
      <c r="E8" s="42">
        <f>'STS Summary'!$V$66+'STS Summary'!$AT$76</f>
        <v>8085.7385163771823</v>
      </c>
      <c r="F8" s="42">
        <f>'STS Summary'!$V$67+'STS Summary'!$AT$76</f>
        <v>8844.4858703228456</v>
      </c>
      <c r="G8" s="42">
        <f>'STS Summary'!$V$66+'STS Summary'!$AT$77</f>
        <v>10025.746184676071</v>
      </c>
      <c r="H8" s="105">
        <f>'STS Summary'!$V$67+'STS Summary'!$AT$77</f>
        <v>10784.493538621733</v>
      </c>
      <c r="I8" s="24">
        <f>'SAF Summary'!$G$34</f>
        <v>17603.468725420695</v>
      </c>
      <c r="J8" s="24">
        <f>I8</f>
        <v>17603.468725420695</v>
      </c>
      <c r="K8" s="24">
        <f>'ABR-Wetland'!Z7</f>
        <v>15198.292302577785</v>
      </c>
      <c r="L8" s="24"/>
      <c r="M8" s="24">
        <f>'ABR-Wetland'!AA7</f>
        <v>7262.2018604769191</v>
      </c>
      <c r="O8" s="113">
        <f>STS!$L104</f>
        <v>423.4</v>
      </c>
      <c r="P8" s="24"/>
      <c r="Q8" s="24">
        <f>SAF!$AU$152/25</f>
        <v>58.37365944038865</v>
      </c>
      <c r="R8" s="24"/>
      <c r="S8" s="24">
        <f>'ABR-Exca'!H59+'Wetland Summary'!J27</f>
        <v>906.26268143766686</v>
      </c>
      <c r="T8" s="24"/>
      <c r="U8" s="24">
        <f>'ABR-Exca'!H59+'Wetland Summary'!X27</f>
        <v>1228.2342703508773</v>
      </c>
      <c r="V8" s="29"/>
      <c r="Z8">
        <f t="shared" si="33"/>
        <v>4234</v>
      </c>
      <c r="AB8">
        <f t="shared" si="10"/>
        <v>583.73659440388656</v>
      </c>
      <c r="AD8">
        <f t="shared" si="11"/>
        <v>9062.6268143766683</v>
      </c>
      <c r="AF8">
        <f t="shared" si="12"/>
        <v>12282.342703508773</v>
      </c>
      <c r="AI8" s="94">
        <v>30</v>
      </c>
      <c r="AJ8" s="5">
        <f t="shared" si="13"/>
        <v>10477.979788048193</v>
      </c>
      <c r="AK8" s="5">
        <f t="shared" si="14"/>
        <v>11236.727141993855</v>
      </c>
      <c r="AL8" s="5">
        <f t="shared" si="15"/>
        <v>12319.738516377183</v>
      </c>
      <c r="AM8" s="5">
        <f t="shared" si="16"/>
        <v>13078.485870322846</v>
      </c>
      <c r="AN8" s="5">
        <f t="shared" si="17"/>
        <v>14259.746184676071</v>
      </c>
      <c r="AO8" s="5">
        <f t="shared" si="18"/>
        <v>15018.493538621733</v>
      </c>
      <c r="AP8" s="5">
        <f t="shared" si="19"/>
        <v>18187.205319824581</v>
      </c>
      <c r="AQ8" s="5">
        <f t="shared" si="20"/>
        <v>18187.205319824581</v>
      </c>
      <c r="AR8">
        <f t="shared" si="21"/>
        <v>24260.919116954454</v>
      </c>
      <c r="AT8">
        <f t="shared" si="22"/>
        <v>19544.544563985692</v>
      </c>
      <c r="AW8" s="94">
        <v>30</v>
      </c>
      <c r="AX8">
        <f t="shared" si="23"/>
        <v>349.26599293493979</v>
      </c>
      <c r="AY8">
        <f t="shared" si="24"/>
        <v>374.55757139979517</v>
      </c>
      <c r="AZ8">
        <f t="shared" si="25"/>
        <v>410.65795054590609</v>
      </c>
      <c r="BA8">
        <f t="shared" si="26"/>
        <v>435.94952901076152</v>
      </c>
      <c r="BB8">
        <f t="shared" si="27"/>
        <v>475.32487282253567</v>
      </c>
      <c r="BC8">
        <f t="shared" si="28"/>
        <v>500.6164512873911</v>
      </c>
      <c r="BD8">
        <f t="shared" si="29"/>
        <v>606.24017732748609</v>
      </c>
      <c r="BE8">
        <f t="shared" si="30"/>
        <v>606.24017732748609</v>
      </c>
      <c r="BF8">
        <f t="shared" si="31"/>
        <v>808.69730389848178</v>
      </c>
      <c r="BH8">
        <f t="shared" si="32"/>
        <v>651.48481879952305</v>
      </c>
      <c r="BK8" s="94">
        <v>30</v>
      </c>
      <c r="BL8">
        <f t="shared" si="2"/>
        <v>349.26599293493979</v>
      </c>
      <c r="BM8">
        <f t="shared" si="3"/>
        <v>410.65795054590609</v>
      </c>
      <c r="BN8">
        <f t="shared" si="4"/>
        <v>475.32487282253567</v>
      </c>
      <c r="BO8">
        <f t="shared" si="5"/>
        <v>606.24017732748609</v>
      </c>
      <c r="BP8">
        <f t="shared" si="6"/>
        <v>808.69730389848178</v>
      </c>
      <c r="BQ8">
        <f t="shared" si="7"/>
        <v>651.48481879952305</v>
      </c>
      <c r="BS8" s="94">
        <v>30</v>
      </c>
      <c r="BT8">
        <f t="shared" si="8"/>
        <v>411.74960543446053</v>
      </c>
      <c r="BU8">
        <f t="shared" si="9"/>
        <v>606.24017732748609</v>
      </c>
      <c r="BV8">
        <f t="shared" si="9"/>
        <v>808.69730389848178</v>
      </c>
      <c r="BW8">
        <f t="shared" si="9"/>
        <v>651.48481879952305</v>
      </c>
      <c r="BY8" s="94">
        <v>400</v>
      </c>
    </row>
    <row r="9" spans="2:81" x14ac:dyDescent="0.25">
      <c r="B9" s="94">
        <v>50</v>
      </c>
      <c r="C9" s="113">
        <f>'STS Summary'!$V$85+'STS Summary'!$AT$94</f>
        <v>7658.3016691013963</v>
      </c>
      <c r="D9" s="42">
        <f>'STS Summary'!$V$86+'STS Summary'!$AT$94</f>
        <v>9416.9726652365207</v>
      </c>
      <c r="E9" s="42">
        <f>'STS Summary'!$V$85+'STS Summary'!$AT$95</f>
        <v>10722.176261966051</v>
      </c>
      <c r="F9" s="42">
        <f>'STS Summary'!$V$86+'STS Summary'!$AT$95</f>
        <v>12480.847258101174</v>
      </c>
      <c r="G9" s="42">
        <f>'STS Summary'!$V$85+'STS Summary'!$AT$96</f>
        <v>13951.938676884982</v>
      </c>
      <c r="H9" s="105">
        <f>'STS Summary'!$V$86+'STS Summary'!$AT$96</f>
        <v>15710.609673020106</v>
      </c>
      <c r="I9" s="24">
        <f>'SAF Summary'!$G$44</f>
        <v>27289.768307617476</v>
      </c>
      <c r="J9" s="24">
        <f>I9</f>
        <v>27289.768307617476</v>
      </c>
      <c r="K9" s="24">
        <f>'ABR-Wetland'!Z8</f>
        <v>24260.336858684434</v>
      </c>
      <c r="L9" s="24"/>
      <c r="M9" s="24">
        <f>'ABR-Wetland'!AA8</f>
        <v>10331.987015407074</v>
      </c>
      <c r="O9" s="113">
        <f>STS!$L105</f>
        <v>668.19999999999993</v>
      </c>
      <c r="P9" s="24"/>
      <c r="Q9" s="24">
        <f>SAF!$BH$152/25</f>
        <v>65.593225106635984</v>
      </c>
      <c r="R9" s="24"/>
      <c r="S9" s="24">
        <f>'ABR-Exca'!H60+'Wetland Summary'!J33</f>
        <v>1204.7068198333282</v>
      </c>
      <c r="T9" s="24"/>
      <c r="U9" s="24">
        <f>'ABR-Exca'!H60+'Wetland Summary'!X33</f>
        <v>1510.1857372274596</v>
      </c>
      <c r="V9" s="29"/>
      <c r="Z9">
        <f t="shared" si="33"/>
        <v>6681.9999999999991</v>
      </c>
      <c r="AB9">
        <f t="shared" si="10"/>
        <v>655.93225106635987</v>
      </c>
      <c r="AD9">
        <f t="shared" si="11"/>
        <v>12047.068198333282</v>
      </c>
      <c r="AF9">
        <f t="shared" si="12"/>
        <v>15101.857372274597</v>
      </c>
      <c r="AI9" s="94">
        <v>50</v>
      </c>
      <c r="AJ9" s="5">
        <f t="shared" si="13"/>
        <v>14340.301669101395</v>
      </c>
      <c r="AK9" s="5">
        <f t="shared" si="14"/>
        <v>16098.972665236521</v>
      </c>
      <c r="AL9" s="5">
        <f t="shared" si="15"/>
        <v>17404.176261966051</v>
      </c>
      <c r="AM9" s="5">
        <f t="shared" si="16"/>
        <v>19162.847258101174</v>
      </c>
      <c r="AN9" s="5">
        <f t="shared" si="17"/>
        <v>20633.93867688498</v>
      </c>
      <c r="AO9" s="5">
        <f t="shared" si="18"/>
        <v>22392.609673020106</v>
      </c>
      <c r="AP9" s="5">
        <f t="shared" si="19"/>
        <v>27945.700558683835</v>
      </c>
      <c r="AQ9" s="5">
        <f t="shared" si="20"/>
        <v>27945.700558683835</v>
      </c>
      <c r="AR9">
        <f t="shared" si="21"/>
        <v>36307.405057017713</v>
      </c>
      <c r="AT9">
        <f t="shared" si="22"/>
        <v>25433.844387681671</v>
      </c>
      <c r="AW9" s="94">
        <v>50</v>
      </c>
      <c r="AX9">
        <f t="shared" si="23"/>
        <v>286.80603338202786</v>
      </c>
      <c r="AY9">
        <f t="shared" si="24"/>
        <v>321.97945330473044</v>
      </c>
      <c r="AZ9">
        <f t="shared" si="25"/>
        <v>348.08352523932103</v>
      </c>
      <c r="BA9">
        <f t="shared" si="26"/>
        <v>383.2569451620235</v>
      </c>
      <c r="BB9">
        <f t="shared" si="27"/>
        <v>412.67877353769961</v>
      </c>
      <c r="BC9">
        <f t="shared" si="28"/>
        <v>447.85219346040213</v>
      </c>
      <c r="BD9">
        <f t="shared" si="29"/>
        <v>558.91401117367673</v>
      </c>
      <c r="BE9">
        <f t="shared" si="30"/>
        <v>558.91401117367673</v>
      </c>
      <c r="BF9">
        <f t="shared" si="31"/>
        <v>726.14810114035424</v>
      </c>
      <c r="BH9">
        <f t="shared" si="32"/>
        <v>508.67688775363342</v>
      </c>
      <c r="BK9" s="94">
        <v>50</v>
      </c>
      <c r="BL9">
        <f t="shared" si="2"/>
        <v>286.80603338202786</v>
      </c>
      <c r="BM9">
        <f t="shared" si="3"/>
        <v>348.08352523932103</v>
      </c>
      <c r="BN9">
        <f t="shared" si="4"/>
        <v>412.67877353769961</v>
      </c>
      <c r="BO9">
        <f t="shared" si="5"/>
        <v>558.91401117367673</v>
      </c>
      <c r="BP9">
        <f t="shared" si="6"/>
        <v>726.14810114035424</v>
      </c>
      <c r="BQ9">
        <f t="shared" si="7"/>
        <v>508.67688775363342</v>
      </c>
      <c r="BS9" s="94">
        <v>50</v>
      </c>
      <c r="BT9">
        <f t="shared" si="8"/>
        <v>349.18944405301619</v>
      </c>
      <c r="BU9">
        <f t="shared" si="9"/>
        <v>558.91401117367673</v>
      </c>
      <c r="BV9">
        <f t="shared" si="9"/>
        <v>726.14810114035424</v>
      </c>
      <c r="BW9">
        <f t="shared" si="9"/>
        <v>508.67688775363342</v>
      </c>
      <c r="BY9" s="94">
        <v>500</v>
      </c>
    </row>
    <row r="10" spans="2:81" x14ac:dyDescent="0.25">
      <c r="B10" s="94">
        <v>75</v>
      </c>
      <c r="C10" s="113">
        <f>'STS Summary'!$V$104+'STS Summary'!$AT$113</f>
        <v>11637.402415318409</v>
      </c>
      <c r="D10" s="42">
        <f>'STS Summary'!$V$105+'STS Summary'!$AT$113</f>
        <v>14343.497737433616</v>
      </c>
      <c r="E10" s="42">
        <f>'STS Summary'!$V$104+'STS Summary'!$AT$114</f>
        <v>16258.621026624358</v>
      </c>
      <c r="F10" s="42">
        <f>'STS Summary'!$V$105+'STS Summary'!$AT$114</f>
        <v>18964.716348739563</v>
      </c>
      <c r="G10" s="42">
        <f>'STS Summary'!$V$104+'STS Summary'!$AT$115</f>
        <v>21100.745109963085</v>
      </c>
      <c r="H10" s="5">
        <f>'STS Summary'!$V$105+'STS Summary'!$AT$115</f>
        <v>23806.840432078294</v>
      </c>
      <c r="I10" s="24">
        <f>'SAF Summary'!$G$53</f>
        <v>35779.116616618536</v>
      </c>
      <c r="J10" s="24">
        <f>I10</f>
        <v>35779.116616618536</v>
      </c>
      <c r="K10" s="24">
        <f>'ABR-Wetland'!Z9</f>
        <v>35792.913381904538</v>
      </c>
      <c r="L10" s="24"/>
      <c r="M10" s="24">
        <f>'ABR-Wetland'!AA9</f>
        <v>16865.833240483887</v>
      </c>
      <c r="O10" s="113">
        <f>STS!$L106</f>
        <v>974.19999999999993</v>
      </c>
      <c r="P10" s="24"/>
      <c r="Q10" s="24">
        <f>(SAF!BU151)/25</f>
        <v>90.099297230603455</v>
      </c>
      <c r="R10" s="24"/>
      <c r="S10" s="24">
        <f>'ABR-Exca'!H61+'Wetland Summary'!J39</f>
        <v>1570.2019712638748</v>
      </c>
      <c r="T10" s="24"/>
      <c r="U10" s="24">
        <f>'ABR-Exca'!H61+'Wetland Summary'!X39</f>
        <v>2062.2588605251549</v>
      </c>
      <c r="V10" s="29"/>
      <c r="Z10">
        <f t="shared" si="33"/>
        <v>9742</v>
      </c>
      <c r="AB10">
        <f t="shared" si="10"/>
        <v>900.99297230603452</v>
      </c>
      <c r="AD10">
        <f t="shared" si="11"/>
        <v>15702.019712638748</v>
      </c>
      <c r="AF10">
        <f t="shared" si="12"/>
        <v>20622.588605251549</v>
      </c>
      <c r="AI10" s="94">
        <v>75</v>
      </c>
      <c r="AJ10" s="5">
        <f t="shared" si="13"/>
        <v>21379.402415318407</v>
      </c>
      <c r="AK10" s="5">
        <f t="shared" si="14"/>
        <v>24085.497737433616</v>
      </c>
      <c r="AL10" s="5">
        <f t="shared" si="15"/>
        <v>26000.621026624358</v>
      </c>
      <c r="AM10" s="5">
        <f t="shared" si="16"/>
        <v>28706.716348739563</v>
      </c>
      <c r="AN10" s="5">
        <f t="shared" si="17"/>
        <v>30842.745109963085</v>
      </c>
      <c r="AO10" s="5">
        <f t="shared" si="18"/>
        <v>33548.840432078294</v>
      </c>
      <c r="AP10" s="5">
        <f t="shared" si="19"/>
        <v>36680.10958892457</v>
      </c>
      <c r="AQ10" s="5">
        <f t="shared" si="20"/>
        <v>36680.10958892457</v>
      </c>
      <c r="AR10">
        <f t="shared" si="21"/>
        <v>51494.933094543288</v>
      </c>
      <c r="AT10">
        <f t="shared" si="22"/>
        <v>37488.421845735436</v>
      </c>
      <c r="AW10" s="94">
        <v>75</v>
      </c>
      <c r="AX10">
        <f t="shared" si="23"/>
        <v>285.05869887091211</v>
      </c>
      <c r="AY10">
        <f t="shared" si="24"/>
        <v>321.13996983244823</v>
      </c>
      <c r="AZ10">
        <f t="shared" si="25"/>
        <v>346.67494702165811</v>
      </c>
      <c r="BA10">
        <f t="shared" si="26"/>
        <v>382.75621798319418</v>
      </c>
      <c r="BB10">
        <f t="shared" si="27"/>
        <v>411.23660146617448</v>
      </c>
      <c r="BC10">
        <f t="shared" si="28"/>
        <v>447.3178724277106</v>
      </c>
      <c r="BD10">
        <f t="shared" si="29"/>
        <v>489.06812785232762</v>
      </c>
      <c r="BE10">
        <f t="shared" si="30"/>
        <v>489.06812785232762</v>
      </c>
      <c r="BF10">
        <f t="shared" si="31"/>
        <v>686.59910792724384</v>
      </c>
      <c r="BH10">
        <f t="shared" si="32"/>
        <v>499.84562460980584</v>
      </c>
      <c r="BK10" s="94">
        <v>75</v>
      </c>
      <c r="BL10">
        <f t="shared" si="2"/>
        <v>285.05869887091211</v>
      </c>
      <c r="BM10">
        <f t="shared" si="3"/>
        <v>346.67494702165811</v>
      </c>
      <c r="BN10">
        <f t="shared" si="4"/>
        <v>411.23660146617448</v>
      </c>
      <c r="BO10">
        <f t="shared" si="5"/>
        <v>489.06812785232762</v>
      </c>
      <c r="BP10">
        <f t="shared" si="6"/>
        <v>686.59910792724384</v>
      </c>
      <c r="BQ10">
        <f t="shared" si="7"/>
        <v>499.84562460980584</v>
      </c>
      <c r="BS10" s="94">
        <v>75</v>
      </c>
      <c r="BT10">
        <f t="shared" si="8"/>
        <v>347.65674911958155</v>
      </c>
      <c r="BU10">
        <f t="shared" si="9"/>
        <v>489.06812785232762</v>
      </c>
      <c r="BV10">
        <f t="shared" si="9"/>
        <v>686.59910792724384</v>
      </c>
      <c r="BW10">
        <f t="shared" si="9"/>
        <v>499.84562460980584</v>
      </c>
      <c r="BY10" s="94">
        <v>600</v>
      </c>
    </row>
    <row r="11" spans="2:81" x14ac:dyDescent="0.25">
      <c r="B11" s="94">
        <v>100</v>
      </c>
      <c r="C11" s="113">
        <f>'STS Summary'!$V$124+'STS Summary'!$AT$132</f>
        <v>21030.712869550251</v>
      </c>
      <c r="D11" s="105">
        <f>C11</f>
        <v>21030.712869550251</v>
      </c>
      <c r="E11" s="113">
        <f>'STS Summary'!$V$124+'STS Summary'!$AT$133</f>
        <v>27182.60283062113</v>
      </c>
      <c r="F11" s="105">
        <f>E11</f>
        <v>27182.60283062113</v>
      </c>
      <c r="G11" s="113">
        <f>'STS Summary'!$V$124+'STS Summary'!$AT$134</f>
        <v>33645.523709846202</v>
      </c>
      <c r="H11" s="105">
        <f>G11</f>
        <v>33645.523709846202</v>
      </c>
      <c r="I11" s="24">
        <f>'SAF Summary'!$G$60</f>
        <v>39998.994026037602</v>
      </c>
      <c r="J11" s="24">
        <f>I11</f>
        <v>39998.994026037602</v>
      </c>
      <c r="K11" s="24">
        <f>'ABR-Wetland'!Z10</f>
        <v>46650.345063583591</v>
      </c>
      <c r="L11" s="24"/>
      <c r="M11" s="24">
        <f>'ABR-Wetland'!AA10</f>
        <v>20894.483995262468</v>
      </c>
      <c r="O11" s="113">
        <f>STS!$L107</f>
        <v>1280.1999999999998</v>
      </c>
      <c r="P11" s="24"/>
      <c r="Q11" s="24">
        <f>(SAF!CG150)/25</f>
        <v>147.81021989237547</v>
      </c>
      <c r="R11" s="24"/>
      <c r="S11" s="24">
        <f>'ABR-Exca'!H62+'Wetland Summary'!J45</f>
        <v>1939.9773605459861</v>
      </c>
      <c r="T11" s="24"/>
      <c r="U11" s="24">
        <f>'ABR-Exca'!H62+'Wetland Summary'!X45</f>
        <v>2434.8375417625748</v>
      </c>
      <c r="V11" s="29"/>
      <c r="Z11">
        <f t="shared" si="33"/>
        <v>12801.999999999998</v>
      </c>
      <c r="AB11">
        <f t="shared" si="10"/>
        <v>1478.1021989237547</v>
      </c>
      <c r="AD11">
        <f t="shared" si="11"/>
        <v>19399.773605459861</v>
      </c>
      <c r="AF11">
        <f t="shared" si="12"/>
        <v>24348.37541762575</v>
      </c>
      <c r="AI11" s="94">
        <v>100</v>
      </c>
      <c r="AJ11" s="5">
        <f t="shared" si="13"/>
        <v>33832.712869550247</v>
      </c>
      <c r="AK11" s="5">
        <f t="shared" si="14"/>
        <v>33832.712869550247</v>
      </c>
      <c r="AL11" s="5">
        <f t="shared" si="15"/>
        <v>39984.60283062113</v>
      </c>
      <c r="AM11" s="5">
        <f t="shared" si="16"/>
        <v>39984.60283062113</v>
      </c>
      <c r="AN11" s="5">
        <f t="shared" si="17"/>
        <v>46447.523709846202</v>
      </c>
      <c r="AO11" s="5">
        <f t="shared" si="18"/>
        <v>46447.523709846202</v>
      </c>
      <c r="AP11" s="5">
        <f t="shared" si="19"/>
        <v>41477.096224961359</v>
      </c>
      <c r="AQ11" s="5">
        <f t="shared" si="20"/>
        <v>41477.096224961359</v>
      </c>
      <c r="AR11">
        <f t="shared" si="21"/>
        <v>66050.118669043455</v>
      </c>
      <c r="AT11">
        <f t="shared" si="22"/>
        <v>45242.859412888218</v>
      </c>
      <c r="AW11" s="94">
        <v>100</v>
      </c>
      <c r="AX11">
        <f t="shared" si="23"/>
        <v>338.32712869550249</v>
      </c>
      <c r="AY11">
        <f t="shared" si="24"/>
        <v>338.32712869550249</v>
      </c>
      <c r="AZ11">
        <f t="shared" si="25"/>
        <v>399.84602830621128</v>
      </c>
      <c r="BA11">
        <f t="shared" si="26"/>
        <v>399.84602830621128</v>
      </c>
      <c r="BB11">
        <f t="shared" si="27"/>
        <v>464.475237098462</v>
      </c>
      <c r="BC11">
        <f t="shared" si="28"/>
        <v>464.475237098462</v>
      </c>
      <c r="BD11">
        <f t="shared" si="29"/>
        <v>414.7709622496136</v>
      </c>
      <c r="BE11">
        <f t="shared" si="30"/>
        <v>414.7709622496136</v>
      </c>
      <c r="BF11">
        <f t="shared" si="31"/>
        <v>660.50118669043457</v>
      </c>
      <c r="BH11">
        <f t="shared" si="32"/>
        <v>452.4285941288822</v>
      </c>
      <c r="BK11" s="94">
        <v>100</v>
      </c>
      <c r="BL11">
        <f t="shared" si="2"/>
        <v>338.32712869550249</v>
      </c>
      <c r="BM11">
        <f t="shared" si="3"/>
        <v>399.84602830621128</v>
      </c>
      <c r="BN11">
        <f t="shared" si="4"/>
        <v>464.475237098462</v>
      </c>
      <c r="BO11">
        <f t="shared" si="5"/>
        <v>414.7709622496136</v>
      </c>
      <c r="BP11">
        <f t="shared" si="6"/>
        <v>660.50118669043457</v>
      </c>
      <c r="BQ11">
        <f t="shared" si="7"/>
        <v>452.4285941288822</v>
      </c>
      <c r="BS11" s="94">
        <v>100</v>
      </c>
      <c r="BT11">
        <f t="shared" si="8"/>
        <v>400.88279803339191</v>
      </c>
      <c r="BU11">
        <f t="shared" si="9"/>
        <v>414.7709622496136</v>
      </c>
      <c r="BV11">
        <f t="shared" si="9"/>
        <v>660.50118669043457</v>
      </c>
      <c r="BW11">
        <f t="shared" si="9"/>
        <v>452.4285941288822</v>
      </c>
      <c r="BY11" s="94">
        <v>800</v>
      </c>
    </row>
    <row r="12" spans="2:81" ht="15.75" thickBot="1" x14ac:dyDescent="0.3">
      <c r="B12" s="94">
        <v>150</v>
      </c>
      <c r="C12" s="113">
        <f>'STS Summary'!$V$143+'STS Summary'!$AT$151</f>
        <v>27375.035944837859</v>
      </c>
      <c r="D12" s="105">
        <f>C12</f>
        <v>27375.035944837859</v>
      </c>
      <c r="E12" s="113">
        <f>'STS Summary'!$V$143+'STS Summary'!$AT$152</f>
        <v>36088.513002378466</v>
      </c>
      <c r="F12" s="105">
        <f>E12</f>
        <v>36088.513002378466</v>
      </c>
      <c r="G12" s="113">
        <f>'STS Summary'!$V$143+'STS Summary'!$AT$153</f>
        <v>45262.67379732104</v>
      </c>
      <c r="H12" s="105">
        <f>G12</f>
        <v>45262.67379732104</v>
      </c>
      <c r="I12" s="24">
        <f>'SAF Summary'!T13</f>
        <v>59301.044786547631</v>
      </c>
      <c r="J12" s="24">
        <f>I12</f>
        <v>59301.044786547631</v>
      </c>
      <c r="K12" s="24">
        <f>'ABR-Wetland'!Z11</f>
        <v>88243.660293950074</v>
      </c>
      <c r="L12" s="24"/>
      <c r="M12" s="24">
        <f>'ABR-Wetland'!AA11</f>
        <v>27818.255020013163</v>
      </c>
      <c r="O12" s="113">
        <f>STS!$L108</f>
        <v>1892.1999999999998</v>
      </c>
      <c r="P12" s="24"/>
      <c r="Q12" s="24"/>
      <c r="R12" s="24"/>
      <c r="S12" s="24">
        <f>'ABR-Exca'!H63+'Wetland Summary'!J51</f>
        <v>2679.5712935942047</v>
      </c>
      <c r="T12" s="24"/>
      <c r="U12" s="24">
        <f>'ABR-Exca'!H63+'Wetland Summary'!X51</f>
        <v>3115.0075220284216</v>
      </c>
      <c r="V12" s="29"/>
      <c r="Z12">
        <f t="shared" si="33"/>
        <v>18922</v>
      </c>
      <c r="AD12">
        <f t="shared" si="11"/>
        <v>26795.712935942047</v>
      </c>
      <c r="AF12">
        <f t="shared" si="12"/>
        <v>31150.075220284216</v>
      </c>
      <c r="AI12" s="94">
        <v>150</v>
      </c>
      <c r="AJ12" s="5">
        <f t="shared" si="13"/>
        <v>46297.035944837859</v>
      </c>
      <c r="AK12" s="5">
        <f t="shared" si="14"/>
        <v>46297.035944837859</v>
      </c>
      <c r="AL12" s="5">
        <f t="shared" si="15"/>
        <v>55010.513002378466</v>
      </c>
      <c r="AM12" s="5">
        <f t="shared" si="16"/>
        <v>55010.513002378466</v>
      </c>
      <c r="AN12" s="5">
        <f t="shared" si="17"/>
        <v>64184.67379732104</v>
      </c>
      <c r="AO12" s="5">
        <f t="shared" si="18"/>
        <v>64184.67379732104</v>
      </c>
      <c r="AR12">
        <f t="shared" si="21"/>
        <v>115039.37322989212</v>
      </c>
      <c r="AT12">
        <f t="shared" si="22"/>
        <v>58968.330240297379</v>
      </c>
      <c r="AW12" s="94">
        <v>150</v>
      </c>
      <c r="AX12">
        <f t="shared" si="23"/>
        <v>308.64690629891908</v>
      </c>
      <c r="AY12">
        <f t="shared" si="24"/>
        <v>308.64690629891908</v>
      </c>
      <c r="AZ12">
        <f t="shared" si="25"/>
        <v>366.73675334918977</v>
      </c>
      <c r="BA12">
        <f t="shared" si="26"/>
        <v>366.73675334918977</v>
      </c>
      <c r="BB12">
        <f t="shared" si="27"/>
        <v>427.8978253154736</v>
      </c>
      <c r="BC12">
        <f t="shared" si="28"/>
        <v>427.8978253154736</v>
      </c>
      <c r="BF12">
        <f t="shared" si="31"/>
        <v>766.92915486594745</v>
      </c>
      <c r="BH12">
        <f t="shared" si="32"/>
        <v>393.12220160198251</v>
      </c>
      <c r="BT12" t="s">
        <v>1460</v>
      </c>
      <c r="BU12" s="43" t="s">
        <v>1114</v>
      </c>
      <c r="BV12" s="43" t="s">
        <v>1124</v>
      </c>
      <c r="BY12" s="108">
        <v>1000</v>
      </c>
    </row>
    <row r="13" spans="2:81" x14ac:dyDescent="0.25">
      <c r="B13" s="94">
        <v>200</v>
      </c>
      <c r="C13" s="113">
        <f>'STS Summary'!$V$161+'STS Summary'!$AT$170</f>
        <v>32526.076492248434</v>
      </c>
      <c r="D13" s="113">
        <f>'STS Summary'!$V$162+'STS Summary'!$AT$170</f>
        <v>32707.704974457556</v>
      </c>
      <c r="E13" s="113">
        <f>'STS Summary'!$V$161+'STS Summary'!$AT$171</f>
        <v>43708.576201320655</v>
      </c>
      <c r="F13" s="113">
        <f>'STS Summary'!$V$162+'STS Summary'!$AT$171</f>
        <v>43890.204683529781</v>
      </c>
      <c r="G13" s="113">
        <f>'STS Summary'!$V$161+'STS Summary'!$AT$172</f>
        <v>55496.865171246347</v>
      </c>
      <c r="H13" s="113">
        <f>'STS Summary'!$V$162+'STS Summary'!$AT$172</f>
        <v>55678.493653455473</v>
      </c>
      <c r="I13" s="24">
        <f>'SAF Summary'!T14</f>
        <v>73676.438116863195</v>
      </c>
      <c r="J13" s="24">
        <f t="shared" ref="J13:J19" si="34">I13</f>
        <v>73676.438116863195</v>
      </c>
      <c r="K13" s="24">
        <f>'ABR-Wetland'!Z12</f>
        <v>115763.97052764827</v>
      </c>
      <c r="L13" s="24"/>
      <c r="M13" s="24">
        <f>'ABR-Wetland'!AA12</f>
        <v>37265.61541427506</v>
      </c>
      <c r="O13" s="113">
        <f>STS!$L109</f>
        <v>2504.1999999999998</v>
      </c>
      <c r="P13" s="24"/>
      <c r="Q13" s="24"/>
      <c r="R13" s="24"/>
      <c r="S13" s="24">
        <f>'ABR-Exca'!H64+'Wetland Summary'!J57</f>
        <v>3419.1220721584268</v>
      </c>
      <c r="T13" s="24"/>
      <c r="U13" s="24">
        <f>'ABR-Exca'!H64+'Wetland Summary'!X57</f>
        <v>3965.6656409564698</v>
      </c>
      <c r="V13" s="29"/>
      <c r="Z13">
        <f t="shared" si="33"/>
        <v>25042</v>
      </c>
      <c r="AD13">
        <f t="shared" si="11"/>
        <v>34191.220721584265</v>
      </c>
      <c r="AF13">
        <f t="shared" si="12"/>
        <v>39656.656409564697</v>
      </c>
      <c r="AI13" s="94">
        <v>200</v>
      </c>
      <c r="AJ13" s="5">
        <f t="shared" si="13"/>
        <v>57568.076492248438</v>
      </c>
      <c r="AK13" s="5">
        <f t="shared" si="14"/>
        <v>57749.704974457556</v>
      </c>
      <c r="AL13" s="5">
        <f t="shared" si="15"/>
        <v>68750.576201320655</v>
      </c>
      <c r="AM13" s="5">
        <f t="shared" si="16"/>
        <v>68932.204683529781</v>
      </c>
      <c r="AN13" s="5">
        <f t="shared" si="17"/>
        <v>80538.865171246347</v>
      </c>
      <c r="AO13" s="5">
        <f t="shared" si="18"/>
        <v>80720.493653455473</v>
      </c>
      <c r="AR13">
        <f t="shared" si="21"/>
        <v>149955.19124923254</v>
      </c>
      <c r="AT13">
        <f t="shared" si="22"/>
        <v>76922.27182383975</v>
      </c>
      <c r="AW13" s="94">
        <v>200</v>
      </c>
      <c r="AX13">
        <f t="shared" si="23"/>
        <v>287.8403824612422</v>
      </c>
      <c r="AY13">
        <f t="shared" si="24"/>
        <v>288.74852487228776</v>
      </c>
      <c r="AZ13">
        <f t="shared" si="25"/>
        <v>343.75288100660327</v>
      </c>
      <c r="BA13">
        <f t="shared" si="26"/>
        <v>344.66102341764889</v>
      </c>
      <c r="BB13">
        <f t="shared" si="27"/>
        <v>402.69432585623173</v>
      </c>
      <c r="BC13">
        <f t="shared" si="28"/>
        <v>403.60246826727735</v>
      </c>
      <c r="BF13">
        <f t="shared" si="31"/>
        <v>749.77595624616265</v>
      </c>
      <c r="BH13">
        <f t="shared" si="32"/>
        <v>384.61135911919877</v>
      </c>
      <c r="BS13" s="94">
        <v>150</v>
      </c>
      <c r="BT13">
        <f t="shared" ref="BT13:BT20" si="35">AVERAGE(AX12,AZ12,BB12)</f>
        <v>367.7604949878608</v>
      </c>
      <c r="BU13">
        <f t="shared" ref="BU13:BU20" si="36">BF12</f>
        <v>766.92915486594745</v>
      </c>
      <c r="BV13">
        <f t="shared" ref="BV13:BV20" si="37">BH12</f>
        <v>393.12220160198251</v>
      </c>
    </row>
    <row r="14" spans="2:81" x14ac:dyDescent="0.25">
      <c r="B14" s="94">
        <v>300</v>
      </c>
      <c r="C14" s="113">
        <f>'STS Summary'!$V$181+'STS Summary'!$AT$189</f>
        <v>53963.689711203515</v>
      </c>
      <c r="D14" s="105">
        <f>C14</f>
        <v>53963.689711203515</v>
      </c>
      <c r="E14" s="113">
        <f>'STS Summary'!$V$181+'STS Summary'!$AT$190</f>
        <v>70084.234723338974</v>
      </c>
      <c r="F14" s="105">
        <f>E14</f>
        <v>70084.234723338974</v>
      </c>
      <c r="G14" s="113">
        <f>'STS Summary'!$V$181+'STS Summary'!$AT$191</f>
        <v>87100.780043230887</v>
      </c>
      <c r="H14" s="105">
        <f>G14</f>
        <v>87100.780043230887</v>
      </c>
      <c r="I14" s="24">
        <f>'SAF Summary'!T15</f>
        <v>100043.6381439713</v>
      </c>
      <c r="J14" s="24">
        <f t="shared" si="34"/>
        <v>100043.6381439713</v>
      </c>
      <c r="K14" s="24">
        <f>'ABR-Wetland'!Z13</f>
        <v>172872.37797144463</v>
      </c>
      <c r="L14" s="24"/>
      <c r="M14" s="24">
        <f>'ABR-Wetland'!AA13</f>
        <v>53668.692898540779</v>
      </c>
      <c r="O14" s="113">
        <f>STS!$L110</f>
        <v>3728.2</v>
      </c>
      <c r="P14" s="24"/>
      <c r="Q14" s="24"/>
      <c r="R14" s="24"/>
      <c r="S14" s="24">
        <f>'ABR-Exca'!H65+'Wetland Summary'!J63</f>
        <v>4898.2667837708686</v>
      </c>
      <c r="T14" s="24"/>
      <c r="U14" s="24">
        <f>'ABR-Exca'!H65+'Wetland Summary'!X63</f>
        <v>5577.7043513807994</v>
      </c>
      <c r="V14" s="29"/>
      <c r="Z14">
        <f t="shared" si="33"/>
        <v>37282</v>
      </c>
      <c r="AD14">
        <f t="shared" si="11"/>
        <v>48982.667837708686</v>
      </c>
      <c r="AF14">
        <f t="shared" si="12"/>
        <v>55777.043513807992</v>
      </c>
      <c r="AI14" s="94">
        <v>300</v>
      </c>
      <c r="AJ14" s="5">
        <f t="shared" si="13"/>
        <v>91245.689711203508</v>
      </c>
      <c r="AK14" s="5">
        <f t="shared" si="14"/>
        <v>91245.689711203508</v>
      </c>
      <c r="AL14" s="5">
        <f t="shared" si="15"/>
        <v>107366.23472333897</v>
      </c>
      <c r="AM14" s="5">
        <f t="shared" si="16"/>
        <v>107366.23472333897</v>
      </c>
      <c r="AN14" s="5">
        <f t="shared" si="17"/>
        <v>124382.78004323089</v>
      </c>
      <c r="AO14" s="5">
        <f t="shared" si="18"/>
        <v>124382.78004323089</v>
      </c>
      <c r="AR14">
        <f t="shared" si="21"/>
        <v>221855.04580915332</v>
      </c>
      <c r="AT14">
        <f t="shared" si="22"/>
        <v>109445.73641234878</v>
      </c>
      <c r="AW14" s="94">
        <v>300</v>
      </c>
      <c r="AX14">
        <f t="shared" si="23"/>
        <v>304.15229903734502</v>
      </c>
      <c r="AY14">
        <f t="shared" si="24"/>
        <v>304.15229903734502</v>
      </c>
      <c r="AZ14">
        <f t="shared" si="25"/>
        <v>357.88744907779659</v>
      </c>
      <c r="BA14">
        <f t="shared" si="26"/>
        <v>357.88744907779659</v>
      </c>
      <c r="BB14">
        <f t="shared" si="27"/>
        <v>414.60926681076961</v>
      </c>
      <c r="BC14">
        <f t="shared" si="28"/>
        <v>414.60926681076961</v>
      </c>
      <c r="BF14">
        <f t="shared" si="31"/>
        <v>739.51681936384443</v>
      </c>
      <c r="BH14">
        <f t="shared" si="32"/>
        <v>364.81912137449592</v>
      </c>
      <c r="BS14" s="94">
        <v>200</v>
      </c>
      <c r="BT14">
        <f t="shared" si="35"/>
        <v>344.76252977469238</v>
      </c>
      <c r="BU14">
        <f t="shared" si="36"/>
        <v>749.77595624616265</v>
      </c>
      <c r="BV14">
        <f t="shared" si="37"/>
        <v>384.61135911919877</v>
      </c>
    </row>
    <row r="15" spans="2:81" x14ac:dyDescent="0.25">
      <c r="B15" s="94">
        <v>400</v>
      </c>
      <c r="C15" s="113">
        <f>'STS Summary'!$V$199+'STS Summary'!$AT$208</f>
        <v>68050.951637267077</v>
      </c>
      <c r="D15" s="113">
        <f>'STS Summary'!$V$200+'STS Summary'!$AT$208</f>
        <v>68232.580119476203</v>
      </c>
      <c r="E15" s="113">
        <f>'STS Summary'!$V$199+'STS Summary'!$AT$209</f>
        <v>89109.541952465763</v>
      </c>
      <c r="F15" s="113">
        <f>'STS Summary'!$V$200+'STS Summary'!$AT$209</f>
        <v>89291.170434674888</v>
      </c>
      <c r="G15" s="113">
        <f>'STS Summary'!$V$199+'STS Summary'!$AT$210</f>
        <v>111354.34362232391</v>
      </c>
      <c r="H15" s="113">
        <f>'STS Summary'!$V$200+'STS Summary'!$AT$210</f>
        <v>111535.97210453302</v>
      </c>
      <c r="I15" s="24">
        <f>'SAF Summary'!T16</f>
        <v>124295.5995333866</v>
      </c>
      <c r="J15" s="24">
        <f t="shared" si="34"/>
        <v>124295.5995333866</v>
      </c>
      <c r="K15" s="24">
        <f>'ABR-Wetland'!Z14</f>
        <v>229488.39420374922</v>
      </c>
      <c r="L15" s="24"/>
      <c r="M15" s="24">
        <f>'ABR-Wetland'!AA14</f>
        <v>72239.368421474865</v>
      </c>
      <c r="O15" s="113">
        <f>STS!$L111</f>
        <v>4952.1999999999989</v>
      </c>
      <c r="P15" s="24"/>
      <c r="Q15" s="24"/>
      <c r="R15" s="24"/>
      <c r="S15" s="24">
        <f>'ABR-Exca'!H66+'Wetland Summary'!J69</f>
        <v>6377.4114953833096</v>
      </c>
      <c r="T15" s="24"/>
      <c r="U15" s="24">
        <f>'ABR-Exca'!H66+'Wetland Summary'!X69</f>
        <v>7298.6352635226103</v>
      </c>
      <c r="V15" s="29"/>
      <c r="Z15">
        <f t="shared" si="33"/>
        <v>49521.999999999985</v>
      </c>
      <c r="AD15">
        <f t="shared" si="11"/>
        <v>63774.114953833094</v>
      </c>
      <c r="AF15">
        <f t="shared" si="12"/>
        <v>72986.352635226096</v>
      </c>
      <c r="AI15" s="94">
        <v>400</v>
      </c>
      <c r="AJ15" s="5">
        <f t="shared" si="13"/>
        <v>117572.95163726706</v>
      </c>
      <c r="AK15" s="5">
        <f t="shared" si="14"/>
        <v>117754.58011947619</v>
      </c>
      <c r="AL15" s="5">
        <f t="shared" si="15"/>
        <v>138631.54195246575</v>
      </c>
      <c r="AM15" s="5">
        <f t="shared" si="16"/>
        <v>138813.17043467489</v>
      </c>
      <c r="AN15" s="5">
        <f t="shared" si="17"/>
        <v>160876.34362232388</v>
      </c>
      <c r="AO15" s="5">
        <f t="shared" si="18"/>
        <v>161057.97210453299</v>
      </c>
      <c r="AR15">
        <f t="shared" si="21"/>
        <v>293262.5091575823</v>
      </c>
      <c r="AT15">
        <f t="shared" si="22"/>
        <v>145225.72105670098</v>
      </c>
      <c r="AW15" s="94">
        <v>400</v>
      </c>
      <c r="AX15">
        <f t="shared" si="23"/>
        <v>293.93237909316764</v>
      </c>
      <c r="AY15">
        <f t="shared" si="24"/>
        <v>294.38645029869048</v>
      </c>
      <c r="AZ15">
        <f t="shared" si="25"/>
        <v>346.57885488116438</v>
      </c>
      <c r="BA15">
        <f t="shared" si="26"/>
        <v>347.03292608668721</v>
      </c>
      <c r="BB15">
        <f t="shared" si="27"/>
        <v>402.19085905580971</v>
      </c>
      <c r="BC15">
        <f t="shared" si="28"/>
        <v>402.64493026133249</v>
      </c>
      <c r="BF15">
        <f t="shared" si="31"/>
        <v>733.1562728939557</v>
      </c>
      <c r="BH15">
        <f t="shared" si="32"/>
        <v>363.06430264175242</v>
      </c>
      <c r="BS15" s="94">
        <v>300</v>
      </c>
      <c r="BT15">
        <f t="shared" si="35"/>
        <v>358.88300497530372</v>
      </c>
      <c r="BU15">
        <f t="shared" si="36"/>
        <v>739.51681936384443</v>
      </c>
      <c r="BV15">
        <f t="shared" si="37"/>
        <v>364.81912137449592</v>
      </c>
    </row>
    <row r="16" spans="2:81" x14ac:dyDescent="0.25">
      <c r="B16" s="94">
        <v>500</v>
      </c>
      <c r="C16" s="113">
        <f>'STS Summary'!$V$219+'STS Summary'!$AT$227</f>
        <v>91844.556514055352</v>
      </c>
      <c r="D16" s="105">
        <f>C16</f>
        <v>91844.556514055352</v>
      </c>
      <c r="E16" s="113">
        <f>'STS Summary'!$V$219+'STS Summary'!$AT$228</f>
        <v>117841.19213231727</v>
      </c>
      <c r="F16" s="105">
        <f>E16</f>
        <v>117841.19213231727</v>
      </c>
      <c r="G16" s="113">
        <f>'STS Summary'!$V$219+'STS Summary'!$AT$229</f>
        <v>145314.25015214164</v>
      </c>
      <c r="H16" s="105">
        <f>G16</f>
        <v>145314.25015214164</v>
      </c>
      <c r="I16" s="24">
        <f>'SAF Summary'!T17</f>
        <v>147087.02308169013</v>
      </c>
      <c r="J16" s="24">
        <f t="shared" si="34"/>
        <v>147087.02308169013</v>
      </c>
      <c r="K16" s="24">
        <f>'ABR-Wetland'!Z15</f>
        <v>283363.39660803089</v>
      </c>
      <c r="L16" s="24"/>
      <c r="M16" s="24">
        <f>'ABR-Wetland'!AA15</f>
        <v>88472.528151881736</v>
      </c>
      <c r="O16" s="113">
        <f>STS!$L112</f>
        <v>6176.1999999999989</v>
      </c>
      <c r="P16" s="24"/>
      <c r="Q16" s="24"/>
      <c r="R16" s="24"/>
      <c r="S16" s="24">
        <f>'ABR-Exca'!H67+'Wetland Summary'!J75</f>
        <v>7836.5931877759522</v>
      </c>
      <c r="T16" s="24"/>
      <c r="U16" s="24">
        <f>'ABR-Exca'!H67+'Wetland Summary'!X75</f>
        <v>8772.9083472216644</v>
      </c>
      <c r="V16" s="29"/>
      <c r="Z16">
        <f t="shared" si="33"/>
        <v>61761.999999999985</v>
      </c>
      <c r="AD16">
        <f t="shared" si="11"/>
        <v>78365.931877759518</v>
      </c>
      <c r="AF16">
        <f t="shared" si="12"/>
        <v>87729.083472216647</v>
      </c>
      <c r="AI16" s="94">
        <v>500</v>
      </c>
      <c r="AJ16" s="5">
        <f t="shared" si="13"/>
        <v>153606.55651405535</v>
      </c>
      <c r="AK16" s="5">
        <f t="shared" si="14"/>
        <v>153606.55651405535</v>
      </c>
      <c r="AL16" s="5">
        <f t="shared" si="15"/>
        <v>179603.19213231726</v>
      </c>
      <c r="AM16" s="5">
        <f t="shared" si="16"/>
        <v>179603.19213231726</v>
      </c>
      <c r="AN16" s="5">
        <f t="shared" si="17"/>
        <v>207076.25015214161</v>
      </c>
      <c r="AO16" s="5">
        <f t="shared" si="18"/>
        <v>207076.25015214161</v>
      </c>
      <c r="AR16">
        <f t="shared" si="21"/>
        <v>361729.32848579041</v>
      </c>
      <c r="AT16">
        <f t="shared" si="22"/>
        <v>176201.61162409838</v>
      </c>
      <c r="AW16" s="94">
        <v>500</v>
      </c>
      <c r="AX16">
        <f t="shared" si="23"/>
        <v>307.21311302811068</v>
      </c>
      <c r="AY16">
        <f t="shared" si="24"/>
        <v>307.21311302811068</v>
      </c>
      <c r="AZ16">
        <f t="shared" si="25"/>
        <v>359.20638426463449</v>
      </c>
      <c r="BA16">
        <f t="shared" si="26"/>
        <v>359.20638426463449</v>
      </c>
      <c r="BB16">
        <f t="shared" si="27"/>
        <v>414.15250030428325</v>
      </c>
      <c r="BC16">
        <f t="shared" si="28"/>
        <v>414.15250030428325</v>
      </c>
      <c r="BF16">
        <f t="shared" si="31"/>
        <v>723.45865697158081</v>
      </c>
      <c r="BH16">
        <f t="shared" si="32"/>
        <v>352.40322324819675</v>
      </c>
      <c r="BS16" s="94">
        <v>400</v>
      </c>
      <c r="BT16">
        <f t="shared" si="35"/>
        <v>347.56736434338063</v>
      </c>
      <c r="BU16">
        <f t="shared" si="36"/>
        <v>733.1562728939557</v>
      </c>
      <c r="BV16">
        <f t="shared" si="37"/>
        <v>363.06430264175242</v>
      </c>
    </row>
    <row r="17" spans="2:74" x14ac:dyDescent="0.25">
      <c r="B17" s="94">
        <v>600</v>
      </c>
      <c r="C17" s="113">
        <f>'STS Summary'!$V$238+'STS Summary'!$AT$246</f>
        <v>107140.99724393483</v>
      </c>
      <c r="D17" s="105">
        <f>C17</f>
        <v>107140.99724393483</v>
      </c>
      <c r="E17" s="113">
        <f>'STS Summary'!$V$238+'STS Summary'!$AT$247</f>
        <v>138075.67816525997</v>
      </c>
      <c r="F17" s="105">
        <f>E17</f>
        <v>138075.67816525997</v>
      </c>
      <c r="G17" s="113">
        <f>'STS Summary'!$V$238+'STS Summary'!$AT$248</f>
        <v>170776.99253505058</v>
      </c>
      <c r="H17" s="105">
        <f>G17</f>
        <v>170776.99253505058</v>
      </c>
      <c r="I17" s="24">
        <f>'SAF Summary'!T18</f>
        <v>168778.30009754444</v>
      </c>
      <c r="J17" s="24">
        <f t="shared" si="34"/>
        <v>168778.30009754444</v>
      </c>
      <c r="K17" s="24">
        <f>'ABR-Wetland'!Z16</f>
        <v>342584.12737915176</v>
      </c>
      <c r="L17" s="24"/>
      <c r="M17" s="24">
        <f>'ABR-Wetland'!AA16</f>
        <v>104478.39878151803</v>
      </c>
      <c r="O17" s="113">
        <f>STS!$L113</f>
        <v>7400.1999999999989</v>
      </c>
      <c r="P17" s="24"/>
      <c r="Q17" s="24"/>
      <c r="R17" s="24"/>
      <c r="S17" s="24">
        <f>'ABR-Exca'!H68+'Wetland Summary'!J81</f>
        <v>9314.5976450367234</v>
      </c>
      <c r="T17" s="24"/>
      <c r="U17" s="24">
        <f>'ABR-Exca'!H68+'Wetland Summary'!X81</f>
        <v>10271.23081851996</v>
      </c>
      <c r="V17" s="29"/>
      <c r="Z17">
        <f t="shared" si="33"/>
        <v>74001.999999999985</v>
      </c>
      <c r="AD17">
        <f t="shared" si="11"/>
        <v>93145.976450367234</v>
      </c>
      <c r="AF17">
        <f t="shared" si="12"/>
        <v>102712.3081851996</v>
      </c>
      <c r="AI17" s="94">
        <v>600</v>
      </c>
      <c r="AJ17" s="5">
        <f t="shared" si="13"/>
        <v>181142.99724393483</v>
      </c>
      <c r="AK17" s="5">
        <f t="shared" si="14"/>
        <v>181142.99724393483</v>
      </c>
      <c r="AL17" s="5">
        <f t="shared" si="15"/>
        <v>212077.67816525995</v>
      </c>
      <c r="AM17" s="5">
        <f t="shared" si="16"/>
        <v>212077.67816525995</v>
      </c>
      <c r="AN17" s="5">
        <f t="shared" si="17"/>
        <v>244778.99253505055</v>
      </c>
      <c r="AO17" s="5">
        <f t="shared" si="18"/>
        <v>244778.99253505055</v>
      </c>
      <c r="AR17">
        <f t="shared" si="21"/>
        <v>435730.10382951901</v>
      </c>
      <c r="AT17">
        <f t="shared" si="22"/>
        <v>207190.70696671761</v>
      </c>
      <c r="AW17" s="94">
        <v>600</v>
      </c>
      <c r="AX17">
        <f t="shared" si="23"/>
        <v>301.90499540655804</v>
      </c>
      <c r="AY17">
        <f t="shared" si="24"/>
        <v>301.90499540655804</v>
      </c>
      <c r="AZ17">
        <f t="shared" si="25"/>
        <v>353.46279694209989</v>
      </c>
      <c r="BA17">
        <f t="shared" si="26"/>
        <v>353.46279694209989</v>
      </c>
      <c r="BB17">
        <f t="shared" si="27"/>
        <v>407.96498755841759</v>
      </c>
      <c r="BC17">
        <f t="shared" si="28"/>
        <v>407.96498755841759</v>
      </c>
      <c r="BF17">
        <f t="shared" si="31"/>
        <v>726.21683971586504</v>
      </c>
      <c r="BH17">
        <f t="shared" si="32"/>
        <v>345.31784494452933</v>
      </c>
      <c r="BS17" s="94">
        <v>500</v>
      </c>
      <c r="BT17">
        <f t="shared" si="35"/>
        <v>360.19066586567618</v>
      </c>
      <c r="BU17">
        <f t="shared" si="36"/>
        <v>723.45865697158081</v>
      </c>
      <c r="BV17">
        <f t="shared" si="37"/>
        <v>352.40322324819675</v>
      </c>
    </row>
    <row r="18" spans="2:74" x14ac:dyDescent="0.25">
      <c r="B18" s="94">
        <v>800</v>
      </c>
      <c r="C18" s="113">
        <f>'STS Summary'!$V$257+'STS Summary'!$AT$265</f>
        <v>135587.90181878221</v>
      </c>
      <c r="D18" s="105">
        <f>C18</f>
        <v>135587.90181878221</v>
      </c>
      <c r="E18" s="113">
        <f>'STS Summary'!$V$257+'STS Summary'!$AT$266</f>
        <v>176398.67334623382</v>
      </c>
      <c r="F18" s="105">
        <f>E18</f>
        <v>176398.67334623382</v>
      </c>
      <c r="G18" s="113">
        <f>'STS Summary'!$V$257+'STS Summary'!$AT$267</f>
        <v>219556.50041595686</v>
      </c>
      <c r="H18" s="105">
        <f>G18</f>
        <v>219556.50041595686</v>
      </c>
      <c r="I18" s="24">
        <f>'SAF Summary'!T19</f>
        <v>209692.49407603955</v>
      </c>
      <c r="J18" s="24">
        <f t="shared" si="34"/>
        <v>209692.49407603955</v>
      </c>
      <c r="K18" s="24">
        <f>'ABR-Wetland'!Z17</f>
        <v>403885.58157294738</v>
      </c>
      <c r="L18" s="24"/>
      <c r="M18" s="24">
        <f>'ABR-Wetland'!AA17</f>
        <v>127493.05979143649</v>
      </c>
      <c r="O18" s="113">
        <f>STS!$L114</f>
        <v>9848.1999999999989</v>
      </c>
      <c r="P18" s="24"/>
      <c r="Q18" s="24"/>
      <c r="R18" s="24"/>
      <c r="S18" s="24">
        <f>'ABR-Exca'!H69+'Wetland Summary'!J87</f>
        <v>11167.965901118598</v>
      </c>
      <c r="T18" s="24"/>
      <c r="U18" s="24">
        <f>'ABR-Exca'!H69+'Wetland Summary'!X87</f>
        <v>12428.355831517849</v>
      </c>
      <c r="V18" s="29"/>
      <c r="Z18">
        <f t="shared" si="33"/>
        <v>98481.999999999985</v>
      </c>
      <c r="AD18">
        <f t="shared" si="11"/>
        <v>111679.65901118598</v>
      </c>
      <c r="AF18">
        <f t="shared" si="12"/>
        <v>124283.5583151785</v>
      </c>
      <c r="AI18" s="94">
        <v>800</v>
      </c>
      <c r="AJ18" s="5">
        <f t="shared" si="13"/>
        <v>234069.90181878221</v>
      </c>
      <c r="AK18" s="5">
        <f t="shared" si="14"/>
        <v>234069.90181878221</v>
      </c>
      <c r="AL18" s="5">
        <f t="shared" si="15"/>
        <v>274880.67334623379</v>
      </c>
      <c r="AM18" s="5">
        <f t="shared" si="16"/>
        <v>274880.67334623379</v>
      </c>
      <c r="AN18" s="5">
        <f t="shared" si="17"/>
        <v>318038.50041595683</v>
      </c>
      <c r="AO18" s="5">
        <f t="shared" si="18"/>
        <v>318038.50041595683</v>
      </c>
      <c r="AR18">
        <f t="shared" si="21"/>
        <v>515565.24058413337</v>
      </c>
      <c r="AT18">
        <f t="shared" si="22"/>
        <v>251776.61810661497</v>
      </c>
      <c r="AW18" s="94">
        <v>800</v>
      </c>
      <c r="AX18">
        <f>AJ18/$AI18</f>
        <v>292.58737727347778</v>
      </c>
      <c r="AY18">
        <f t="shared" si="24"/>
        <v>292.58737727347778</v>
      </c>
      <c r="AZ18">
        <f t="shared" si="25"/>
        <v>343.60084168279224</v>
      </c>
      <c r="BA18">
        <f t="shared" si="26"/>
        <v>343.60084168279224</v>
      </c>
      <c r="BB18">
        <f t="shared" si="27"/>
        <v>397.54812551994604</v>
      </c>
      <c r="BC18">
        <f t="shared" si="28"/>
        <v>397.54812551994604</v>
      </c>
      <c r="BF18">
        <f t="shared" si="31"/>
        <v>644.45655073016667</v>
      </c>
      <c r="BH18">
        <f t="shared" si="32"/>
        <v>314.72077263326872</v>
      </c>
      <c r="BS18" s="94">
        <v>600</v>
      </c>
      <c r="BT18">
        <f t="shared" si="35"/>
        <v>354.44425996902515</v>
      </c>
      <c r="BU18">
        <f t="shared" si="36"/>
        <v>726.21683971586504</v>
      </c>
      <c r="BV18">
        <f t="shared" si="37"/>
        <v>345.31784494452933</v>
      </c>
    </row>
    <row r="19" spans="2:74" ht="15.75" thickBot="1" x14ac:dyDescent="0.3">
      <c r="B19" s="108">
        <v>1000</v>
      </c>
      <c r="C19" s="115">
        <f>'STS Summary'!$V$276+'STS Summary'!$AT$284</f>
        <v>169388.59271880129</v>
      </c>
      <c r="D19" s="116">
        <f>C19</f>
        <v>169388.59271880129</v>
      </c>
      <c r="E19" s="115">
        <f>'STS Summary'!$V$276+'STS Summary'!$AT$285</f>
        <v>220075.45485237936</v>
      </c>
      <c r="F19" s="116">
        <f>E19</f>
        <v>220075.45485237936</v>
      </c>
      <c r="G19" s="115">
        <f>'STS Summary'!$V$276+'STS Summary'!$AT$286</f>
        <v>273689.79462203488</v>
      </c>
      <c r="H19" s="116">
        <f>G19</f>
        <v>273689.79462203488</v>
      </c>
      <c r="I19" s="24">
        <f>'SAF Summary'!T20</f>
        <v>248142.69235601506</v>
      </c>
      <c r="J19" s="107">
        <f t="shared" si="34"/>
        <v>248142.69235601506</v>
      </c>
      <c r="K19" s="107">
        <f>'ABR-Wetland'!Z18</f>
        <v>466753.04284480138</v>
      </c>
      <c r="L19" s="107"/>
      <c r="M19" s="107">
        <f>'ABR-Wetland'!AA18</f>
        <v>146519.45819604062</v>
      </c>
      <c r="N19" s="106"/>
      <c r="O19" s="113">
        <f>STS!$L115</f>
        <v>12296.199999999999</v>
      </c>
      <c r="P19" s="107"/>
      <c r="Q19" s="107"/>
      <c r="R19" s="107"/>
      <c r="S19" s="107">
        <f>'ABR-Exca'!H70+'Wetland Summary'!J93</f>
        <v>13033.624552126374</v>
      </c>
      <c r="T19" s="107"/>
      <c r="U19" s="107">
        <f>'ABR-Exca'!H70+'Wetland Summary'!X93</f>
        <v>14234.435372732141</v>
      </c>
      <c r="V19" s="63"/>
      <c r="Z19">
        <f t="shared" si="33"/>
        <v>122961.99999999999</v>
      </c>
      <c r="AD19">
        <f t="shared" si="11"/>
        <v>130336.24552126374</v>
      </c>
      <c r="AF19">
        <f t="shared" si="12"/>
        <v>142344.3537273214</v>
      </c>
      <c r="AI19" s="108">
        <v>1000</v>
      </c>
      <c r="AJ19" s="5">
        <f t="shared" si="13"/>
        <v>292350.59271880129</v>
      </c>
      <c r="AK19" s="5">
        <f t="shared" si="14"/>
        <v>292350.59271880129</v>
      </c>
      <c r="AL19" s="5">
        <f t="shared" si="15"/>
        <v>343037.45485237933</v>
      </c>
      <c r="AM19" s="5">
        <f t="shared" si="16"/>
        <v>343037.45485237933</v>
      </c>
      <c r="AN19" s="5">
        <f t="shared" si="17"/>
        <v>396651.79462203488</v>
      </c>
      <c r="AO19" s="5">
        <f t="shared" si="18"/>
        <v>396651.79462203488</v>
      </c>
      <c r="AR19">
        <f t="shared" si="21"/>
        <v>597089.28836606513</v>
      </c>
      <c r="AT19">
        <f t="shared" si="22"/>
        <v>288863.81192336202</v>
      </c>
      <c r="AW19" s="108">
        <v>1000</v>
      </c>
      <c r="AX19">
        <f t="shared" si="23"/>
        <v>292.35059271880129</v>
      </c>
      <c r="AY19">
        <f t="shared" si="24"/>
        <v>292.35059271880129</v>
      </c>
      <c r="AZ19">
        <f t="shared" si="25"/>
        <v>343.03745485237931</v>
      </c>
      <c r="BA19">
        <f t="shared" si="26"/>
        <v>343.03745485237931</v>
      </c>
      <c r="BB19">
        <f t="shared" si="27"/>
        <v>396.65179462203486</v>
      </c>
      <c r="BC19">
        <f t="shared" si="28"/>
        <v>396.65179462203486</v>
      </c>
      <c r="BF19">
        <f t="shared" si="31"/>
        <v>597.08928836606515</v>
      </c>
      <c r="BH19">
        <f t="shared" si="32"/>
        <v>288.86381192336205</v>
      </c>
      <c r="BS19" s="94">
        <v>800</v>
      </c>
      <c r="BT19">
        <f t="shared" si="35"/>
        <v>344.57878149207204</v>
      </c>
      <c r="BU19">
        <f t="shared" si="36"/>
        <v>644.45655073016667</v>
      </c>
      <c r="BV19">
        <f t="shared" si="37"/>
        <v>314.72077263326872</v>
      </c>
    </row>
    <row r="20" spans="2:74" ht="15.75" thickBot="1" x14ac:dyDescent="0.3">
      <c r="BS20" s="108">
        <v>1000</v>
      </c>
      <c r="BT20">
        <f t="shared" si="35"/>
        <v>344.0132807310718</v>
      </c>
      <c r="BU20">
        <f t="shared" si="36"/>
        <v>597.08928836606515</v>
      </c>
      <c r="BV20">
        <f t="shared" si="37"/>
        <v>288.86381192336205</v>
      </c>
    </row>
    <row r="22" spans="2:74" ht="15.75" thickBot="1" x14ac:dyDescent="0.3"/>
    <row r="23" spans="2:74" ht="15.75" thickBot="1" x14ac:dyDescent="0.3">
      <c r="Z23" s="129" t="s">
        <v>1499</v>
      </c>
      <c r="AA23" s="130"/>
      <c r="AB23" s="130"/>
      <c r="AC23" s="130"/>
      <c r="AD23" s="130"/>
      <c r="AE23" s="130"/>
      <c r="AF23" s="130"/>
      <c r="AG23" s="176"/>
      <c r="AI23" s="174" t="s">
        <v>156</v>
      </c>
      <c r="AJ23" s="129" t="s">
        <v>1500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76"/>
      <c r="AW23" s="174" t="s">
        <v>156</v>
      </c>
      <c r="AX23" s="129" t="s">
        <v>1501</v>
      </c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76"/>
    </row>
    <row r="24" spans="2:74" x14ac:dyDescent="0.25">
      <c r="Z24" s="180" t="s">
        <v>1460</v>
      </c>
      <c r="AA24" s="177"/>
      <c r="AB24" s="177" t="s">
        <v>1108</v>
      </c>
      <c r="AC24" s="177"/>
      <c r="AD24" s="177" t="s">
        <v>1114</v>
      </c>
      <c r="AE24" s="177"/>
      <c r="AF24" s="177" t="s">
        <v>1124</v>
      </c>
      <c r="AG24" s="178"/>
      <c r="AI24" s="166"/>
      <c r="AJ24" s="148" t="s">
        <v>1488</v>
      </c>
      <c r="AK24" s="177"/>
      <c r="AL24" s="148" t="s">
        <v>1490</v>
      </c>
      <c r="AM24" s="177"/>
      <c r="AN24" s="148" t="s">
        <v>1489</v>
      </c>
      <c r="AO24" s="177"/>
      <c r="AP24" s="177" t="s">
        <v>1108</v>
      </c>
      <c r="AQ24" s="177"/>
      <c r="AR24" s="177" t="s">
        <v>1114</v>
      </c>
      <c r="AS24" s="177"/>
      <c r="AT24" s="177" t="s">
        <v>1124</v>
      </c>
      <c r="AU24" s="179"/>
      <c r="AW24" s="166"/>
      <c r="AX24" s="148" t="s">
        <v>1488</v>
      </c>
      <c r="AY24" s="177"/>
      <c r="AZ24" s="148" t="s">
        <v>1490</v>
      </c>
      <c r="BA24" s="177"/>
      <c r="BB24" s="148" t="s">
        <v>1489</v>
      </c>
      <c r="BC24" s="177"/>
      <c r="BD24" s="177" t="s">
        <v>1108</v>
      </c>
      <c r="BE24" s="177"/>
      <c r="BF24" s="177" t="s">
        <v>1114</v>
      </c>
      <c r="BG24" s="177"/>
      <c r="BH24" s="177" t="s">
        <v>1124</v>
      </c>
      <c r="BI24" s="178"/>
    </row>
    <row r="25" spans="2:74" ht="15.75" thickBot="1" x14ac:dyDescent="0.3">
      <c r="Z25" s="110" t="s">
        <v>128</v>
      </c>
      <c r="AA25" s="47" t="s">
        <v>129</v>
      </c>
      <c r="AB25" s="47" t="s">
        <v>128</v>
      </c>
      <c r="AC25" s="47" t="s">
        <v>129</v>
      </c>
      <c r="AD25" s="47" t="s">
        <v>128</v>
      </c>
      <c r="AE25" s="47" t="s">
        <v>129</v>
      </c>
      <c r="AF25" s="47" t="s">
        <v>128</v>
      </c>
      <c r="AG25" s="111" t="s">
        <v>129</v>
      </c>
      <c r="AI25" s="175"/>
      <c r="AJ25" s="104" t="s">
        <v>128</v>
      </c>
      <c r="AK25" s="47" t="s">
        <v>129</v>
      </c>
      <c r="AL25" s="104" t="s">
        <v>128</v>
      </c>
      <c r="AM25" s="47" t="s">
        <v>129</v>
      </c>
      <c r="AN25" s="104" t="s">
        <v>128</v>
      </c>
      <c r="AO25" s="47" t="s">
        <v>129</v>
      </c>
      <c r="AP25" s="47" t="s">
        <v>128</v>
      </c>
      <c r="AQ25" s="47" t="s">
        <v>129</v>
      </c>
      <c r="AR25" s="47" t="s">
        <v>128</v>
      </c>
      <c r="AS25" s="47" t="s">
        <v>129</v>
      </c>
      <c r="AT25" s="47" t="s">
        <v>128</v>
      </c>
      <c r="AU25" s="109" t="s">
        <v>129</v>
      </c>
      <c r="AW25" s="175"/>
      <c r="AX25" s="104" t="s">
        <v>128</v>
      </c>
      <c r="AY25" s="47" t="s">
        <v>129</v>
      </c>
      <c r="AZ25" s="104" t="s">
        <v>128</v>
      </c>
      <c r="BA25" s="47" t="s">
        <v>129</v>
      </c>
      <c r="BB25" s="104" t="s">
        <v>128</v>
      </c>
      <c r="BC25" s="47" t="s">
        <v>129</v>
      </c>
      <c r="BD25" s="47" t="s">
        <v>128</v>
      </c>
      <c r="BE25" s="47" t="s">
        <v>129</v>
      </c>
      <c r="BF25" s="47" t="s">
        <v>128</v>
      </c>
      <c r="BG25" s="47" t="s">
        <v>129</v>
      </c>
      <c r="BH25" s="47" t="s">
        <v>128</v>
      </c>
      <c r="BI25" s="111" t="s">
        <v>129</v>
      </c>
      <c r="BL25" s="40" t="s">
        <v>1488</v>
      </c>
      <c r="BM25" s="40" t="s">
        <v>1490</v>
      </c>
      <c r="BN25" s="40" t="s">
        <v>1489</v>
      </c>
      <c r="BO25" s="43" t="s">
        <v>1108</v>
      </c>
      <c r="BP25" s="43" t="s">
        <v>1114</v>
      </c>
      <c r="BQ25" s="43" t="s">
        <v>1124</v>
      </c>
      <c r="BS25" t="s">
        <v>1460</v>
      </c>
      <c r="BT25" s="43" t="s">
        <v>1114</v>
      </c>
      <c r="BU25" s="43" t="s">
        <v>1124</v>
      </c>
    </row>
    <row r="26" spans="2:74" x14ac:dyDescent="0.25">
      <c r="Z26">
        <f>O5*25</f>
        <v>9675</v>
      </c>
      <c r="AB26">
        <f>Q5*25</f>
        <v>970.32865833107212</v>
      </c>
      <c r="AD26">
        <f>S5*25</f>
        <v>13578.54382305637</v>
      </c>
      <c r="AF26">
        <f>U5*25</f>
        <v>17900.124424565653</v>
      </c>
      <c r="AI26" s="94">
        <v>5</v>
      </c>
      <c r="AJ26" s="5">
        <f>C5+$Z26</f>
        <v>11133.46351551199</v>
      </c>
      <c r="AK26" s="5">
        <f>D5+$Z26</f>
        <v>11315.091997721112</v>
      </c>
      <c r="AL26" s="5">
        <f t="shared" ref="AL26:AN26" si="38">E5+$Z26</f>
        <v>11596.362429535908</v>
      </c>
      <c r="AM26" s="5">
        <f t="shared" si="38"/>
        <v>11777.990911745032</v>
      </c>
      <c r="AN26" s="5">
        <f t="shared" si="38"/>
        <v>12068.249671987476</v>
      </c>
      <c r="AO26" s="5">
        <f>H5+$Z26</f>
        <v>12249.878154196598</v>
      </c>
      <c r="AP26" s="5">
        <f>I5+$AB26</f>
        <v>4512.6712975169312</v>
      </c>
      <c r="AQ26" s="5">
        <f>J5+$AB26</f>
        <v>5281.1854410119249</v>
      </c>
      <c r="AR26" s="5">
        <f>K5+$AD26</f>
        <v>16818.015187704255</v>
      </c>
      <c r="AS26" s="5"/>
      <c r="AT26" s="5">
        <f>M5+$AF26</f>
        <v>20285.304521364447</v>
      </c>
      <c r="AU26" s="5"/>
      <c r="AW26" s="94">
        <v>5</v>
      </c>
      <c r="AX26">
        <f>AJ26/($AI26*25)</f>
        <v>89.06770812409593</v>
      </c>
      <c r="AY26">
        <f t="shared" ref="AY26:BH40" si="39">AK26/($AI26*25)</f>
        <v>90.520735981768894</v>
      </c>
      <c r="AZ26">
        <f t="shared" si="39"/>
        <v>92.770899436287266</v>
      </c>
      <c r="BA26">
        <f t="shared" si="39"/>
        <v>94.223927293960259</v>
      </c>
      <c r="BB26">
        <f t="shared" si="39"/>
        <v>96.545997375899816</v>
      </c>
      <c r="BC26">
        <f t="shared" si="39"/>
        <v>97.99902523357278</v>
      </c>
      <c r="BD26">
        <f t="shared" si="39"/>
        <v>36.10137038013545</v>
      </c>
      <c r="BE26">
        <f t="shared" si="39"/>
        <v>42.249483528095396</v>
      </c>
      <c r="BF26">
        <f t="shared" si="39"/>
        <v>134.54412150163404</v>
      </c>
      <c r="BH26">
        <f t="shared" si="39"/>
        <v>162.28243617091559</v>
      </c>
      <c r="BI26" s="29"/>
      <c r="BK26" s="94">
        <v>5</v>
      </c>
      <c r="BL26">
        <f t="shared" ref="BL26:BL40" si="40">AX26</f>
        <v>89.06770812409593</v>
      </c>
      <c r="BM26">
        <f t="shared" ref="BM26:BM40" si="41">AZ26</f>
        <v>92.770899436287266</v>
      </c>
      <c r="BN26">
        <f t="shared" ref="BN26:BN40" si="42">BB26</f>
        <v>96.545997375899816</v>
      </c>
      <c r="BO26">
        <f t="shared" ref="BO26:BO32" si="43">BD26</f>
        <v>36.10137038013545</v>
      </c>
      <c r="BP26">
        <f t="shared" ref="BP26:BP40" si="44">BF26</f>
        <v>134.54412150163404</v>
      </c>
      <c r="BQ26">
        <f t="shared" ref="BQ26:BQ40" si="45">BH26</f>
        <v>162.28243617091559</v>
      </c>
      <c r="BS26">
        <f>AVERAGE(BL26:BN26)</f>
        <v>92.794868312094351</v>
      </c>
      <c r="BT26">
        <f>BP26</f>
        <v>134.54412150163404</v>
      </c>
      <c r="BU26">
        <f>BQ26</f>
        <v>162.28243617091559</v>
      </c>
    </row>
    <row r="27" spans="2:74" x14ac:dyDescent="0.25">
      <c r="Z27">
        <f t="shared" ref="Z27:Z40" si="46">O6*25</f>
        <v>10585</v>
      </c>
      <c r="AB27">
        <f t="shared" ref="AB27:AB32" si="47">Q6*25</f>
        <v>999.87493389833696</v>
      </c>
      <c r="AD27">
        <f t="shared" ref="AD27:AD40" si="48">S6*25</f>
        <v>15228.772743021198</v>
      </c>
      <c r="AF27">
        <f t="shared" ref="AF27:AF40" si="49">U6*25</f>
        <v>19982.518380793375</v>
      </c>
      <c r="AI27" s="94">
        <v>10</v>
      </c>
      <c r="AJ27" s="5">
        <f t="shared" ref="AJ27:AK27" si="50">C6+$Z27</f>
        <v>13072.351649568471</v>
      </c>
      <c r="AK27" s="5">
        <f t="shared" si="50"/>
        <v>13378.02568268267</v>
      </c>
      <c r="AL27" s="5">
        <f t="shared" ref="AL27:AL40" si="51">E6+$Z27</f>
        <v>13826.732735425841</v>
      </c>
      <c r="AM27" s="5">
        <f t="shared" ref="AM27:AM40" si="52">F6+$Z27</f>
        <v>14132.406768540041</v>
      </c>
      <c r="AN27" s="5">
        <f t="shared" ref="AN27:AO40" si="53">G6+$Z27</f>
        <v>14486.169124407028</v>
      </c>
      <c r="AO27" s="5">
        <f t="shared" si="53"/>
        <v>14791.843157521227</v>
      </c>
      <c r="AP27" s="5">
        <f t="shared" ref="AP27:AQ27" si="54">I6+$AB27</f>
        <v>7562.6417180969029</v>
      </c>
      <c r="AQ27" s="5">
        <f t="shared" si="54"/>
        <v>8798.7468736365172</v>
      </c>
      <c r="AR27" s="5">
        <f t="shared" ref="AR27:AR40" si="55">K6+$AD27</f>
        <v>20904.218543838822</v>
      </c>
      <c r="AS27" s="5"/>
      <c r="AT27" s="5">
        <f t="shared" ref="AT27" si="56">M6+$AF27</f>
        <v>23336.722790302607</v>
      </c>
      <c r="AU27" s="5"/>
      <c r="AW27" s="94">
        <v>10</v>
      </c>
      <c r="AX27">
        <f t="shared" ref="AX27:AX40" si="57">AJ27/($AI27*25)</f>
        <v>52.289406598273885</v>
      </c>
      <c r="AY27">
        <f t="shared" si="39"/>
        <v>53.512102730730682</v>
      </c>
      <c r="AZ27">
        <f t="shared" si="39"/>
        <v>55.306930941703364</v>
      </c>
      <c r="BA27">
        <f t="shared" si="39"/>
        <v>56.52962707416016</v>
      </c>
      <c r="BB27">
        <f t="shared" si="39"/>
        <v>57.944676497628109</v>
      </c>
      <c r="BC27">
        <f t="shared" si="39"/>
        <v>59.167372630084905</v>
      </c>
      <c r="BD27">
        <f t="shared" si="39"/>
        <v>30.250566872387612</v>
      </c>
      <c r="BE27">
        <f t="shared" si="39"/>
        <v>35.194987494546069</v>
      </c>
      <c r="BF27">
        <f t="shared" si="39"/>
        <v>83.616874175355292</v>
      </c>
      <c r="BH27">
        <f t="shared" si="39"/>
        <v>93.346891161210422</v>
      </c>
      <c r="BI27" s="29"/>
      <c r="BK27" s="94">
        <v>10</v>
      </c>
      <c r="BL27">
        <f t="shared" si="40"/>
        <v>52.289406598273885</v>
      </c>
      <c r="BM27">
        <f t="shared" si="41"/>
        <v>55.306930941703364</v>
      </c>
      <c r="BN27">
        <f t="shared" si="42"/>
        <v>57.944676497628109</v>
      </c>
      <c r="BO27">
        <f t="shared" si="43"/>
        <v>30.250566872387612</v>
      </c>
      <c r="BP27">
        <f t="shared" si="44"/>
        <v>83.616874175355292</v>
      </c>
      <c r="BQ27">
        <f t="shared" si="45"/>
        <v>93.346891161210422</v>
      </c>
      <c r="BS27">
        <f t="shared" ref="BS27:BS40" si="58">AVERAGE(BL27:BN27)</f>
        <v>55.180338012535117</v>
      </c>
      <c r="BT27">
        <f t="shared" ref="BT27:BT40" si="59">BP27</f>
        <v>83.616874175355292</v>
      </c>
      <c r="BU27">
        <f t="shared" ref="BU27:BU40" si="60">BQ27</f>
        <v>93.346891161210422</v>
      </c>
    </row>
    <row r="28" spans="2:74" x14ac:dyDescent="0.25">
      <c r="Z28">
        <f t="shared" si="46"/>
        <v>10585</v>
      </c>
      <c r="AB28">
        <f t="shared" si="47"/>
        <v>1070.4286105937738</v>
      </c>
      <c r="AD28">
        <f t="shared" si="48"/>
        <v>18891.937767209602</v>
      </c>
      <c r="AF28">
        <f t="shared" si="49"/>
        <v>26989.292762420235</v>
      </c>
      <c r="AI28" s="94">
        <v>20</v>
      </c>
      <c r="AJ28" s="5">
        <f t="shared" ref="AJ28:AK28" si="61">C7+$Z28</f>
        <v>14408.301517641983</v>
      </c>
      <c r="AK28" s="5">
        <f t="shared" si="61"/>
        <v>15231.732283499608</v>
      </c>
      <c r="AL28" s="5">
        <f t="shared" si="51"/>
        <v>15667.665722921103</v>
      </c>
      <c r="AM28" s="5">
        <f t="shared" si="52"/>
        <v>16491.09648877873</v>
      </c>
      <c r="AN28" s="5">
        <f t="shared" si="53"/>
        <v>16960.249898766117</v>
      </c>
      <c r="AO28" s="5">
        <f t="shared" ref="AO28:AO40" si="62">H7+$Z28</f>
        <v>17783.680664623746</v>
      </c>
      <c r="AP28" s="5">
        <f t="shared" ref="AP28:AQ28" si="63">I7+$AB28</f>
        <v>11986.709949252458</v>
      </c>
      <c r="AQ28" s="5">
        <f t="shared" si="63"/>
        <v>14869.415305622562</v>
      </c>
      <c r="AR28" s="5">
        <f t="shared" si="55"/>
        <v>29473.549757249151</v>
      </c>
      <c r="AS28" s="5"/>
      <c r="AT28" s="5">
        <f t="shared" ref="AT28" si="64">M7+$AF28</f>
        <v>32618.34376324611</v>
      </c>
      <c r="AU28" s="5"/>
      <c r="AW28" s="94">
        <v>20</v>
      </c>
      <c r="AX28">
        <f t="shared" si="57"/>
        <v>28.816603035283965</v>
      </c>
      <c r="AY28">
        <f t="shared" si="39"/>
        <v>30.463464566999217</v>
      </c>
      <c r="AZ28">
        <f t="shared" si="39"/>
        <v>31.335331445842208</v>
      </c>
      <c r="BA28">
        <f t="shared" si="39"/>
        <v>32.98219297755746</v>
      </c>
      <c r="BB28">
        <f t="shared" si="39"/>
        <v>33.92049979753223</v>
      </c>
      <c r="BC28">
        <f t="shared" si="39"/>
        <v>35.56736132924749</v>
      </c>
      <c r="BD28">
        <f t="shared" si="39"/>
        <v>23.973419898504915</v>
      </c>
      <c r="BE28">
        <f t="shared" si="39"/>
        <v>29.738830611245124</v>
      </c>
      <c r="BF28">
        <f t="shared" si="39"/>
        <v>58.947099514498305</v>
      </c>
      <c r="BH28">
        <f t="shared" si="39"/>
        <v>65.236687526492219</v>
      </c>
      <c r="BI28" s="29"/>
      <c r="BK28" s="94">
        <v>20</v>
      </c>
      <c r="BL28">
        <f t="shared" si="40"/>
        <v>28.816603035283965</v>
      </c>
      <c r="BM28">
        <f t="shared" si="41"/>
        <v>31.335331445842208</v>
      </c>
      <c r="BN28">
        <f t="shared" si="42"/>
        <v>33.92049979753223</v>
      </c>
      <c r="BO28">
        <f t="shared" si="43"/>
        <v>23.973419898504915</v>
      </c>
      <c r="BP28">
        <f t="shared" si="44"/>
        <v>58.947099514498305</v>
      </c>
      <c r="BQ28">
        <f t="shared" si="45"/>
        <v>65.236687526492219</v>
      </c>
      <c r="BS28">
        <f t="shared" si="58"/>
        <v>31.357478092886137</v>
      </c>
      <c r="BT28">
        <f t="shared" si="59"/>
        <v>58.947099514498305</v>
      </c>
      <c r="BU28">
        <f t="shared" si="60"/>
        <v>65.236687526492219</v>
      </c>
    </row>
    <row r="29" spans="2:74" x14ac:dyDescent="0.25">
      <c r="Z29">
        <f t="shared" si="46"/>
        <v>10585</v>
      </c>
      <c r="AB29">
        <f t="shared" si="47"/>
        <v>1459.3414860097162</v>
      </c>
      <c r="AD29">
        <f t="shared" si="48"/>
        <v>22656.567035941673</v>
      </c>
      <c r="AF29">
        <f t="shared" si="49"/>
        <v>30705.856758771934</v>
      </c>
      <c r="AI29" s="94">
        <v>30</v>
      </c>
      <c r="AJ29" s="5">
        <f t="shared" ref="AJ29:AK29" si="65">C8+$Z29</f>
        <v>16828.979788048193</v>
      </c>
      <c r="AK29" s="5">
        <f t="shared" si="65"/>
        <v>17587.727141993855</v>
      </c>
      <c r="AL29" s="5">
        <f t="shared" si="51"/>
        <v>18670.738516377183</v>
      </c>
      <c r="AM29" s="5">
        <f t="shared" si="52"/>
        <v>19429.485870322846</v>
      </c>
      <c r="AN29" s="5">
        <f t="shared" si="53"/>
        <v>20610.746184676071</v>
      </c>
      <c r="AO29" s="5">
        <f t="shared" si="62"/>
        <v>21369.493538621733</v>
      </c>
      <c r="AP29" s="5">
        <f t="shared" ref="AP29:AQ29" si="66">I8+$AB29</f>
        <v>19062.810211430409</v>
      </c>
      <c r="AQ29" s="5">
        <f t="shared" si="66"/>
        <v>19062.810211430409</v>
      </c>
      <c r="AR29" s="5">
        <f t="shared" si="55"/>
        <v>37854.859338519454</v>
      </c>
      <c r="AS29" s="5"/>
      <c r="AT29" s="5">
        <f t="shared" ref="AT29" si="67">M8+$AF29</f>
        <v>37968.058619248855</v>
      </c>
      <c r="AU29" s="5"/>
      <c r="AW29" s="94">
        <v>30</v>
      </c>
      <c r="AX29">
        <f t="shared" si="57"/>
        <v>22.438639717397592</v>
      </c>
      <c r="AY29">
        <f t="shared" si="39"/>
        <v>23.450302855991808</v>
      </c>
      <c r="AZ29">
        <f t="shared" si="39"/>
        <v>24.894318021836245</v>
      </c>
      <c r="BA29">
        <f t="shared" si="39"/>
        <v>25.905981160430461</v>
      </c>
      <c r="BB29">
        <f t="shared" si="39"/>
        <v>27.480994912901426</v>
      </c>
      <c r="BC29">
        <f t="shared" si="39"/>
        <v>28.492658051495646</v>
      </c>
      <c r="BD29">
        <f t="shared" si="39"/>
        <v>25.417080281907211</v>
      </c>
      <c r="BE29">
        <f t="shared" si="39"/>
        <v>25.417080281907211</v>
      </c>
      <c r="BF29">
        <f t="shared" si="39"/>
        <v>50.473145784692605</v>
      </c>
      <c r="BH29">
        <f t="shared" si="39"/>
        <v>50.624078158998472</v>
      </c>
      <c r="BI29" s="29"/>
      <c r="BK29" s="94">
        <v>30</v>
      </c>
      <c r="BL29">
        <f t="shared" si="40"/>
        <v>22.438639717397592</v>
      </c>
      <c r="BM29">
        <f t="shared" si="41"/>
        <v>24.894318021836245</v>
      </c>
      <c r="BN29">
        <f t="shared" si="42"/>
        <v>27.480994912901426</v>
      </c>
      <c r="BO29">
        <f t="shared" si="43"/>
        <v>25.417080281907211</v>
      </c>
      <c r="BP29">
        <f t="shared" si="44"/>
        <v>50.473145784692605</v>
      </c>
      <c r="BQ29">
        <f t="shared" si="45"/>
        <v>50.624078158998472</v>
      </c>
      <c r="BS29">
        <f t="shared" si="58"/>
        <v>24.937984217378418</v>
      </c>
      <c r="BT29">
        <f t="shared" si="59"/>
        <v>50.473145784692605</v>
      </c>
      <c r="BU29">
        <f t="shared" si="60"/>
        <v>50.624078158998472</v>
      </c>
    </row>
    <row r="30" spans="2:74" x14ac:dyDescent="0.25">
      <c r="Z30">
        <f t="shared" si="46"/>
        <v>16705</v>
      </c>
      <c r="AB30">
        <f t="shared" si="47"/>
        <v>1639.8306276658996</v>
      </c>
      <c r="AD30">
        <f t="shared" si="48"/>
        <v>30117.670495833205</v>
      </c>
      <c r="AF30">
        <f t="shared" si="49"/>
        <v>37754.64343068649</v>
      </c>
      <c r="AI30" s="94">
        <v>50</v>
      </c>
      <c r="AJ30" s="5">
        <f t="shared" ref="AJ30:AK30" si="68">C9+$Z30</f>
        <v>24363.301669101398</v>
      </c>
      <c r="AK30" s="5">
        <f t="shared" si="68"/>
        <v>26121.972665236521</v>
      </c>
      <c r="AL30" s="5">
        <f t="shared" si="51"/>
        <v>27427.176261966051</v>
      </c>
      <c r="AM30" s="5">
        <f t="shared" si="52"/>
        <v>29185.847258101174</v>
      </c>
      <c r="AN30" s="5">
        <f t="shared" si="53"/>
        <v>30656.93867688498</v>
      </c>
      <c r="AO30" s="5">
        <f t="shared" si="62"/>
        <v>32415.609673020106</v>
      </c>
      <c r="AP30" s="5">
        <f t="shared" ref="AP30:AQ30" si="69">I9+$AB30</f>
        <v>28929.598935283375</v>
      </c>
      <c r="AQ30" s="5">
        <f t="shared" si="69"/>
        <v>28929.598935283375</v>
      </c>
      <c r="AR30" s="5">
        <f t="shared" si="55"/>
        <v>54378.007354517642</v>
      </c>
      <c r="AS30" s="5"/>
      <c r="AT30" s="5">
        <f t="shared" ref="AT30" si="70">M9+$AF30</f>
        <v>48086.630446093564</v>
      </c>
      <c r="AU30" s="5"/>
      <c r="AW30" s="94">
        <v>50</v>
      </c>
      <c r="AX30">
        <f t="shared" si="57"/>
        <v>19.490641335281119</v>
      </c>
      <c r="AY30">
        <f t="shared" si="39"/>
        <v>20.897578132189217</v>
      </c>
      <c r="AZ30">
        <f t="shared" si="39"/>
        <v>21.941741009572841</v>
      </c>
      <c r="BA30">
        <f t="shared" si="39"/>
        <v>23.348677806480939</v>
      </c>
      <c r="BB30">
        <f t="shared" si="39"/>
        <v>24.525550941507984</v>
      </c>
      <c r="BC30">
        <f t="shared" si="39"/>
        <v>25.932487738416086</v>
      </c>
      <c r="BD30">
        <f t="shared" si="39"/>
        <v>23.143679148226699</v>
      </c>
      <c r="BE30">
        <f t="shared" si="39"/>
        <v>23.143679148226699</v>
      </c>
      <c r="BF30">
        <f t="shared" si="39"/>
        <v>43.502405883614117</v>
      </c>
      <c r="BH30">
        <f t="shared" si="39"/>
        <v>38.469304356874851</v>
      </c>
      <c r="BI30" s="29"/>
      <c r="BK30" s="94">
        <v>50</v>
      </c>
      <c r="BL30">
        <f t="shared" si="40"/>
        <v>19.490641335281119</v>
      </c>
      <c r="BM30">
        <f t="shared" si="41"/>
        <v>21.941741009572841</v>
      </c>
      <c r="BN30">
        <f t="shared" si="42"/>
        <v>24.525550941507984</v>
      </c>
      <c r="BO30">
        <f t="shared" si="43"/>
        <v>23.143679148226699</v>
      </c>
      <c r="BP30">
        <f t="shared" si="44"/>
        <v>43.502405883614117</v>
      </c>
      <c r="BQ30">
        <f t="shared" si="45"/>
        <v>38.469304356874851</v>
      </c>
      <c r="BS30">
        <f t="shared" si="58"/>
        <v>21.985977762120651</v>
      </c>
      <c r="BT30">
        <f t="shared" si="59"/>
        <v>43.502405883614117</v>
      </c>
      <c r="BU30">
        <f t="shared" si="60"/>
        <v>38.469304356874851</v>
      </c>
    </row>
    <row r="31" spans="2:74" x14ac:dyDescent="0.25">
      <c r="Z31">
        <f t="shared" si="46"/>
        <v>24355</v>
      </c>
      <c r="AB31">
        <f t="shared" si="47"/>
        <v>2252.4824307650865</v>
      </c>
      <c r="AD31">
        <f t="shared" si="48"/>
        <v>39255.049281596868</v>
      </c>
      <c r="AF31">
        <f t="shared" si="49"/>
        <v>51556.471513128869</v>
      </c>
      <c r="AI31" s="94">
        <v>75</v>
      </c>
      <c r="AJ31" s="5">
        <f t="shared" ref="AJ31:AK31" si="71">C10+$Z31</f>
        <v>35992.402415318407</v>
      </c>
      <c r="AK31" s="5">
        <f t="shared" si="71"/>
        <v>38698.497737433616</v>
      </c>
      <c r="AL31" s="5">
        <f t="shared" si="51"/>
        <v>40613.621026624358</v>
      </c>
      <c r="AM31" s="5">
        <f t="shared" si="52"/>
        <v>43319.716348739559</v>
      </c>
      <c r="AN31" s="5">
        <f t="shared" si="53"/>
        <v>45455.745109963085</v>
      </c>
      <c r="AO31" s="5">
        <f t="shared" si="62"/>
        <v>48161.840432078294</v>
      </c>
      <c r="AP31" s="5">
        <f t="shared" ref="AP31:AQ31" si="72">I10+$AB31</f>
        <v>38031.599047383621</v>
      </c>
      <c r="AQ31" s="5">
        <f t="shared" si="72"/>
        <v>38031.599047383621</v>
      </c>
      <c r="AR31" s="5">
        <f t="shared" si="55"/>
        <v>75047.962663501414</v>
      </c>
      <c r="AS31" s="5"/>
      <c r="AT31" s="5">
        <f t="shared" ref="AT31" si="73">M10+$AF31</f>
        <v>68422.304753612756</v>
      </c>
      <c r="AU31" s="5"/>
      <c r="AW31" s="94">
        <v>75</v>
      </c>
      <c r="AX31">
        <f t="shared" si="57"/>
        <v>19.195947954836484</v>
      </c>
      <c r="AY31">
        <f t="shared" si="39"/>
        <v>20.639198793297929</v>
      </c>
      <c r="AZ31">
        <f t="shared" si="39"/>
        <v>21.660597880866323</v>
      </c>
      <c r="BA31">
        <f t="shared" si="39"/>
        <v>23.103848719327765</v>
      </c>
      <c r="BB31">
        <f t="shared" si="39"/>
        <v>24.243064058646979</v>
      </c>
      <c r="BC31">
        <f t="shared" si="39"/>
        <v>25.686314897108424</v>
      </c>
      <c r="BD31">
        <f t="shared" si="39"/>
        <v>20.28351949193793</v>
      </c>
      <c r="BE31">
        <f t="shared" si="39"/>
        <v>20.28351949193793</v>
      </c>
      <c r="BF31">
        <f t="shared" si="39"/>
        <v>40.025580087200751</v>
      </c>
      <c r="BH31">
        <f t="shared" si="39"/>
        <v>36.491895868593467</v>
      </c>
      <c r="BI31" s="29"/>
      <c r="BK31" s="94">
        <v>75</v>
      </c>
      <c r="BL31">
        <f t="shared" si="40"/>
        <v>19.195947954836484</v>
      </c>
      <c r="BM31">
        <f t="shared" si="41"/>
        <v>21.660597880866323</v>
      </c>
      <c r="BN31">
        <f t="shared" si="42"/>
        <v>24.243064058646979</v>
      </c>
      <c r="BO31">
        <f t="shared" si="43"/>
        <v>20.28351949193793</v>
      </c>
      <c r="BP31">
        <f t="shared" si="44"/>
        <v>40.025580087200751</v>
      </c>
      <c r="BQ31">
        <f t="shared" si="45"/>
        <v>36.491895868593467</v>
      </c>
      <c r="BS31">
        <f t="shared" si="58"/>
        <v>21.699869964783261</v>
      </c>
      <c r="BT31">
        <f t="shared" si="59"/>
        <v>40.025580087200751</v>
      </c>
      <c r="BU31">
        <f t="shared" si="60"/>
        <v>36.491895868593467</v>
      </c>
    </row>
    <row r="32" spans="2:74" x14ac:dyDescent="0.25">
      <c r="Z32">
        <f t="shared" si="46"/>
        <v>32004.999999999996</v>
      </c>
      <c r="AB32">
        <f t="shared" si="47"/>
        <v>3695.2554973093866</v>
      </c>
      <c r="AD32">
        <f t="shared" si="48"/>
        <v>48499.434013649654</v>
      </c>
      <c r="AF32">
        <f t="shared" si="49"/>
        <v>60870.938544064367</v>
      </c>
      <c r="AI32" s="94">
        <v>100</v>
      </c>
      <c r="AJ32" s="5">
        <f t="shared" ref="AJ32:AK32" si="74">C11+$Z32</f>
        <v>53035.712869550247</v>
      </c>
      <c r="AK32" s="5">
        <f t="shared" si="74"/>
        <v>53035.712869550247</v>
      </c>
      <c r="AL32" s="5">
        <f t="shared" si="51"/>
        <v>59187.602830621123</v>
      </c>
      <c r="AM32" s="5">
        <f t="shared" si="52"/>
        <v>59187.602830621123</v>
      </c>
      <c r="AN32" s="5">
        <f t="shared" si="53"/>
        <v>65650.523709846195</v>
      </c>
      <c r="AO32" s="5">
        <f t="shared" si="62"/>
        <v>65650.523709846195</v>
      </c>
      <c r="AP32" s="5">
        <f t="shared" ref="AP32:AQ32" si="75">I11+$AB32</f>
        <v>43694.249523346989</v>
      </c>
      <c r="AQ32" s="5">
        <f t="shared" si="75"/>
        <v>43694.249523346989</v>
      </c>
      <c r="AR32" s="5">
        <f t="shared" si="55"/>
        <v>95149.779077233252</v>
      </c>
      <c r="AS32" s="5"/>
      <c r="AT32" s="5">
        <f t="shared" ref="AT32" si="76">M11+$AF32</f>
        <v>81765.422539326828</v>
      </c>
      <c r="AU32" s="5"/>
      <c r="AW32" s="94">
        <v>100</v>
      </c>
      <c r="AX32">
        <f t="shared" si="57"/>
        <v>21.2142851478201</v>
      </c>
      <c r="AY32">
        <f t="shared" si="39"/>
        <v>21.2142851478201</v>
      </c>
      <c r="AZ32">
        <f t="shared" si="39"/>
        <v>23.675041132248449</v>
      </c>
      <c r="BA32">
        <f t="shared" si="39"/>
        <v>23.675041132248449</v>
      </c>
      <c r="BB32">
        <f t="shared" si="39"/>
        <v>26.260209483938478</v>
      </c>
      <c r="BC32">
        <f t="shared" si="39"/>
        <v>26.260209483938478</v>
      </c>
      <c r="BD32">
        <f t="shared" si="39"/>
        <v>17.477699809338795</v>
      </c>
      <c r="BE32">
        <f t="shared" si="39"/>
        <v>17.477699809338795</v>
      </c>
      <c r="BF32">
        <f t="shared" si="39"/>
        <v>38.059911630893303</v>
      </c>
      <c r="BH32">
        <f t="shared" si="39"/>
        <v>32.70616901573073</v>
      </c>
      <c r="BI32" s="29"/>
      <c r="BK32" s="94">
        <v>100</v>
      </c>
      <c r="BL32">
        <f t="shared" si="40"/>
        <v>21.2142851478201</v>
      </c>
      <c r="BM32">
        <f t="shared" si="41"/>
        <v>23.675041132248449</v>
      </c>
      <c r="BN32">
        <f t="shared" si="42"/>
        <v>26.260209483938478</v>
      </c>
      <c r="BO32">
        <f t="shared" si="43"/>
        <v>17.477699809338795</v>
      </c>
      <c r="BP32">
        <f t="shared" si="44"/>
        <v>38.059911630893303</v>
      </c>
      <c r="BQ32">
        <f t="shared" si="45"/>
        <v>32.70616901573073</v>
      </c>
      <c r="BS32">
        <f t="shared" si="58"/>
        <v>23.716511921335677</v>
      </c>
      <c r="BT32">
        <f t="shared" si="59"/>
        <v>38.059911630893303</v>
      </c>
      <c r="BU32">
        <f t="shared" si="60"/>
        <v>32.70616901573073</v>
      </c>
    </row>
    <row r="33" spans="26:73" x14ac:dyDescent="0.25">
      <c r="Z33">
        <f t="shared" si="46"/>
        <v>47304.999999999993</v>
      </c>
      <c r="AD33">
        <f t="shared" si="48"/>
        <v>66989.282339855112</v>
      </c>
      <c r="AF33">
        <f t="shared" si="49"/>
        <v>77875.188050710538</v>
      </c>
      <c r="AI33" s="94">
        <v>150</v>
      </c>
      <c r="AJ33" s="5">
        <f t="shared" ref="AJ33:AK33" si="77">C12+$Z33</f>
        <v>74680.035944837844</v>
      </c>
      <c r="AK33" s="5">
        <f t="shared" si="77"/>
        <v>74680.035944837844</v>
      </c>
      <c r="AL33" s="5">
        <f t="shared" si="51"/>
        <v>83393.513002378459</v>
      </c>
      <c r="AM33" s="5">
        <f t="shared" si="52"/>
        <v>83393.513002378459</v>
      </c>
      <c r="AN33" s="5">
        <f t="shared" si="53"/>
        <v>92567.67379732104</v>
      </c>
      <c r="AO33" s="5">
        <f t="shared" si="62"/>
        <v>92567.67379732104</v>
      </c>
      <c r="AP33" s="5"/>
      <c r="AQ33" s="5"/>
      <c r="AR33" s="5">
        <f t="shared" si="55"/>
        <v>155232.94263380519</v>
      </c>
      <c r="AS33" s="5"/>
      <c r="AT33" s="5">
        <f t="shared" ref="AT33" si="78">M12+$AF33</f>
        <v>105693.4430707237</v>
      </c>
      <c r="AU33" s="5"/>
      <c r="AW33" s="94">
        <v>150</v>
      </c>
      <c r="AX33">
        <f t="shared" si="57"/>
        <v>19.91467625195676</v>
      </c>
      <c r="AY33">
        <f t="shared" si="39"/>
        <v>19.91467625195676</v>
      </c>
      <c r="AZ33">
        <f t="shared" si="39"/>
        <v>22.238270133967589</v>
      </c>
      <c r="BA33">
        <f t="shared" si="39"/>
        <v>22.238270133967589</v>
      </c>
      <c r="BB33">
        <f t="shared" si="39"/>
        <v>24.684713012618943</v>
      </c>
      <c r="BC33">
        <f t="shared" si="39"/>
        <v>24.684713012618943</v>
      </c>
      <c r="BF33">
        <f t="shared" si="39"/>
        <v>41.395451369014715</v>
      </c>
      <c r="BH33">
        <f t="shared" si="39"/>
        <v>28.184918152192989</v>
      </c>
      <c r="BI33" s="29"/>
      <c r="BK33" s="94">
        <v>150</v>
      </c>
      <c r="BL33">
        <f t="shared" si="40"/>
        <v>19.91467625195676</v>
      </c>
      <c r="BM33">
        <f t="shared" si="41"/>
        <v>22.238270133967589</v>
      </c>
      <c r="BN33">
        <f t="shared" si="42"/>
        <v>24.684713012618943</v>
      </c>
      <c r="BP33">
        <f t="shared" si="44"/>
        <v>41.395451369014715</v>
      </c>
      <c r="BQ33">
        <f t="shared" si="45"/>
        <v>28.184918152192989</v>
      </c>
      <c r="BS33">
        <f t="shared" si="58"/>
        <v>22.279219799514433</v>
      </c>
      <c r="BT33">
        <f t="shared" si="59"/>
        <v>41.395451369014715</v>
      </c>
      <c r="BU33">
        <f t="shared" si="60"/>
        <v>28.184918152192989</v>
      </c>
    </row>
    <row r="34" spans="26:73" x14ac:dyDescent="0.25">
      <c r="Z34">
        <f t="shared" si="46"/>
        <v>62604.999999999993</v>
      </c>
      <c r="AD34">
        <f t="shared" si="48"/>
        <v>85478.051803960669</v>
      </c>
      <c r="AF34">
        <f t="shared" si="49"/>
        <v>99141.641023911739</v>
      </c>
      <c r="AI34" s="94">
        <v>200</v>
      </c>
      <c r="AJ34" s="5">
        <f t="shared" ref="AJ34:AK34" si="79">C13+$Z34</f>
        <v>95131.076492248423</v>
      </c>
      <c r="AK34" s="5">
        <f t="shared" si="79"/>
        <v>95312.704974457549</v>
      </c>
      <c r="AL34" s="5">
        <f t="shared" si="51"/>
        <v>106313.57620132065</v>
      </c>
      <c r="AM34" s="5">
        <f t="shared" si="52"/>
        <v>106495.20468352977</v>
      </c>
      <c r="AN34" s="5">
        <f t="shared" si="53"/>
        <v>118101.86517124635</v>
      </c>
      <c r="AO34" s="5">
        <f t="shared" si="62"/>
        <v>118283.49365345546</v>
      </c>
      <c r="AP34" s="5"/>
      <c r="AQ34" s="5"/>
      <c r="AR34" s="5">
        <f t="shared" si="55"/>
        <v>201242.02233160893</v>
      </c>
      <c r="AS34" s="5"/>
      <c r="AT34" s="5">
        <f t="shared" ref="AT34" si="80">M13+$AF34</f>
        <v>136407.2564381868</v>
      </c>
      <c r="AU34" s="5"/>
      <c r="AW34" s="94">
        <v>200</v>
      </c>
      <c r="AX34">
        <f t="shared" si="57"/>
        <v>19.026215298449685</v>
      </c>
      <c r="AY34">
        <f t="shared" si="39"/>
        <v>19.06254099489151</v>
      </c>
      <c r="AZ34">
        <f t="shared" si="39"/>
        <v>21.262715240264132</v>
      </c>
      <c r="BA34">
        <f t="shared" si="39"/>
        <v>21.299040936705953</v>
      </c>
      <c r="BB34">
        <f t="shared" si="39"/>
        <v>23.620373034249269</v>
      </c>
      <c r="BC34">
        <f t="shared" si="39"/>
        <v>23.65669873069109</v>
      </c>
      <c r="BF34">
        <f t="shared" si="39"/>
        <v>40.248404466321787</v>
      </c>
      <c r="BH34">
        <f t="shared" si="39"/>
        <v>27.28145128763736</v>
      </c>
      <c r="BI34" s="29"/>
      <c r="BK34" s="94">
        <v>200</v>
      </c>
      <c r="BL34">
        <f t="shared" si="40"/>
        <v>19.026215298449685</v>
      </c>
      <c r="BM34">
        <f t="shared" si="41"/>
        <v>21.262715240264132</v>
      </c>
      <c r="BN34">
        <f t="shared" si="42"/>
        <v>23.620373034249269</v>
      </c>
      <c r="BP34">
        <f t="shared" si="44"/>
        <v>40.248404466321787</v>
      </c>
      <c r="BQ34">
        <f t="shared" si="45"/>
        <v>27.28145128763736</v>
      </c>
      <c r="BS34">
        <f t="shared" si="58"/>
        <v>21.303101190987693</v>
      </c>
      <c r="BT34">
        <f t="shared" si="59"/>
        <v>40.248404466321787</v>
      </c>
      <c r="BU34">
        <f t="shared" si="60"/>
        <v>27.28145128763736</v>
      </c>
    </row>
    <row r="35" spans="26:73" x14ac:dyDescent="0.25">
      <c r="Z35">
        <f t="shared" si="46"/>
        <v>93205</v>
      </c>
      <c r="AD35">
        <f t="shared" si="48"/>
        <v>122456.66959427172</v>
      </c>
      <c r="AF35">
        <f t="shared" si="49"/>
        <v>139442.60878451998</v>
      </c>
      <c r="AI35" s="94">
        <v>300</v>
      </c>
      <c r="AJ35" s="5">
        <f t="shared" ref="AJ35:AK35" si="81">C14+$Z35</f>
        <v>147168.68971120351</v>
      </c>
      <c r="AK35" s="5">
        <f t="shared" si="81"/>
        <v>147168.68971120351</v>
      </c>
      <c r="AL35" s="5">
        <f t="shared" si="51"/>
        <v>163289.23472333897</v>
      </c>
      <c r="AM35" s="5">
        <f t="shared" si="52"/>
        <v>163289.23472333897</v>
      </c>
      <c r="AN35" s="5">
        <f t="shared" si="53"/>
        <v>180305.78004323089</v>
      </c>
      <c r="AO35" s="5">
        <f t="shared" si="62"/>
        <v>180305.78004323089</v>
      </c>
      <c r="AR35" s="5">
        <f t="shared" si="55"/>
        <v>295329.04756571632</v>
      </c>
      <c r="AS35" s="5"/>
      <c r="AT35" s="5">
        <f t="shared" ref="AT35" si="82">M14+$AF35</f>
        <v>193111.30168306077</v>
      </c>
      <c r="AU35" s="5"/>
      <c r="AW35" s="94">
        <v>300</v>
      </c>
      <c r="AX35">
        <f t="shared" si="57"/>
        <v>19.6224919614938</v>
      </c>
      <c r="AY35">
        <f t="shared" si="39"/>
        <v>19.6224919614938</v>
      </c>
      <c r="AZ35">
        <f t="shared" si="39"/>
        <v>21.771897963111861</v>
      </c>
      <c r="BA35">
        <f t="shared" si="39"/>
        <v>21.771897963111861</v>
      </c>
      <c r="BB35">
        <f t="shared" si="39"/>
        <v>24.040770672430785</v>
      </c>
      <c r="BC35">
        <f t="shared" si="39"/>
        <v>24.040770672430785</v>
      </c>
      <c r="BF35">
        <f t="shared" si="39"/>
        <v>39.377206342095512</v>
      </c>
      <c r="BH35">
        <f t="shared" si="39"/>
        <v>25.748173557741435</v>
      </c>
      <c r="BI35" s="29"/>
      <c r="BK35" s="94">
        <v>300</v>
      </c>
      <c r="BL35">
        <f t="shared" si="40"/>
        <v>19.6224919614938</v>
      </c>
      <c r="BM35">
        <f t="shared" si="41"/>
        <v>21.771897963111861</v>
      </c>
      <c r="BN35">
        <f t="shared" si="42"/>
        <v>24.040770672430785</v>
      </c>
      <c r="BP35">
        <f t="shared" si="44"/>
        <v>39.377206342095512</v>
      </c>
      <c r="BQ35">
        <f t="shared" si="45"/>
        <v>25.748173557741435</v>
      </c>
      <c r="BS35">
        <f t="shared" si="58"/>
        <v>21.811720199012147</v>
      </c>
      <c r="BT35">
        <f t="shared" si="59"/>
        <v>39.377206342095512</v>
      </c>
      <c r="BU35">
        <f t="shared" si="60"/>
        <v>25.748173557741435</v>
      </c>
    </row>
    <row r="36" spans="26:73" x14ac:dyDescent="0.25">
      <c r="Z36">
        <f t="shared" si="46"/>
        <v>123804.99999999997</v>
      </c>
      <c r="AD36">
        <f t="shared" si="48"/>
        <v>159435.28738458274</v>
      </c>
      <c r="AF36">
        <f t="shared" si="49"/>
        <v>182465.88158806527</v>
      </c>
      <c r="AI36" s="94">
        <v>400</v>
      </c>
      <c r="AJ36" s="5">
        <f t="shared" ref="AJ36:AK36" si="83">C15+$Z36</f>
        <v>191855.95163726705</v>
      </c>
      <c r="AK36" s="5">
        <f t="shared" si="83"/>
        <v>192037.58011947619</v>
      </c>
      <c r="AL36" s="5">
        <f t="shared" si="51"/>
        <v>212914.54195246572</v>
      </c>
      <c r="AM36" s="5">
        <f t="shared" si="52"/>
        <v>213096.17043467486</v>
      </c>
      <c r="AN36" s="5">
        <f t="shared" si="53"/>
        <v>235159.34362232388</v>
      </c>
      <c r="AO36" s="5">
        <f t="shared" si="62"/>
        <v>235340.97210453299</v>
      </c>
      <c r="AR36" s="5">
        <f t="shared" si="55"/>
        <v>388923.68158833194</v>
      </c>
      <c r="AS36" s="5"/>
      <c r="AT36" s="5">
        <f t="shared" ref="AT36" si="84">M15+$AF36</f>
        <v>254705.25000954012</v>
      </c>
      <c r="AU36" s="5"/>
      <c r="AW36" s="94">
        <v>400</v>
      </c>
      <c r="AX36">
        <f t="shared" si="57"/>
        <v>19.185595163726706</v>
      </c>
      <c r="AY36">
        <f t="shared" si="39"/>
        <v>19.20375801194762</v>
      </c>
      <c r="AZ36">
        <f t="shared" si="39"/>
        <v>21.291454195246573</v>
      </c>
      <c r="BA36">
        <f t="shared" si="39"/>
        <v>21.309617043467487</v>
      </c>
      <c r="BB36">
        <f t="shared" si="39"/>
        <v>23.51593436223239</v>
      </c>
      <c r="BC36">
        <f t="shared" si="39"/>
        <v>23.5340972104533</v>
      </c>
      <c r="BF36">
        <f t="shared" si="39"/>
        <v>38.892368158833193</v>
      </c>
      <c r="BH36">
        <f t="shared" si="39"/>
        <v>25.470525000954012</v>
      </c>
      <c r="BI36" s="29"/>
      <c r="BK36" s="94">
        <v>400</v>
      </c>
      <c r="BL36">
        <f t="shared" si="40"/>
        <v>19.185595163726706</v>
      </c>
      <c r="BM36">
        <f t="shared" si="41"/>
        <v>21.291454195246573</v>
      </c>
      <c r="BN36">
        <f t="shared" si="42"/>
        <v>23.51593436223239</v>
      </c>
      <c r="BP36">
        <f t="shared" si="44"/>
        <v>38.892368158833193</v>
      </c>
      <c r="BQ36">
        <f t="shared" si="45"/>
        <v>25.470525000954012</v>
      </c>
      <c r="BS36">
        <f t="shared" si="58"/>
        <v>21.330994573735222</v>
      </c>
      <c r="BT36">
        <f t="shared" si="59"/>
        <v>38.892368158833193</v>
      </c>
      <c r="BU36">
        <f t="shared" si="60"/>
        <v>25.470525000954012</v>
      </c>
    </row>
    <row r="37" spans="26:73" x14ac:dyDescent="0.25">
      <c r="Z37">
        <f t="shared" si="46"/>
        <v>154404.99999999997</v>
      </c>
      <c r="AD37">
        <f t="shared" si="48"/>
        <v>195914.8296943988</v>
      </c>
      <c r="AF37">
        <f t="shared" si="49"/>
        <v>219322.7086805416</v>
      </c>
      <c r="AI37" s="94">
        <v>500</v>
      </c>
      <c r="AJ37" s="5">
        <f t="shared" ref="AJ37:AK37" si="85">C16+$Z37</f>
        <v>246249.55651405532</v>
      </c>
      <c r="AK37" s="5">
        <f t="shared" si="85"/>
        <v>246249.55651405532</v>
      </c>
      <c r="AL37" s="5">
        <f t="shared" si="51"/>
        <v>272246.19213231723</v>
      </c>
      <c r="AM37" s="5">
        <f t="shared" si="52"/>
        <v>272246.19213231723</v>
      </c>
      <c r="AN37" s="5">
        <f t="shared" si="53"/>
        <v>299719.25015214161</v>
      </c>
      <c r="AO37" s="5">
        <f t="shared" si="62"/>
        <v>299719.25015214161</v>
      </c>
      <c r="AR37" s="5">
        <f t="shared" si="55"/>
        <v>479278.22630242968</v>
      </c>
      <c r="AS37" s="5"/>
      <c r="AT37" s="5">
        <f t="shared" ref="AT37" si="86">M16+$AF37</f>
        <v>307795.23683242337</v>
      </c>
      <c r="AU37" s="5"/>
      <c r="AW37" s="94">
        <v>500</v>
      </c>
      <c r="AX37">
        <f t="shared" si="57"/>
        <v>19.699964521124425</v>
      </c>
      <c r="AY37">
        <f t="shared" si="39"/>
        <v>19.699964521124425</v>
      </c>
      <c r="AZ37">
        <f t="shared" si="39"/>
        <v>21.77969537058538</v>
      </c>
      <c r="BA37">
        <f t="shared" si="39"/>
        <v>21.77969537058538</v>
      </c>
      <c r="BB37">
        <f t="shared" si="39"/>
        <v>23.977540012171328</v>
      </c>
      <c r="BC37">
        <f t="shared" si="39"/>
        <v>23.977540012171328</v>
      </c>
      <c r="BF37">
        <f t="shared" si="39"/>
        <v>38.342258104194372</v>
      </c>
      <c r="BH37">
        <f t="shared" si="39"/>
        <v>24.623618946593869</v>
      </c>
      <c r="BI37" s="29"/>
      <c r="BK37" s="94">
        <v>500</v>
      </c>
      <c r="BL37">
        <f t="shared" si="40"/>
        <v>19.699964521124425</v>
      </c>
      <c r="BM37">
        <f t="shared" si="41"/>
        <v>21.77969537058538</v>
      </c>
      <c r="BN37">
        <f t="shared" si="42"/>
        <v>23.977540012171328</v>
      </c>
      <c r="BP37">
        <f t="shared" si="44"/>
        <v>38.342258104194372</v>
      </c>
      <c r="BQ37">
        <f t="shared" si="45"/>
        <v>24.623618946593869</v>
      </c>
      <c r="BS37">
        <f t="shared" si="58"/>
        <v>21.819066634627045</v>
      </c>
      <c r="BT37">
        <f t="shared" si="59"/>
        <v>38.342258104194372</v>
      </c>
      <c r="BU37">
        <f t="shared" si="60"/>
        <v>24.623618946593869</v>
      </c>
    </row>
    <row r="38" spans="26:73" x14ac:dyDescent="0.25">
      <c r="Z38">
        <f t="shared" si="46"/>
        <v>185004.99999999997</v>
      </c>
      <c r="AD38">
        <f t="shared" si="48"/>
        <v>232864.94112591809</v>
      </c>
      <c r="AF38">
        <f t="shared" si="49"/>
        <v>256780.770462999</v>
      </c>
      <c r="AI38" s="94">
        <v>600</v>
      </c>
      <c r="AJ38" s="5">
        <f t="shared" ref="AJ38:AK38" si="87">C17+$Z38</f>
        <v>292145.99724393478</v>
      </c>
      <c r="AK38" s="5">
        <f t="shared" si="87"/>
        <v>292145.99724393478</v>
      </c>
      <c r="AL38" s="5">
        <f t="shared" si="51"/>
        <v>323080.67816525995</v>
      </c>
      <c r="AM38" s="5">
        <f t="shared" si="52"/>
        <v>323080.67816525995</v>
      </c>
      <c r="AN38" s="5">
        <f t="shared" si="53"/>
        <v>355781.99253505055</v>
      </c>
      <c r="AO38" s="5">
        <f t="shared" si="62"/>
        <v>355781.99253505055</v>
      </c>
      <c r="AR38" s="5">
        <f t="shared" si="55"/>
        <v>575449.06850506982</v>
      </c>
      <c r="AS38" s="5"/>
      <c r="AT38" s="5">
        <f t="shared" ref="AT38" si="88">M17+$AF38</f>
        <v>361259.16924451705</v>
      </c>
      <c r="AU38" s="5"/>
      <c r="AW38" s="94">
        <v>600</v>
      </c>
      <c r="AX38">
        <f t="shared" si="57"/>
        <v>19.476399816262319</v>
      </c>
      <c r="AY38">
        <f t="shared" si="39"/>
        <v>19.476399816262319</v>
      </c>
      <c r="AZ38">
        <f t="shared" si="39"/>
        <v>21.538711877683998</v>
      </c>
      <c r="BA38">
        <f t="shared" si="39"/>
        <v>21.538711877683998</v>
      </c>
      <c r="BB38">
        <f t="shared" si="39"/>
        <v>23.718799502336704</v>
      </c>
      <c r="BC38">
        <f t="shared" si="39"/>
        <v>23.718799502336704</v>
      </c>
      <c r="BF38">
        <f t="shared" si="39"/>
        <v>38.36327123367132</v>
      </c>
      <c r="BH38">
        <f t="shared" si="39"/>
        <v>24.083944616301135</v>
      </c>
      <c r="BI38" s="29"/>
      <c r="BK38" s="94">
        <v>600</v>
      </c>
      <c r="BL38">
        <f t="shared" si="40"/>
        <v>19.476399816262319</v>
      </c>
      <c r="BM38">
        <f t="shared" si="41"/>
        <v>21.538711877683998</v>
      </c>
      <c r="BN38">
        <f t="shared" si="42"/>
        <v>23.718799502336704</v>
      </c>
      <c r="BP38">
        <f t="shared" si="44"/>
        <v>38.36327123367132</v>
      </c>
      <c r="BQ38">
        <f t="shared" si="45"/>
        <v>24.083944616301135</v>
      </c>
      <c r="BS38">
        <f t="shared" si="58"/>
        <v>21.577970398761007</v>
      </c>
      <c r="BT38">
        <f t="shared" si="59"/>
        <v>38.36327123367132</v>
      </c>
      <c r="BU38">
        <f t="shared" si="60"/>
        <v>24.083944616301135</v>
      </c>
    </row>
    <row r="39" spans="26:73" x14ac:dyDescent="0.25">
      <c r="Z39">
        <f t="shared" si="46"/>
        <v>246204.99999999997</v>
      </c>
      <c r="AD39">
        <f t="shared" si="48"/>
        <v>279199.14752796496</v>
      </c>
      <c r="AF39">
        <f t="shared" si="49"/>
        <v>310708.89578794624</v>
      </c>
      <c r="AI39" s="94">
        <v>800</v>
      </c>
      <c r="AJ39" s="5">
        <f t="shared" ref="AJ39:AK39" si="89">C18+$Z39</f>
        <v>381792.90181878221</v>
      </c>
      <c r="AK39" s="5">
        <f t="shared" si="89"/>
        <v>381792.90181878221</v>
      </c>
      <c r="AL39" s="5">
        <f t="shared" si="51"/>
        <v>422603.67334623379</v>
      </c>
      <c r="AM39" s="5">
        <f t="shared" si="52"/>
        <v>422603.67334623379</v>
      </c>
      <c r="AN39" s="5">
        <f t="shared" si="53"/>
        <v>465761.50041595683</v>
      </c>
      <c r="AO39" s="5">
        <f t="shared" si="62"/>
        <v>465761.50041595683</v>
      </c>
      <c r="AR39" s="5">
        <f t="shared" si="55"/>
        <v>683084.72910091234</v>
      </c>
      <c r="AS39" s="5"/>
      <c r="AT39" s="5">
        <f t="shared" ref="AT39" si="90">M18+$AF39</f>
        <v>438201.95557938272</v>
      </c>
      <c r="AU39" s="5"/>
      <c r="AW39" s="94">
        <v>800</v>
      </c>
      <c r="AX39">
        <f t="shared" si="57"/>
        <v>19.089645090939111</v>
      </c>
      <c r="AY39">
        <f t="shared" si="39"/>
        <v>19.089645090939111</v>
      </c>
      <c r="AZ39">
        <f t="shared" si="39"/>
        <v>21.130183667311691</v>
      </c>
      <c r="BA39">
        <f t="shared" si="39"/>
        <v>21.130183667311691</v>
      </c>
      <c r="BB39">
        <f t="shared" si="39"/>
        <v>23.288075020797841</v>
      </c>
      <c r="BC39">
        <f t="shared" si="39"/>
        <v>23.288075020797841</v>
      </c>
      <c r="BF39">
        <f t="shared" si="39"/>
        <v>34.15423645504562</v>
      </c>
      <c r="BH39">
        <f t="shared" si="39"/>
        <v>21.910097778969135</v>
      </c>
      <c r="BI39" s="29"/>
      <c r="BK39" s="94">
        <v>800</v>
      </c>
      <c r="BL39">
        <f t="shared" si="40"/>
        <v>19.089645090939111</v>
      </c>
      <c r="BM39">
        <f t="shared" si="41"/>
        <v>21.130183667311691</v>
      </c>
      <c r="BN39">
        <f t="shared" si="42"/>
        <v>23.288075020797841</v>
      </c>
      <c r="BP39">
        <f t="shared" si="44"/>
        <v>34.15423645504562</v>
      </c>
      <c r="BQ39">
        <f t="shared" si="45"/>
        <v>21.910097778969135</v>
      </c>
      <c r="BS39">
        <f t="shared" si="58"/>
        <v>21.169301259682879</v>
      </c>
      <c r="BT39">
        <f t="shared" si="59"/>
        <v>34.15423645504562</v>
      </c>
      <c r="BU39">
        <f t="shared" si="60"/>
        <v>21.910097778969135</v>
      </c>
    </row>
    <row r="40" spans="26:73" ht="15.75" thickBot="1" x14ac:dyDescent="0.3">
      <c r="Z40">
        <f t="shared" si="46"/>
        <v>307405</v>
      </c>
      <c r="AD40">
        <f t="shared" si="48"/>
        <v>325840.61380315933</v>
      </c>
      <c r="AF40">
        <f t="shared" si="49"/>
        <v>355860.88431830355</v>
      </c>
      <c r="AI40" s="108">
        <v>1000</v>
      </c>
      <c r="AJ40" s="5">
        <f t="shared" ref="AJ40:AK40" si="91">C19+$Z40</f>
        <v>476793.59271880129</v>
      </c>
      <c r="AK40" s="5">
        <f t="shared" si="91"/>
        <v>476793.59271880129</v>
      </c>
      <c r="AL40" s="5">
        <f t="shared" si="51"/>
        <v>527480.45485237939</v>
      </c>
      <c r="AM40" s="5">
        <f t="shared" si="52"/>
        <v>527480.45485237939</v>
      </c>
      <c r="AN40" s="5">
        <f t="shared" si="53"/>
        <v>581094.79462203488</v>
      </c>
      <c r="AO40" s="5">
        <f t="shared" si="62"/>
        <v>581094.79462203488</v>
      </c>
      <c r="AR40" s="5">
        <f t="shared" si="55"/>
        <v>792593.65664796066</v>
      </c>
      <c r="AS40" s="5"/>
      <c r="AT40" s="5">
        <f t="shared" ref="AT40" si="92">M19+$AF40</f>
        <v>502380.34251434414</v>
      </c>
      <c r="AU40" s="5"/>
      <c r="AW40" s="108">
        <v>1000</v>
      </c>
      <c r="AX40" s="106">
        <f t="shared" si="57"/>
        <v>19.071743708752052</v>
      </c>
      <c r="AY40" s="106">
        <f t="shared" si="39"/>
        <v>19.071743708752052</v>
      </c>
      <c r="AZ40" s="106">
        <f t="shared" si="39"/>
        <v>21.099218194095176</v>
      </c>
      <c r="BA40" s="106">
        <f t="shared" si="39"/>
        <v>21.099218194095176</v>
      </c>
      <c r="BB40" s="106">
        <f t="shared" si="39"/>
        <v>23.243791784881395</v>
      </c>
      <c r="BC40" s="106">
        <f t="shared" si="39"/>
        <v>23.243791784881395</v>
      </c>
      <c r="BD40" s="106"/>
      <c r="BE40" s="106"/>
      <c r="BF40" s="106">
        <f t="shared" si="39"/>
        <v>31.703746265918426</v>
      </c>
      <c r="BG40" s="106"/>
      <c r="BH40" s="106">
        <f t="shared" si="39"/>
        <v>20.095213700573765</v>
      </c>
      <c r="BI40" s="63"/>
      <c r="BK40" s="108">
        <v>1000</v>
      </c>
      <c r="BL40">
        <f t="shared" si="40"/>
        <v>19.071743708752052</v>
      </c>
      <c r="BM40">
        <f t="shared" si="41"/>
        <v>21.099218194095176</v>
      </c>
      <c r="BN40">
        <f t="shared" si="42"/>
        <v>23.243791784881395</v>
      </c>
      <c r="BP40">
        <f t="shared" si="44"/>
        <v>31.703746265918426</v>
      </c>
      <c r="BQ40">
        <f t="shared" si="45"/>
        <v>20.095213700573765</v>
      </c>
      <c r="BS40">
        <f t="shared" si="58"/>
        <v>21.138251229242872</v>
      </c>
      <c r="BT40">
        <f t="shared" si="59"/>
        <v>31.703746265918426</v>
      </c>
      <c r="BU40">
        <f t="shared" si="60"/>
        <v>20.095213700573765</v>
      </c>
    </row>
  </sheetData>
  <mergeCells count="53">
    <mergeCell ref="AX2:BI2"/>
    <mergeCell ref="AX3:AY3"/>
    <mergeCell ref="AZ3:BA3"/>
    <mergeCell ref="BB3:BC3"/>
    <mergeCell ref="BD3:BE3"/>
    <mergeCell ref="BF3:BG3"/>
    <mergeCell ref="BH3:BI3"/>
    <mergeCell ref="AD3:AE3"/>
    <mergeCell ref="AF3:AG3"/>
    <mergeCell ref="AJ2:AU2"/>
    <mergeCell ref="AJ3:AK3"/>
    <mergeCell ref="AL3:AM3"/>
    <mergeCell ref="AN3:AO3"/>
    <mergeCell ref="AP3:AQ3"/>
    <mergeCell ref="AR3:AS3"/>
    <mergeCell ref="AT3:AU3"/>
    <mergeCell ref="B2:B4"/>
    <mergeCell ref="E3:F3"/>
    <mergeCell ref="G3:H3"/>
    <mergeCell ref="C3:D3"/>
    <mergeCell ref="I3:J3"/>
    <mergeCell ref="K3:L3"/>
    <mergeCell ref="M3:N3"/>
    <mergeCell ref="C2:N2"/>
    <mergeCell ref="Z23:AG23"/>
    <mergeCell ref="Z24:AA24"/>
    <mergeCell ref="AB24:AC24"/>
    <mergeCell ref="AD24:AE24"/>
    <mergeCell ref="AF24:AG24"/>
    <mergeCell ref="O2:V2"/>
    <mergeCell ref="O3:P3"/>
    <mergeCell ref="Q3:R3"/>
    <mergeCell ref="S3:T3"/>
    <mergeCell ref="U3:V3"/>
    <mergeCell ref="Z2:AG2"/>
    <mergeCell ref="Z3:AA3"/>
    <mergeCell ref="AB3:AC3"/>
    <mergeCell ref="AW23:AW25"/>
    <mergeCell ref="AI23:AI25"/>
    <mergeCell ref="AX23:BI23"/>
    <mergeCell ref="AX24:AY24"/>
    <mergeCell ref="AZ24:BA24"/>
    <mergeCell ref="BB24:BC24"/>
    <mergeCell ref="BD24:BE24"/>
    <mergeCell ref="BF24:BG24"/>
    <mergeCell ref="BH24:BI24"/>
    <mergeCell ref="AJ23:AU23"/>
    <mergeCell ref="AJ24:AK24"/>
    <mergeCell ref="AL24:AM24"/>
    <mergeCell ref="AN24:AO24"/>
    <mergeCell ref="AP24:AQ24"/>
    <mergeCell ref="AR24:AS24"/>
    <mergeCell ref="AT24:AU2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95F5-4A60-4ABB-B85A-414CBA54E8B0}">
  <dimension ref="B2:B14"/>
  <sheetViews>
    <sheetView workbookViewId="0">
      <selection activeCell="N24" sqref="N24"/>
    </sheetView>
  </sheetViews>
  <sheetFormatPr defaultRowHeight="15" x14ac:dyDescent="0.25"/>
  <sheetData>
    <row r="2" spans="2:2" x14ac:dyDescent="0.25">
      <c r="B2" t="s">
        <v>23</v>
      </c>
    </row>
    <row r="4" spans="2:2" x14ac:dyDescent="0.25">
      <c r="B4" t="s">
        <v>22</v>
      </c>
    </row>
    <row r="13" spans="2:2" x14ac:dyDescent="0.25">
      <c r="B13" t="s">
        <v>53</v>
      </c>
    </row>
    <row r="14" spans="2:2" x14ac:dyDescent="0.25">
      <c r="B14" t="s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4B43-2C76-4E81-A3AB-CF2BAD709DC6}">
  <sheetPr>
    <tabColor rgb="FFFF0000"/>
  </sheetPr>
  <dimension ref="B3:E36"/>
  <sheetViews>
    <sheetView topLeftCell="A3" workbookViewId="0">
      <selection activeCell="F33" sqref="F33"/>
    </sheetView>
  </sheetViews>
  <sheetFormatPr defaultRowHeight="15" x14ac:dyDescent="0.25"/>
  <sheetData>
    <row r="3" spans="2:5" x14ac:dyDescent="0.25">
      <c r="C3" t="s">
        <v>1241</v>
      </c>
    </row>
    <row r="4" spans="2:5" x14ac:dyDescent="0.25">
      <c r="B4" t="s">
        <v>1502</v>
      </c>
      <c r="C4" s="7">
        <v>5.7</v>
      </c>
      <c r="D4">
        <f>C4/100</f>
        <v>5.7000000000000002E-2</v>
      </c>
      <c r="E4">
        <f>D4+1</f>
        <v>1.0569999999999999</v>
      </c>
    </row>
    <row r="5" spans="2:5" x14ac:dyDescent="0.25">
      <c r="B5" t="s">
        <v>1503</v>
      </c>
      <c r="C5" s="7">
        <v>8</v>
      </c>
      <c r="D5">
        <f t="shared" ref="D5:D36" si="0">C5/100</f>
        <v>0.08</v>
      </c>
      <c r="E5">
        <f t="shared" ref="E5:E36" si="1">D5+1</f>
        <v>1.08</v>
      </c>
    </row>
    <row r="6" spans="2:5" x14ac:dyDescent="0.25">
      <c r="B6" t="s">
        <v>1504</v>
      </c>
      <c r="C6" s="7">
        <v>7.5</v>
      </c>
      <c r="D6">
        <f t="shared" si="0"/>
        <v>7.4999999999999997E-2</v>
      </c>
      <c r="E6">
        <f t="shared" si="1"/>
        <v>1.075</v>
      </c>
    </row>
    <row r="7" spans="2:5" x14ac:dyDescent="0.25">
      <c r="B7" t="s">
        <v>1505</v>
      </c>
      <c r="C7" s="7">
        <v>4.5999999999999996</v>
      </c>
      <c r="D7">
        <f t="shared" si="0"/>
        <v>4.5999999999999999E-2</v>
      </c>
      <c r="E7">
        <f t="shared" si="1"/>
        <v>1.046</v>
      </c>
    </row>
    <row r="8" spans="2:5" x14ac:dyDescent="0.25">
      <c r="B8" t="s">
        <v>1506</v>
      </c>
      <c r="C8" s="7">
        <v>2.6</v>
      </c>
      <c r="D8">
        <f t="shared" si="0"/>
        <v>2.6000000000000002E-2</v>
      </c>
      <c r="E8">
        <f t="shared" si="1"/>
        <v>1.026</v>
      </c>
    </row>
    <row r="9" spans="2:5" x14ac:dyDescent="0.25">
      <c r="B9" t="s">
        <v>1507</v>
      </c>
      <c r="C9" s="7">
        <v>2.2000000000000002</v>
      </c>
      <c r="D9">
        <f t="shared" si="0"/>
        <v>2.2000000000000002E-2</v>
      </c>
      <c r="E9">
        <f t="shared" si="1"/>
        <v>1.022</v>
      </c>
    </row>
    <row r="10" spans="2:5" x14ac:dyDescent="0.25">
      <c r="B10" t="s">
        <v>1508</v>
      </c>
      <c r="C10" s="7">
        <v>2.7</v>
      </c>
      <c r="D10">
        <f t="shared" si="0"/>
        <v>2.7000000000000003E-2</v>
      </c>
      <c r="E10">
        <f t="shared" si="1"/>
        <v>1.0269999999999999</v>
      </c>
    </row>
    <row r="11" spans="2:5" x14ac:dyDescent="0.25">
      <c r="B11" t="s">
        <v>1509</v>
      </c>
      <c r="C11" s="7">
        <v>2.9</v>
      </c>
      <c r="D11">
        <f t="shared" si="0"/>
        <v>2.8999999999999998E-2</v>
      </c>
      <c r="E11">
        <f t="shared" si="1"/>
        <v>1.0289999999999999</v>
      </c>
    </row>
    <row r="12" spans="2:5" x14ac:dyDescent="0.25">
      <c r="B12" t="s">
        <v>1510</v>
      </c>
      <c r="C12" s="7">
        <v>2.2000000000000002</v>
      </c>
      <c r="D12">
        <f t="shared" si="0"/>
        <v>2.2000000000000002E-2</v>
      </c>
      <c r="E12">
        <f t="shared" si="1"/>
        <v>1.022</v>
      </c>
    </row>
    <row r="13" spans="2:5" x14ac:dyDescent="0.25">
      <c r="B13" t="s">
        <v>1511</v>
      </c>
      <c r="C13" s="7">
        <v>1.8</v>
      </c>
      <c r="D13">
        <f t="shared" si="0"/>
        <v>1.8000000000000002E-2</v>
      </c>
      <c r="E13">
        <f t="shared" si="1"/>
        <v>1.018</v>
      </c>
    </row>
    <row r="14" spans="2:5" x14ac:dyDescent="0.25">
      <c r="B14" t="s">
        <v>1512</v>
      </c>
      <c r="C14" s="7">
        <v>1.7</v>
      </c>
      <c r="D14">
        <f t="shared" si="0"/>
        <v>1.7000000000000001E-2</v>
      </c>
      <c r="E14">
        <f t="shared" si="1"/>
        <v>1.0169999999999999</v>
      </c>
    </row>
    <row r="15" spans="2:5" x14ac:dyDescent="0.25">
      <c r="B15" t="s">
        <v>1513</v>
      </c>
      <c r="C15" s="7">
        <v>1.2</v>
      </c>
      <c r="D15">
        <f t="shared" si="0"/>
        <v>1.2E-2</v>
      </c>
      <c r="E15">
        <f t="shared" si="1"/>
        <v>1.012</v>
      </c>
    </row>
    <row r="16" spans="2:5" x14ac:dyDescent="0.25">
      <c r="B16" t="s">
        <v>1514</v>
      </c>
      <c r="C16" s="7">
        <v>1.6</v>
      </c>
      <c r="D16">
        <f t="shared" si="0"/>
        <v>1.6E-2</v>
      </c>
      <c r="E16">
        <f t="shared" si="1"/>
        <v>1.016</v>
      </c>
    </row>
    <row r="17" spans="2:5" x14ac:dyDescent="0.25">
      <c r="B17" t="s">
        <v>1515</v>
      </c>
      <c r="C17" s="7">
        <v>1.5</v>
      </c>
      <c r="D17">
        <f t="shared" si="0"/>
        <v>1.4999999999999999E-2</v>
      </c>
      <c r="E17">
        <f t="shared" si="1"/>
        <v>1.0149999999999999</v>
      </c>
    </row>
    <row r="18" spans="2:5" x14ac:dyDescent="0.25">
      <c r="B18" t="s">
        <v>1516</v>
      </c>
      <c r="C18" s="7">
        <v>1.4</v>
      </c>
      <c r="D18">
        <f t="shared" si="0"/>
        <v>1.3999999999999999E-2</v>
      </c>
      <c r="E18">
        <f t="shared" si="1"/>
        <v>1.014</v>
      </c>
    </row>
    <row r="19" spans="2:5" x14ac:dyDescent="0.25">
      <c r="B19" t="s">
        <v>1517</v>
      </c>
      <c r="C19" s="7">
        <v>1.4</v>
      </c>
      <c r="D19">
        <f t="shared" si="0"/>
        <v>1.3999999999999999E-2</v>
      </c>
      <c r="E19">
        <f t="shared" si="1"/>
        <v>1.014</v>
      </c>
    </row>
    <row r="20" spans="2:5" x14ac:dyDescent="0.25">
      <c r="B20" t="s">
        <v>1518</v>
      </c>
      <c r="C20" s="7">
        <v>2.1</v>
      </c>
      <c r="D20">
        <f t="shared" si="0"/>
        <v>2.1000000000000001E-2</v>
      </c>
      <c r="E20">
        <f t="shared" si="1"/>
        <v>1.0209999999999999</v>
      </c>
    </row>
    <row r="21" spans="2:5" x14ac:dyDescent="0.25">
      <c r="B21" t="s">
        <v>1519</v>
      </c>
      <c r="C21" s="7">
        <v>2.5</v>
      </c>
      <c r="D21">
        <f t="shared" si="0"/>
        <v>2.5000000000000001E-2</v>
      </c>
      <c r="E21">
        <f t="shared" si="1"/>
        <v>1.0249999999999999</v>
      </c>
    </row>
    <row r="22" spans="2:5" x14ac:dyDescent="0.25">
      <c r="B22" t="s">
        <v>1520</v>
      </c>
      <c r="C22" s="7">
        <v>2.4</v>
      </c>
      <c r="D22">
        <f t="shared" si="0"/>
        <v>2.4E-2</v>
      </c>
      <c r="E22">
        <f t="shared" si="1"/>
        <v>1.024</v>
      </c>
    </row>
    <row r="23" spans="2:5" x14ac:dyDescent="0.25">
      <c r="B23" t="s">
        <v>1521</v>
      </c>
      <c r="C23" s="7">
        <v>3.5</v>
      </c>
      <c r="D23">
        <f t="shared" si="0"/>
        <v>3.5000000000000003E-2</v>
      </c>
      <c r="E23">
        <f t="shared" si="1"/>
        <v>1.0349999999999999</v>
      </c>
    </row>
    <row r="24" spans="2:5" x14ac:dyDescent="0.25">
      <c r="B24" t="s">
        <v>1522</v>
      </c>
      <c r="C24" s="7">
        <v>2</v>
      </c>
      <c r="D24">
        <f t="shared" si="0"/>
        <v>0.02</v>
      </c>
      <c r="E24">
        <f t="shared" si="1"/>
        <v>1.02</v>
      </c>
    </row>
    <row r="25" spans="2:5" x14ac:dyDescent="0.25">
      <c r="B25" t="s">
        <v>1523</v>
      </c>
      <c r="C25" s="7">
        <v>2.5</v>
      </c>
      <c r="D25">
        <f t="shared" si="0"/>
        <v>2.5000000000000001E-2</v>
      </c>
      <c r="E25">
        <f t="shared" si="1"/>
        <v>1.0249999999999999</v>
      </c>
    </row>
    <row r="26" spans="2:5" x14ac:dyDescent="0.25">
      <c r="B26" t="s">
        <v>1524</v>
      </c>
      <c r="C26" s="7">
        <v>3.8</v>
      </c>
      <c r="D26">
        <f t="shared" si="0"/>
        <v>3.7999999999999999E-2</v>
      </c>
      <c r="E26">
        <f t="shared" si="1"/>
        <v>1.038</v>
      </c>
    </row>
    <row r="27" spans="2:5" x14ac:dyDescent="0.25">
      <c r="B27" t="s">
        <v>1525</v>
      </c>
      <c r="C27" s="7">
        <v>2.6</v>
      </c>
      <c r="D27">
        <f t="shared" si="0"/>
        <v>2.6000000000000002E-2</v>
      </c>
      <c r="E27">
        <f t="shared" si="1"/>
        <v>1.026</v>
      </c>
    </row>
    <row r="28" spans="2:5" x14ac:dyDescent="0.25">
      <c r="B28" t="s">
        <v>1526</v>
      </c>
      <c r="C28" s="7">
        <v>2.2999999999999998</v>
      </c>
      <c r="D28">
        <f t="shared" si="0"/>
        <v>2.3E-2</v>
      </c>
      <c r="E28">
        <f t="shared" si="1"/>
        <v>1.0229999999999999</v>
      </c>
    </row>
    <row r="29" spans="2:5" x14ac:dyDescent="0.25">
      <c r="B29" t="s">
        <v>1527</v>
      </c>
      <c r="C29" s="7">
        <v>1.5</v>
      </c>
      <c r="D29">
        <f t="shared" si="0"/>
        <v>1.4999999999999999E-2</v>
      </c>
      <c r="E29">
        <f t="shared" si="1"/>
        <v>1.0149999999999999</v>
      </c>
    </row>
    <row r="30" spans="2:5" x14ac:dyDescent="0.25">
      <c r="B30" t="s">
        <v>1528</v>
      </c>
      <c r="C30" s="7">
        <v>0.4</v>
      </c>
      <c r="D30">
        <f t="shared" si="0"/>
        <v>4.0000000000000001E-3</v>
      </c>
      <c r="E30">
        <f t="shared" si="1"/>
        <v>1.004</v>
      </c>
    </row>
    <row r="31" spans="2:5" x14ac:dyDescent="0.25">
      <c r="B31" t="s">
        <v>1529</v>
      </c>
      <c r="C31" s="7">
        <v>1</v>
      </c>
      <c r="D31">
        <f t="shared" si="0"/>
        <v>0.01</v>
      </c>
      <c r="E31">
        <f t="shared" si="1"/>
        <v>1.01</v>
      </c>
    </row>
    <row r="32" spans="2:5" x14ac:dyDescent="0.25">
      <c r="B32" t="s">
        <v>1530</v>
      </c>
      <c r="C32" s="7">
        <v>2.6</v>
      </c>
      <c r="D32">
        <f t="shared" si="0"/>
        <v>2.6000000000000002E-2</v>
      </c>
      <c r="E32">
        <f t="shared" si="1"/>
        <v>1.026</v>
      </c>
    </row>
    <row r="33" spans="2:5" x14ac:dyDescent="0.25">
      <c r="B33" t="s">
        <v>1531</v>
      </c>
      <c r="C33" s="7">
        <v>2.2999999999999998</v>
      </c>
      <c r="D33">
        <f t="shared" si="0"/>
        <v>2.3E-2</v>
      </c>
      <c r="E33">
        <f t="shared" si="1"/>
        <v>1.0229999999999999</v>
      </c>
    </row>
    <row r="34" spans="2:5" x14ac:dyDescent="0.25">
      <c r="B34" t="s">
        <v>1532</v>
      </c>
      <c r="C34" s="7">
        <v>1.7</v>
      </c>
      <c r="D34">
        <f t="shared" si="0"/>
        <v>1.7000000000000001E-2</v>
      </c>
      <c r="E34">
        <f t="shared" si="1"/>
        <v>1.0169999999999999</v>
      </c>
    </row>
    <row r="35" spans="2:5" x14ac:dyDescent="0.25">
      <c r="B35" t="s">
        <v>1533</v>
      </c>
      <c r="C35" s="7">
        <v>1</v>
      </c>
      <c r="D35">
        <f t="shared" si="0"/>
        <v>0.01</v>
      </c>
      <c r="E35">
        <f t="shared" si="1"/>
        <v>1.01</v>
      </c>
    </row>
    <row r="36" spans="2:5" x14ac:dyDescent="0.25">
      <c r="B36" t="s">
        <v>1534</v>
      </c>
      <c r="C36" s="7">
        <v>2.5</v>
      </c>
      <c r="D36">
        <f t="shared" si="0"/>
        <v>2.5000000000000001E-2</v>
      </c>
      <c r="E36">
        <f t="shared" si="1"/>
        <v>1.0249999999999999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BFA6D-3810-4B21-BC44-81892539D649}">
  <sheetPr>
    <tabColor rgb="FFFF0000"/>
  </sheetPr>
  <dimension ref="A2:Y57"/>
  <sheetViews>
    <sheetView topLeftCell="A28" workbookViewId="0">
      <selection activeCell="F42" sqref="F42:F43"/>
    </sheetView>
  </sheetViews>
  <sheetFormatPr defaultRowHeight="15" x14ac:dyDescent="0.25"/>
  <cols>
    <col min="4" max="4" width="13.7109375" customWidth="1"/>
    <col min="6" max="6" width="10.7109375" bestFit="1" customWidth="1"/>
    <col min="9" max="9" width="11.5703125" customWidth="1"/>
    <col min="19" max="19" width="10.7109375" bestFit="1" customWidth="1"/>
  </cols>
  <sheetData>
    <row r="2" spans="2:25" x14ac:dyDescent="0.25">
      <c r="B2" t="s">
        <v>1325</v>
      </c>
      <c r="D2">
        <v>24</v>
      </c>
      <c r="E2" t="s">
        <v>472</v>
      </c>
    </row>
    <row r="4" spans="2:25" x14ac:dyDescent="0.25">
      <c r="B4" t="s">
        <v>1326</v>
      </c>
    </row>
    <row r="5" spans="2:25" x14ac:dyDescent="0.25">
      <c r="C5" t="s">
        <v>1327</v>
      </c>
    </row>
    <row r="6" spans="2:25" x14ac:dyDescent="0.25">
      <c r="C6" t="s">
        <v>1328</v>
      </c>
      <c r="V6">
        <f>24*365.25</f>
        <v>8766</v>
      </c>
      <c r="W6" t="s">
        <v>1395</v>
      </c>
    </row>
    <row r="7" spans="2:25" x14ac:dyDescent="0.25">
      <c r="C7" t="s">
        <v>1333</v>
      </c>
    </row>
    <row r="9" spans="2:25" x14ac:dyDescent="0.25">
      <c r="B9" s="122" t="s">
        <v>156</v>
      </c>
      <c r="C9" s="123" t="s">
        <v>1330</v>
      </c>
      <c r="D9" s="122" t="s">
        <v>1329</v>
      </c>
      <c r="E9" s="122"/>
      <c r="F9" s="122" t="s">
        <v>1331</v>
      </c>
      <c r="G9" s="122"/>
      <c r="H9" s="122" t="s">
        <v>1332</v>
      </c>
      <c r="I9" s="122"/>
      <c r="K9" s="122" t="s">
        <v>1389</v>
      </c>
      <c r="L9" s="122"/>
      <c r="M9" s="122"/>
      <c r="U9" t="s">
        <v>1393</v>
      </c>
    </row>
    <row r="10" spans="2:25" x14ac:dyDescent="0.25">
      <c r="B10" s="122"/>
      <c r="C10" s="123"/>
      <c r="D10" t="s">
        <v>273</v>
      </c>
      <c r="E10" t="s">
        <v>1335</v>
      </c>
      <c r="F10" t="s">
        <v>273</v>
      </c>
      <c r="G10" t="s">
        <v>1335</v>
      </c>
      <c r="H10" t="s">
        <v>273</v>
      </c>
      <c r="I10" t="s">
        <v>1335</v>
      </c>
      <c r="K10" t="s">
        <v>1390</v>
      </c>
      <c r="L10" t="s">
        <v>1391</v>
      </c>
      <c r="M10" t="s">
        <v>1392</v>
      </c>
      <c r="O10" t="s">
        <v>794</v>
      </c>
      <c r="S10" t="s">
        <v>625</v>
      </c>
      <c r="U10" t="s">
        <v>1394</v>
      </c>
      <c r="W10" t="s">
        <v>1386</v>
      </c>
      <c r="Y10" t="s">
        <v>1396</v>
      </c>
    </row>
    <row r="11" spans="2:25" x14ac:dyDescent="0.25">
      <c r="B11">
        <v>5</v>
      </c>
      <c r="C11">
        <f>'Flow and Constent'!H7</f>
        <v>3</v>
      </c>
      <c r="D11">
        <f>'Flow and Constent'!$H$6</f>
        <v>1.875</v>
      </c>
      <c r="E11" s="1">
        <f>(D11*1000)/(24*60)</f>
        <v>1.3020833333333333</v>
      </c>
      <c r="F11">
        <f>C11-D11</f>
        <v>1.125</v>
      </c>
      <c r="G11" s="1">
        <f>(F11*1000)/(24*60)</f>
        <v>0.78125</v>
      </c>
      <c r="H11">
        <f>C11</f>
        <v>3</v>
      </c>
      <c r="I11" s="1">
        <f>(H11*1000)/(24*60)</f>
        <v>2.0833333333333335</v>
      </c>
      <c r="K11" t="s">
        <v>1358</v>
      </c>
      <c r="L11" t="s">
        <v>1358</v>
      </c>
      <c r="M11" t="s">
        <v>1358</v>
      </c>
      <c r="O11">
        <f>D52</f>
        <v>184.8</v>
      </c>
      <c r="P11">
        <f>O11</f>
        <v>184.8</v>
      </c>
      <c r="Q11">
        <f>P11</f>
        <v>184.8</v>
      </c>
      <c r="S11">
        <f>O11+P11+Q11</f>
        <v>554.40000000000009</v>
      </c>
      <c r="U11">
        <f>F52</f>
        <v>0.15</v>
      </c>
      <c r="W11">
        <f>U11*$V$6</f>
        <v>1314.8999999999999</v>
      </c>
      <c r="Y11">
        <f>W11/1000</f>
        <v>1.3149</v>
      </c>
    </row>
    <row r="12" spans="2:25" x14ac:dyDescent="0.25">
      <c r="B12">
        <v>10</v>
      </c>
      <c r="C12">
        <f>'Flow and Constent'!I7</f>
        <v>6</v>
      </c>
      <c r="D12">
        <f>'Flow and Constent'!I6</f>
        <v>3.75</v>
      </c>
      <c r="E12" s="1">
        <f t="shared" ref="E12:G25" si="0">(D12*1000)/(24*60)</f>
        <v>2.6041666666666665</v>
      </c>
      <c r="F12">
        <f t="shared" ref="F12:F25" si="1">C12-D12</f>
        <v>2.25</v>
      </c>
      <c r="G12" s="1">
        <f t="shared" si="0"/>
        <v>1.5625</v>
      </c>
      <c r="H12">
        <f t="shared" ref="H12:H25" si="2">C12</f>
        <v>6</v>
      </c>
      <c r="I12" s="1">
        <f t="shared" ref="I12" si="3">(H12*1000)/(24*60)</f>
        <v>4.166666666666667</v>
      </c>
      <c r="K12" t="s">
        <v>1358</v>
      </c>
      <c r="L12" t="s">
        <v>1358</v>
      </c>
      <c r="M12" t="s">
        <v>1358</v>
      </c>
      <c r="O12">
        <f>O11</f>
        <v>184.8</v>
      </c>
      <c r="P12">
        <f t="shared" ref="P12:Q22" si="4">O12</f>
        <v>184.8</v>
      </c>
      <c r="Q12">
        <f t="shared" si="4"/>
        <v>184.8</v>
      </c>
      <c r="S12">
        <f t="shared" ref="S12:S25" si="5">O12+P12+Q12</f>
        <v>554.40000000000009</v>
      </c>
      <c r="U12">
        <f>U11</f>
        <v>0.15</v>
      </c>
      <c r="W12">
        <f t="shared" ref="W12:W25" si="6">U12*$V$6</f>
        <v>1314.8999999999999</v>
      </c>
      <c r="Y12">
        <f t="shared" ref="Y12:Y25" si="7">W12/1000</f>
        <v>1.3149</v>
      </c>
    </row>
    <row r="13" spans="2:25" x14ac:dyDescent="0.25">
      <c r="B13">
        <v>20</v>
      </c>
      <c r="C13">
        <f>'Flow and Constent'!J7</f>
        <v>12</v>
      </c>
      <c r="D13">
        <f>'Flow and Constent'!J6</f>
        <v>7.5</v>
      </c>
      <c r="E13" s="1">
        <f t="shared" si="0"/>
        <v>5.208333333333333</v>
      </c>
      <c r="F13">
        <f t="shared" si="1"/>
        <v>4.5</v>
      </c>
      <c r="G13" s="1">
        <f t="shared" si="0"/>
        <v>3.125</v>
      </c>
      <c r="H13">
        <f t="shared" si="2"/>
        <v>12</v>
      </c>
      <c r="I13" s="1">
        <f t="shared" ref="I13" si="8">(H13*1000)/(24*60)</f>
        <v>8.3333333333333339</v>
      </c>
      <c r="K13" t="s">
        <v>1358</v>
      </c>
      <c r="L13" t="s">
        <v>1358</v>
      </c>
      <c r="M13" t="s">
        <v>1358</v>
      </c>
      <c r="O13">
        <f t="shared" ref="O13:O23" si="9">O12</f>
        <v>184.8</v>
      </c>
      <c r="P13">
        <f t="shared" si="4"/>
        <v>184.8</v>
      </c>
      <c r="Q13">
        <f t="shared" si="4"/>
        <v>184.8</v>
      </c>
      <c r="S13">
        <f t="shared" si="5"/>
        <v>554.40000000000009</v>
      </c>
      <c r="U13">
        <f t="shared" ref="U13:U23" si="10">U12</f>
        <v>0.15</v>
      </c>
      <c r="W13">
        <f t="shared" si="6"/>
        <v>1314.8999999999999</v>
      </c>
      <c r="Y13">
        <f t="shared" si="7"/>
        <v>1.3149</v>
      </c>
    </row>
    <row r="14" spans="2:25" x14ac:dyDescent="0.25">
      <c r="B14">
        <v>30</v>
      </c>
      <c r="C14">
        <f>'Flow and Constent'!K7</f>
        <v>18</v>
      </c>
      <c r="D14">
        <f>'Flow and Constent'!K6</f>
        <v>11.25</v>
      </c>
      <c r="E14" s="1">
        <f t="shared" si="0"/>
        <v>7.8125</v>
      </c>
      <c r="F14">
        <f t="shared" si="1"/>
        <v>6.75</v>
      </c>
      <c r="G14" s="1">
        <f t="shared" si="0"/>
        <v>4.6875</v>
      </c>
      <c r="H14">
        <f t="shared" si="2"/>
        <v>18</v>
      </c>
      <c r="I14" s="1">
        <f t="shared" ref="I14" si="11">(H14*1000)/(24*60)</f>
        <v>12.5</v>
      </c>
      <c r="K14" t="s">
        <v>1358</v>
      </c>
      <c r="L14" t="s">
        <v>1358</v>
      </c>
      <c r="M14" t="s">
        <v>1358</v>
      </c>
      <c r="O14">
        <f t="shared" si="9"/>
        <v>184.8</v>
      </c>
      <c r="P14">
        <f t="shared" si="4"/>
        <v>184.8</v>
      </c>
      <c r="Q14">
        <f t="shared" si="4"/>
        <v>184.8</v>
      </c>
      <c r="S14">
        <f t="shared" si="5"/>
        <v>554.40000000000009</v>
      </c>
      <c r="U14">
        <f t="shared" si="10"/>
        <v>0.15</v>
      </c>
      <c r="W14">
        <f t="shared" si="6"/>
        <v>1314.8999999999999</v>
      </c>
      <c r="Y14">
        <f t="shared" si="7"/>
        <v>1.3149</v>
      </c>
    </row>
    <row r="15" spans="2:25" x14ac:dyDescent="0.25">
      <c r="B15">
        <v>50</v>
      </c>
      <c r="C15">
        <f>'Flow and Constent'!L7</f>
        <v>30</v>
      </c>
      <c r="D15">
        <f>'Flow and Constent'!L6</f>
        <v>18.75</v>
      </c>
      <c r="E15" s="1">
        <f t="shared" si="0"/>
        <v>13.020833333333334</v>
      </c>
      <c r="F15">
        <f t="shared" si="1"/>
        <v>11.25</v>
      </c>
      <c r="G15" s="1">
        <f t="shared" si="0"/>
        <v>7.8125</v>
      </c>
      <c r="H15">
        <f t="shared" si="2"/>
        <v>30</v>
      </c>
      <c r="I15" s="1">
        <f t="shared" ref="I15" si="12">(H15*1000)/(24*60)</f>
        <v>20.833333333333332</v>
      </c>
      <c r="K15" t="s">
        <v>1358</v>
      </c>
      <c r="L15" t="s">
        <v>1358</v>
      </c>
      <c r="M15" t="s">
        <v>1358</v>
      </c>
      <c r="O15">
        <f t="shared" si="9"/>
        <v>184.8</v>
      </c>
      <c r="P15">
        <f t="shared" si="4"/>
        <v>184.8</v>
      </c>
      <c r="Q15">
        <f t="shared" si="4"/>
        <v>184.8</v>
      </c>
      <c r="S15">
        <f t="shared" si="5"/>
        <v>554.40000000000009</v>
      </c>
      <c r="U15">
        <f t="shared" si="10"/>
        <v>0.15</v>
      </c>
      <c r="W15">
        <f t="shared" si="6"/>
        <v>1314.8999999999999</v>
      </c>
      <c r="Y15">
        <f t="shared" si="7"/>
        <v>1.3149</v>
      </c>
    </row>
    <row r="16" spans="2:25" x14ac:dyDescent="0.25">
      <c r="B16">
        <v>75</v>
      </c>
      <c r="C16">
        <f>'Flow and Constent'!M7</f>
        <v>45</v>
      </c>
      <c r="D16">
        <f>'Flow and Constent'!M6</f>
        <v>28.125</v>
      </c>
      <c r="E16" s="1">
        <f t="shared" si="0"/>
        <v>19.53125</v>
      </c>
      <c r="F16">
        <f t="shared" si="1"/>
        <v>16.875</v>
      </c>
      <c r="G16" s="1">
        <f t="shared" si="0"/>
        <v>11.71875</v>
      </c>
      <c r="H16">
        <f t="shared" si="2"/>
        <v>45</v>
      </c>
      <c r="I16" s="1">
        <f t="shared" ref="I16" si="13">(H16*1000)/(24*60)</f>
        <v>31.25</v>
      </c>
      <c r="K16" t="s">
        <v>1358</v>
      </c>
      <c r="L16" t="s">
        <v>1358</v>
      </c>
      <c r="M16" t="s">
        <v>1358</v>
      </c>
      <c r="O16">
        <f t="shared" si="9"/>
        <v>184.8</v>
      </c>
      <c r="P16">
        <f t="shared" si="4"/>
        <v>184.8</v>
      </c>
      <c r="Q16">
        <f t="shared" si="4"/>
        <v>184.8</v>
      </c>
      <c r="S16">
        <f t="shared" si="5"/>
        <v>554.40000000000009</v>
      </c>
      <c r="U16">
        <f t="shared" si="10"/>
        <v>0.15</v>
      </c>
      <c r="W16">
        <f t="shared" si="6"/>
        <v>1314.8999999999999</v>
      </c>
      <c r="Y16">
        <f t="shared" si="7"/>
        <v>1.3149</v>
      </c>
    </row>
    <row r="17" spans="2:25" x14ac:dyDescent="0.25">
      <c r="B17">
        <v>100</v>
      </c>
      <c r="C17">
        <f>'Flow and Constent'!N7</f>
        <v>60</v>
      </c>
      <c r="D17">
        <f>'Flow and Constent'!N6</f>
        <v>37.5</v>
      </c>
      <c r="E17" s="1">
        <f t="shared" si="0"/>
        <v>26.041666666666668</v>
      </c>
      <c r="F17">
        <f t="shared" si="1"/>
        <v>22.5</v>
      </c>
      <c r="G17" s="1">
        <f t="shared" si="0"/>
        <v>15.625</v>
      </c>
      <c r="H17">
        <f t="shared" si="2"/>
        <v>60</v>
      </c>
      <c r="I17" s="1">
        <f t="shared" ref="I17" si="14">(H17*1000)/(24*60)</f>
        <v>41.666666666666664</v>
      </c>
      <c r="K17" t="s">
        <v>1358</v>
      </c>
      <c r="L17" t="s">
        <v>1358</v>
      </c>
      <c r="M17" t="s">
        <v>1358</v>
      </c>
      <c r="O17">
        <f t="shared" si="9"/>
        <v>184.8</v>
      </c>
      <c r="P17">
        <f t="shared" si="4"/>
        <v>184.8</v>
      </c>
      <c r="Q17">
        <f t="shared" si="4"/>
        <v>184.8</v>
      </c>
      <c r="S17">
        <f t="shared" si="5"/>
        <v>554.40000000000009</v>
      </c>
      <c r="U17">
        <f t="shared" si="10"/>
        <v>0.15</v>
      </c>
      <c r="W17">
        <f t="shared" si="6"/>
        <v>1314.8999999999999</v>
      </c>
      <c r="Y17">
        <f t="shared" si="7"/>
        <v>1.3149</v>
      </c>
    </row>
    <row r="18" spans="2:25" x14ac:dyDescent="0.25">
      <c r="B18">
        <v>150</v>
      </c>
      <c r="C18">
        <f>'Flow and Constent'!O7</f>
        <v>90</v>
      </c>
      <c r="D18">
        <f>'Flow and Constent'!O6</f>
        <v>56.25</v>
      </c>
      <c r="E18" s="1">
        <f t="shared" si="0"/>
        <v>39.0625</v>
      </c>
      <c r="F18">
        <f t="shared" si="1"/>
        <v>33.75</v>
      </c>
      <c r="G18" s="1">
        <f t="shared" si="0"/>
        <v>23.4375</v>
      </c>
      <c r="H18">
        <f t="shared" si="2"/>
        <v>90</v>
      </c>
      <c r="I18" s="1">
        <f t="shared" ref="I18" si="15">(H18*1000)/(24*60)</f>
        <v>62.5</v>
      </c>
      <c r="K18" t="s">
        <v>1358</v>
      </c>
      <c r="L18" t="s">
        <v>1358</v>
      </c>
      <c r="M18" t="s">
        <v>1358</v>
      </c>
      <c r="O18">
        <f t="shared" si="9"/>
        <v>184.8</v>
      </c>
      <c r="P18">
        <f t="shared" si="4"/>
        <v>184.8</v>
      </c>
      <c r="Q18">
        <f t="shared" si="4"/>
        <v>184.8</v>
      </c>
      <c r="S18">
        <f t="shared" si="5"/>
        <v>554.40000000000009</v>
      </c>
      <c r="U18">
        <f t="shared" si="10"/>
        <v>0.15</v>
      </c>
      <c r="W18">
        <f t="shared" si="6"/>
        <v>1314.8999999999999</v>
      </c>
      <c r="Y18">
        <f t="shared" si="7"/>
        <v>1.3149</v>
      </c>
    </row>
    <row r="19" spans="2:25" x14ac:dyDescent="0.25">
      <c r="B19">
        <v>200</v>
      </c>
      <c r="C19">
        <f>'Flow and Constent'!P7</f>
        <v>120</v>
      </c>
      <c r="D19">
        <f>'Flow and Constent'!P6</f>
        <v>75</v>
      </c>
      <c r="E19" s="1">
        <f t="shared" si="0"/>
        <v>52.083333333333336</v>
      </c>
      <c r="F19">
        <f t="shared" si="1"/>
        <v>45</v>
      </c>
      <c r="G19" s="1">
        <f t="shared" si="0"/>
        <v>31.25</v>
      </c>
      <c r="H19">
        <f t="shared" si="2"/>
        <v>120</v>
      </c>
      <c r="I19" s="1">
        <f t="shared" ref="I19" si="16">(H19*1000)/(24*60)</f>
        <v>83.333333333333329</v>
      </c>
      <c r="K19" t="s">
        <v>1358</v>
      </c>
      <c r="L19" t="s">
        <v>1358</v>
      </c>
      <c r="M19" t="s">
        <v>1358</v>
      </c>
      <c r="O19">
        <f t="shared" si="9"/>
        <v>184.8</v>
      </c>
      <c r="P19">
        <f t="shared" si="4"/>
        <v>184.8</v>
      </c>
      <c r="Q19">
        <f t="shared" si="4"/>
        <v>184.8</v>
      </c>
      <c r="S19">
        <f t="shared" si="5"/>
        <v>554.40000000000009</v>
      </c>
      <c r="U19">
        <f t="shared" si="10"/>
        <v>0.15</v>
      </c>
      <c r="W19">
        <f t="shared" si="6"/>
        <v>1314.8999999999999</v>
      </c>
      <c r="Y19">
        <f t="shared" si="7"/>
        <v>1.3149</v>
      </c>
    </row>
    <row r="20" spans="2:25" x14ac:dyDescent="0.25">
      <c r="B20">
        <v>300</v>
      </c>
      <c r="C20">
        <f>'Flow and Constent'!Q7</f>
        <v>180</v>
      </c>
      <c r="D20">
        <f>'Flow and Constent'!Q6</f>
        <v>112.5</v>
      </c>
      <c r="E20" s="1">
        <f t="shared" si="0"/>
        <v>78.125</v>
      </c>
      <c r="F20">
        <f t="shared" si="1"/>
        <v>67.5</v>
      </c>
      <c r="G20" s="1">
        <f t="shared" si="0"/>
        <v>46.875</v>
      </c>
      <c r="H20">
        <f t="shared" si="2"/>
        <v>180</v>
      </c>
      <c r="I20" s="1">
        <f t="shared" ref="I20" si="17">(H20*1000)/(24*60)</f>
        <v>125</v>
      </c>
      <c r="K20" t="s">
        <v>1358</v>
      </c>
      <c r="L20" t="s">
        <v>1358</v>
      </c>
      <c r="M20" t="s">
        <v>1358</v>
      </c>
      <c r="O20">
        <f t="shared" si="9"/>
        <v>184.8</v>
      </c>
      <c r="P20">
        <f t="shared" si="4"/>
        <v>184.8</v>
      </c>
      <c r="Q20">
        <f t="shared" si="4"/>
        <v>184.8</v>
      </c>
      <c r="S20">
        <f t="shared" si="5"/>
        <v>554.40000000000009</v>
      </c>
      <c r="U20">
        <f t="shared" si="10"/>
        <v>0.15</v>
      </c>
      <c r="W20">
        <f t="shared" si="6"/>
        <v>1314.8999999999999</v>
      </c>
      <c r="Y20">
        <f t="shared" si="7"/>
        <v>1.3149</v>
      </c>
    </row>
    <row r="21" spans="2:25" x14ac:dyDescent="0.25">
      <c r="B21">
        <v>400</v>
      </c>
      <c r="C21">
        <f>'Flow and Constent'!R7</f>
        <v>240</v>
      </c>
      <c r="D21">
        <f>'Flow and Constent'!R6</f>
        <v>150</v>
      </c>
      <c r="E21" s="1">
        <f t="shared" si="0"/>
        <v>104.16666666666667</v>
      </c>
      <c r="F21">
        <f t="shared" si="1"/>
        <v>90</v>
      </c>
      <c r="G21" s="1">
        <f t="shared" si="0"/>
        <v>62.5</v>
      </c>
      <c r="H21">
        <f t="shared" si="2"/>
        <v>240</v>
      </c>
      <c r="I21" s="1">
        <f t="shared" ref="I21" si="18">(H21*1000)/(24*60)</f>
        <v>166.66666666666666</v>
      </c>
      <c r="K21" t="s">
        <v>1358</v>
      </c>
      <c r="L21" t="s">
        <v>1358</v>
      </c>
      <c r="M21" t="s">
        <v>1358</v>
      </c>
      <c r="O21">
        <f t="shared" si="9"/>
        <v>184.8</v>
      </c>
      <c r="P21">
        <f t="shared" si="4"/>
        <v>184.8</v>
      </c>
      <c r="Q21">
        <f t="shared" si="4"/>
        <v>184.8</v>
      </c>
      <c r="S21">
        <f t="shared" si="5"/>
        <v>554.40000000000009</v>
      </c>
      <c r="U21">
        <f t="shared" si="10"/>
        <v>0.15</v>
      </c>
      <c r="W21">
        <f t="shared" si="6"/>
        <v>1314.8999999999999</v>
      </c>
      <c r="Y21">
        <f t="shared" si="7"/>
        <v>1.3149</v>
      </c>
    </row>
    <row r="22" spans="2:25" x14ac:dyDescent="0.25">
      <c r="B22">
        <v>500</v>
      </c>
      <c r="C22">
        <f>'Flow and Constent'!S7</f>
        <v>300</v>
      </c>
      <c r="D22">
        <f>'Flow and Constent'!S6</f>
        <v>187.5</v>
      </c>
      <c r="E22" s="1">
        <f t="shared" si="0"/>
        <v>130.20833333333334</v>
      </c>
      <c r="F22">
        <f t="shared" si="1"/>
        <v>112.5</v>
      </c>
      <c r="G22" s="1">
        <f t="shared" si="0"/>
        <v>78.125</v>
      </c>
      <c r="H22">
        <f t="shared" si="2"/>
        <v>300</v>
      </c>
      <c r="I22" s="1">
        <f t="shared" ref="I22" si="19">(H22*1000)/(24*60)</f>
        <v>208.33333333333334</v>
      </c>
      <c r="K22" t="s">
        <v>1358</v>
      </c>
      <c r="L22" t="s">
        <v>1358</v>
      </c>
      <c r="M22" t="s">
        <v>1360</v>
      </c>
      <c r="O22">
        <f t="shared" si="9"/>
        <v>184.8</v>
      </c>
      <c r="P22">
        <f t="shared" si="4"/>
        <v>184.8</v>
      </c>
      <c r="Q22">
        <f>D53</f>
        <v>231.6</v>
      </c>
      <c r="S22">
        <f t="shared" si="5"/>
        <v>601.20000000000005</v>
      </c>
      <c r="U22">
        <f t="shared" si="10"/>
        <v>0.15</v>
      </c>
      <c r="W22">
        <f t="shared" si="6"/>
        <v>1314.8999999999999</v>
      </c>
      <c r="Y22">
        <f t="shared" si="7"/>
        <v>1.3149</v>
      </c>
    </row>
    <row r="23" spans="2:25" x14ac:dyDescent="0.25">
      <c r="B23">
        <v>600</v>
      </c>
      <c r="C23">
        <f>'Flow and Constent'!T7</f>
        <v>360</v>
      </c>
      <c r="D23">
        <f>'Flow and Constent'!T6</f>
        <v>225</v>
      </c>
      <c r="E23" s="1">
        <f t="shared" si="0"/>
        <v>156.25</v>
      </c>
      <c r="F23">
        <f t="shared" si="1"/>
        <v>135</v>
      </c>
      <c r="G23" s="1">
        <f t="shared" si="0"/>
        <v>93.75</v>
      </c>
      <c r="H23">
        <f t="shared" si="2"/>
        <v>360</v>
      </c>
      <c r="I23" s="1">
        <f t="shared" ref="I23" si="20">(H23*1000)/(24*60)</f>
        <v>250</v>
      </c>
      <c r="K23" t="s">
        <v>1358</v>
      </c>
      <c r="L23" t="s">
        <v>1358</v>
      </c>
      <c r="M23" t="s">
        <v>1339</v>
      </c>
      <c r="O23">
        <f t="shared" si="9"/>
        <v>184.8</v>
      </c>
      <c r="P23">
        <f>P22</f>
        <v>184.8</v>
      </c>
      <c r="Q23">
        <f>O24</f>
        <v>274.8</v>
      </c>
      <c r="S23">
        <f t="shared" si="5"/>
        <v>644.40000000000009</v>
      </c>
      <c r="U23">
        <f t="shared" si="10"/>
        <v>0.15</v>
      </c>
      <c r="W23">
        <f t="shared" si="6"/>
        <v>1314.8999999999999</v>
      </c>
      <c r="Y23">
        <f t="shared" si="7"/>
        <v>1.3149</v>
      </c>
    </row>
    <row r="24" spans="2:25" x14ac:dyDescent="0.25">
      <c r="B24">
        <v>800</v>
      </c>
      <c r="C24">
        <f>'Flow and Constent'!U7</f>
        <v>480</v>
      </c>
      <c r="D24">
        <f>'Flow and Constent'!U6</f>
        <v>300</v>
      </c>
      <c r="E24" s="1">
        <f t="shared" si="0"/>
        <v>208.33333333333334</v>
      </c>
      <c r="F24">
        <f t="shared" si="1"/>
        <v>180</v>
      </c>
      <c r="G24" s="1">
        <f t="shared" si="0"/>
        <v>125</v>
      </c>
      <c r="H24">
        <f t="shared" si="2"/>
        <v>480</v>
      </c>
      <c r="I24" s="1">
        <f t="shared" ref="I24" si="21">(H24*1000)/(24*60)</f>
        <v>333.33333333333331</v>
      </c>
      <c r="K24" t="s">
        <v>1339</v>
      </c>
      <c r="L24" t="s">
        <v>1358</v>
      </c>
      <c r="M24" t="s">
        <v>1341</v>
      </c>
      <c r="O24">
        <f>D49</f>
        <v>274.8</v>
      </c>
      <c r="P24">
        <f t="shared" ref="P24:P25" si="22">P23</f>
        <v>184.8</v>
      </c>
      <c r="Q24">
        <f>D50</f>
        <v>287.98</v>
      </c>
      <c r="S24">
        <f t="shared" si="5"/>
        <v>747.58</v>
      </c>
      <c r="U24">
        <f>F41</f>
        <v>0.66500000000000004</v>
      </c>
      <c r="W24">
        <f t="shared" si="6"/>
        <v>5829.39</v>
      </c>
      <c r="Y24">
        <f t="shared" si="7"/>
        <v>5.8293900000000001</v>
      </c>
    </row>
    <row r="25" spans="2:25" x14ac:dyDescent="0.25">
      <c r="B25">
        <v>1000</v>
      </c>
      <c r="C25">
        <f>'Flow and Constent'!V7</f>
        <v>600</v>
      </c>
      <c r="D25">
        <f>'Flow and Constent'!V6</f>
        <v>375</v>
      </c>
      <c r="E25" s="1">
        <f t="shared" si="0"/>
        <v>260.41666666666669</v>
      </c>
      <c r="F25">
        <f t="shared" si="1"/>
        <v>225</v>
      </c>
      <c r="G25" s="1">
        <f t="shared" si="0"/>
        <v>156.25</v>
      </c>
      <c r="H25">
        <f t="shared" si="2"/>
        <v>600</v>
      </c>
      <c r="I25" s="1">
        <f t="shared" ref="I25" si="23">(H25*1000)/(24*60)</f>
        <v>416.66666666666669</v>
      </c>
      <c r="K25" t="s">
        <v>1339</v>
      </c>
      <c r="L25" t="s">
        <v>1358</v>
      </c>
      <c r="M25" t="s">
        <v>1343</v>
      </c>
      <c r="O25">
        <f>O24</f>
        <v>274.8</v>
      </c>
      <c r="P25">
        <f t="shared" si="22"/>
        <v>184.8</v>
      </c>
      <c r="Q25">
        <f>D43</f>
        <v>330.12</v>
      </c>
      <c r="S25">
        <f t="shared" si="5"/>
        <v>789.72</v>
      </c>
      <c r="U25">
        <f>F41</f>
        <v>0.66500000000000004</v>
      </c>
      <c r="W25">
        <f t="shared" si="6"/>
        <v>5829.39</v>
      </c>
      <c r="Y25">
        <f t="shared" si="7"/>
        <v>5.8293900000000001</v>
      </c>
    </row>
    <row r="28" spans="2:25" x14ac:dyDescent="0.25">
      <c r="C28" t="s">
        <v>1354</v>
      </c>
    </row>
    <row r="30" spans="2:25" x14ac:dyDescent="0.25">
      <c r="C30" t="s">
        <v>1355</v>
      </c>
    </row>
    <row r="31" spans="2:25" x14ac:dyDescent="0.25">
      <c r="C31" t="s">
        <v>922</v>
      </c>
      <c r="E31" t="s">
        <v>1357</v>
      </c>
    </row>
    <row r="32" spans="2:25" x14ac:dyDescent="0.25">
      <c r="C32" t="s">
        <v>1356</v>
      </c>
    </row>
    <row r="33" spans="1:22" x14ac:dyDescent="0.25">
      <c r="D33" t="s">
        <v>134</v>
      </c>
    </row>
    <row r="34" spans="1:22" x14ac:dyDescent="0.25">
      <c r="A34" t="s">
        <v>1363</v>
      </c>
      <c r="C34" t="s">
        <v>1361</v>
      </c>
      <c r="D34">
        <v>11.16</v>
      </c>
      <c r="E34" t="s">
        <v>1362</v>
      </c>
      <c r="F34" s="35">
        <v>44511</v>
      </c>
    </row>
    <row r="35" spans="1:22" x14ac:dyDescent="0.25">
      <c r="C35" t="s">
        <v>1364</v>
      </c>
      <c r="D35">
        <v>28.34</v>
      </c>
      <c r="E35" t="s">
        <v>1365</v>
      </c>
      <c r="F35" s="35">
        <v>44511</v>
      </c>
    </row>
    <row r="36" spans="1:22" x14ac:dyDescent="0.25">
      <c r="C36" t="s">
        <v>1366</v>
      </c>
      <c r="D36">
        <v>32</v>
      </c>
      <c r="E36" t="s">
        <v>1367</v>
      </c>
      <c r="F36" s="35">
        <v>44511</v>
      </c>
    </row>
    <row r="37" spans="1:22" x14ac:dyDescent="0.25">
      <c r="O37" s="122" t="s">
        <v>156</v>
      </c>
      <c r="P37" s="122" t="s">
        <v>1330</v>
      </c>
      <c r="Q37" t="s">
        <v>1329</v>
      </c>
      <c r="R37" t="s">
        <v>1331</v>
      </c>
      <c r="S37" t="s">
        <v>1332</v>
      </c>
      <c r="T37" s="122" t="s">
        <v>1389</v>
      </c>
      <c r="U37" s="122"/>
      <c r="V37" s="122"/>
    </row>
    <row r="38" spans="1:22" x14ac:dyDescent="0.25">
      <c r="O38" s="122"/>
      <c r="P38" s="122"/>
      <c r="Q38" t="s">
        <v>273</v>
      </c>
      <c r="R38" t="s">
        <v>273</v>
      </c>
      <c r="S38" t="s">
        <v>273</v>
      </c>
      <c r="T38" t="s">
        <v>1390</v>
      </c>
      <c r="U38" t="s">
        <v>1391</v>
      </c>
      <c r="V38" t="s">
        <v>1392</v>
      </c>
    </row>
    <row r="39" spans="1:22" x14ac:dyDescent="0.25">
      <c r="B39" t="s">
        <v>1334</v>
      </c>
      <c r="D39" t="s">
        <v>1336</v>
      </c>
      <c r="O39">
        <v>5</v>
      </c>
      <c r="P39">
        <v>3</v>
      </c>
      <c r="Q39">
        <v>1.875</v>
      </c>
      <c r="R39">
        <v>1.125</v>
      </c>
      <c r="S39">
        <v>3</v>
      </c>
      <c r="T39" t="s">
        <v>1358</v>
      </c>
      <c r="U39" t="s">
        <v>1358</v>
      </c>
      <c r="V39" t="s">
        <v>1358</v>
      </c>
    </row>
    <row r="40" spans="1:22" x14ac:dyDescent="0.25">
      <c r="B40" t="s">
        <v>0</v>
      </c>
      <c r="C40" t="s">
        <v>1338</v>
      </c>
      <c r="D40" t="s">
        <v>794</v>
      </c>
      <c r="F40" t="s">
        <v>1295</v>
      </c>
      <c r="H40" t="s">
        <v>35</v>
      </c>
      <c r="I40" t="s">
        <v>1337</v>
      </c>
      <c r="O40">
        <v>10</v>
      </c>
      <c r="P40">
        <v>6</v>
      </c>
      <c r="Q40">
        <v>3.75</v>
      </c>
      <c r="R40">
        <v>2.25</v>
      </c>
      <c r="S40">
        <v>6</v>
      </c>
      <c r="T40" t="s">
        <v>1358</v>
      </c>
      <c r="U40" t="s">
        <v>1358</v>
      </c>
      <c r="V40" t="s">
        <v>1358</v>
      </c>
    </row>
    <row r="41" spans="1:22" x14ac:dyDescent="0.25">
      <c r="B41" t="s">
        <v>1339</v>
      </c>
      <c r="C41">
        <v>290</v>
      </c>
      <c r="D41">
        <v>217.98</v>
      </c>
      <c r="F41">
        <v>0.66500000000000004</v>
      </c>
      <c r="H41" t="s">
        <v>1340</v>
      </c>
      <c r="I41" s="35">
        <v>44511</v>
      </c>
      <c r="O41">
        <v>20</v>
      </c>
      <c r="P41">
        <v>12</v>
      </c>
      <c r="Q41">
        <v>7.5</v>
      </c>
      <c r="R41">
        <v>4.5</v>
      </c>
      <c r="S41">
        <v>12</v>
      </c>
      <c r="T41" t="s">
        <v>1358</v>
      </c>
      <c r="U41" t="s">
        <v>1358</v>
      </c>
      <c r="V41" t="s">
        <v>1358</v>
      </c>
    </row>
    <row r="42" spans="1:22" x14ac:dyDescent="0.25">
      <c r="B42" t="s">
        <v>1341</v>
      </c>
      <c r="C42">
        <v>350</v>
      </c>
      <c r="D42">
        <v>239.4</v>
      </c>
      <c r="F42">
        <v>1.1000000000000001</v>
      </c>
      <c r="H42" t="s">
        <v>1342</v>
      </c>
      <c r="I42" s="35">
        <v>44511</v>
      </c>
      <c r="O42">
        <v>30</v>
      </c>
      <c r="P42">
        <v>18</v>
      </c>
      <c r="Q42">
        <v>11.25</v>
      </c>
      <c r="R42">
        <v>6.75</v>
      </c>
      <c r="S42">
        <v>18</v>
      </c>
      <c r="T42" t="s">
        <v>1358</v>
      </c>
      <c r="U42" t="s">
        <v>1358</v>
      </c>
      <c r="V42" t="s">
        <v>1358</v>
      </c>
    </row>
    <row r="43" spans="1:22" x14ac:dyDescent="0.25">
      <c r="B43" t="s">
        <v>1343</v>
      </c>
      <c r="C43">
        <v>533</v>
      </c>
      <c r="D43">
        <v>330.12</v>
      </c>
      <c r="F43">
        <v>0.9</v>
      </c>
      <c r="H43" t="s">
        <v>1344</v>
      </c>
      <c r="I43" s="35">
        <v>44511</v>
      </c>
      <c r="O43">
        <v>50</v>
      </c>
      <c r="P43">
        <v>30</v>
      </c>
      <c r="Q43">
        <v>18.75</v>
      </c>
      <c r="R43">
        <v>11.25</v>
      </c>
      <c r="S43">
        <v>30</v>
      </c>
      <c r="T43" t="s">
        <v>1358</v>
      </c>
      <c r="U43" t="s">
        <v>1358</v>
      </c>
      <c r="V43" t="s">
        <v>1358</v>
      </c>
    </row>
    <row r="44" spans="1:22" x14ac:dyDescent="0.25">
      <c r="B44" t="s">
        <v>1345</v>
      </c>
      <c r="C44">
        <v>300</v>
      </c>
      <c r="D44">
        <v>354</v>
      </c>
      <c r="H44" t="s">
        <v>1346</v>
      </c>
      <c r="I44" s="35">
        <v>44511</v>
      </c>
      <c r="O44">
        <v>75</v>
      </c>
      <c r="P44">
        <v>45</v>
      </c>
      <c r="Q44">
        <v>28.125</v>
      </c>
      <c r="R44">
        <v>16.875</v>
      </c>
      <c r="S44">
        <v>45</v>
      </c>
      <c r="T44" t="s">
        <v>1358</v>
      </c>
      <c r="U44" t="s">
        <v>1358</v>
      </c>
      <c r="V44" t="s">
        <v>1358</v>
      </c>
    </row>
    <row r="45" spans="1:22" x14ac:dyDescent="0.25">
      <c r="B45" t="s">
        <v>1347</v>
      </c>
      <c r="C45">
        <v>650</v>
      </c>
      <c r="D45">
        <v>472.8</v>
      </c>
      <c r="F45">
        <v>0.55000000000000004</v>
      </c>
      <c r="H45" s="4" t="s">
        <v>1348</v>
      </c>
      <c r="I45" s="35">
        <v>44511</v>
      </c>
      <c r="O45">
        <v>100</v>
      </c>
      <c r="P45">
        <v>60</v>
      </c>
      <c r="Q45">
        <v>37.5</v>
      </c>
      <c r="R45">
        <v>22.5</v>
      </c>
      <c r="S45">
        <v>60</v>
      </c>
      <c r="T45" t="s">
        <v>1358</v>
      </c>
      <c r="U45" t="s">
        <v>1358</v>
      </c>
      <c r="V45" t="s">
        <v>1358</v>
      </c>
    </row>
    <row r="46" spans="1:22" x14ac:dyDescent="0.25">
      <c r="O46">
        <v>150</v>
      </c>
      <c r="P46">
        <v>90</v>
      </c>
      <c r="Q46">
        <v>56.25</v>
      </c>
      <c r="R46">
        <v>33.75</v>
      </c>
      <c r="S46">
        <v>90</v>
      </c>
      <c r="T46" t="s">
        <v>1358</v>
      </c>
      <c r="U46" t="s">
        <v>1358</v>
      </c>
      <c r="V46" t="s">
        <v>1358</v>
      </c>
    </row>
    <row r="47" spans="1:22" x14ac:dyDescent="0.25">
      <c r="B47" t="s">
        <v>1349</v>
      </c>
      <c r="C47">
        <v>300</v>
      </c>
      <c r="D47">
        <v>538.79</v>
      </c>
      <c r="F47">
        <v>0.37</v>
      </c>
      <c r="H47" t="s">
        <v>1350</v>
      </c>
      <c r="I47" s="35">
        <v>44511</v>
      </c>
      <c r="O47">
        <v>200</v>
      </c>
      <c r="P47">
        <v>120</v>
      </c>
      <c r="Q47">
        <v>75</v>
      </c>
      <c r="R47">
        <v>45</v>
      </c>
      <c r="S47">
        <v>120</v>
      </c>
      <c r="T47" t="s">
        <v>1358</v>
      </c>
      <c r="U47" t="s">
        <v>1358</v>
      </c>
      <c r="V47" t="s">
        <v>1358</v>
      </c>
    </row>
    <row r="48" spans="1:22" x14ac:dyDescent="0.25">
      <c r="O48">
        <v>300</v>
      </c>
      <c r="P48">
        <v>180</v>
      </c>
      <c r="Q48">
        <v>112.5</v>
      </c>
      <c r="R48">
        <v>67.5</v>
      </c>
      <c r="S48">
        <v>180</v>
      </c>
      <c r="T48" t="s">
        <v>1358</v>
      </c>
      <c r="U48" t="s">
        <v>1358</v>
      </c>
      <c r="V48" t="s">
        <v>1358</v>
      </c>
    </row>
    <row r="49" spans="2:22" x14ac:dyDescent="0.25">
      <c r="B49" t="s">
        <v>1351</v>
      </c>
      <c r="C49">
        <v>290</v>
      </c>
      <c r="D49">
        <v>274.8</v>
      </c>
      <c r="F49">
        <v>0.66500000000000004</v>
      </c>
      <c r="H49" t="s">
        <v>1352</v>
      </c>
      <c r="I49" s="35">
        <v>44511</v>
      </c>
      <c r="O49">
        <v>400</v>
      </c>
      <c r="P49">
        <v>240</v>
      </c>
      <c r="Q49">
        <v>150</v>
      </c>
      <c r="R49">
        <v>90</v>
      </c>
      <c r="S49">
        <v>240</v>
      </c>
      <c r="T49" t="s">
        <v>1358</v>
      </c>
      <c r="U49" t="s">
        <v>1358</v>
      </c>
      <c r="V49" t="s">
        <v>1358</v>
      </c>
    </row>
    <row r="50" spans="2:22" x14ac:dyDescent="0.25">
      <c r="B50" t="s">
        <v>1341</v>
      </c>
      <c r="C50">
        <v>350</v>
      </c>
      <c r="D50">
        <v>287.98</v>
      </c>
      <c r="F50">
        <v>1.1000000000000001</v>
      </c>
      <c r="H50" t="s">
        <v>1353</v>
      </c>
      <c r="I50" s="35">
        <v>44511</v>
      </c>
      <c r="O50">
        <v>500</v>
      </c>
      <c r="P50">
        <v>300</v>
      </c>
      <c r="Q50">
        <v>187.5</v>
      </c>
      <c r="R50">
        <v>112.5</v>
      </c>
      <c r="S50">
        <v>300</v>
      </c>
      <c r="T50" t="s">
        <v>1358</v>
      </c>
      <c r="U50" t="s">
        <v>1358</v>
      </c>
      <c r="V50" t="s">
        <v>1360</v>
      </c>
    </row>
    <row r="51" spans="2:22" x14ac:dyDescent="0.25">
      <c r="O51">
        <v>600</v>
      </c>
      <c r="P51">
        <v>360</v>
      </c>
      <c r="Q51">
        <v>225</v>
      </c>
      <c r="R51">
        <v>135</v>
      </c>
      <c r="S51">
        <v>360</v>
      </c>
      <c r="T51" t="s">
        <v>1358</v>
      </c>
      <c r="U51" t="s">
        <v>1358</v>
      </c>
      <c r="V51" t="s">
        <v>1339</v>
      </c>
    </row>
    <row r="52" spans="2:22" x14ac:dyDescent="0.25">
      <c r="B52" t="s">
        <v>1358</v>
      </c>
      <c r="C52">
        <v>170</v>
      </c>
      <c r="D52">
        <v>184.8</v>
      </c>
      <c r="F52">
        <v>0.15</v>
      </c>
      <c r="H52" s="4" t="s">
        <v>1359</v>
      </c>
      <c r="I52" s="35">
        <v>44511</v>
      </c>
      <c r="O52">
        <v>800</v>
      </c>
      <c r="P52">
        <v>480</v>
      </c>
      <c r="Q52">
        <v>300</v>
      </c>
      <c r="R52">
        <v>180</v>
      </c>
      <c r="S52">
        <v>480</v>
      </c>
      <c r="T52" t="s">
        <v>1339</v>
      </c>
      <c r="U52" t="s">
        <v>1358</v>
      </c>
      <c r="V52" t="s">
        <v>1341</v>
      </c>
    </row>
    <row r="53" spans="2:22" x14ac:dyDescent="0.25">
      <c r="B53" t="s">
        <v>1360</v>
      </c>
      <c r="C53">
        <v>220</v>
      </c>
      <c r="D53">
        <v>231.6</v>
      </c>
      <c r="F53">
        <v>0.25</v>
      </c>
      <c r="H53" t="s">
        <v>1359</v>
      </c>
      <c r="I53" s="35">
        <v>44511</v>
      </c>
      <c r="O53">
        <v>1000</v>
      </c>
      <c r="P53">
        <v>600</v>
      </c>
      <c r="Q53">
        <v>375</v>
      </c>
      <c r="R53">
        <v>225</v>
      </c>
      <c r="S53">
        <v>600</v>
      </c>
      <c r="T53" t="s">
        <v>1339</v>
      </c>
      <c r="U53" t="s">
        <v>1358</v>
      </c>
      <c r="V53" t="s">
        <v>1343</v>
      </c>
    </row>
    <row r="55" spans="2:22" x14ac:dyDescent="0.25">
      <c r="B55" t="s">
        <v>1374</v>
      </c>
      <c r="C55">
        <v>750</v>
      </c>
      <c r="D55">
        <v>645.6</v>
      </c>
      <c r="F55">
        <v>1.5</v>
      </c>
      <c r="H55" t="s">
        <v>1375</v>
      </c>
      <c r="I55" s="35">
        <v>44511</v>
      </c>
    </row>
    <row r="57" spans="2:22" x14ac:dyDescent="0.25">
      <c r="B57" t="s">
        <v>1376</v>
      </c>
      <c r="C57">
        <v>960</v>
      </c>
      <c r="D57">
        <v>940.8</v>
      </c>
      <c r="F57">
        <v>1.7</v>
      </c>
      <c r="H57" s="4" t="s">
        <v>1377</v>
      </c>
      <c r="I57" s="35">
        <v>44511</v>
      </c>
    </row>
  </sheetData>
  <mergeCells count="9">
    <mergeCell ref="P37:P38"/>
    <mergeCell ref="T37:V37"/>
    <mergeCell ref="K9:M9"/>
    <mergeCell ref="C9:C10"/>
    <mergeCell ref="B9:B10"/>
    <mergeCell ref="D9:E9"/>
    <mergeCell ref="H9:I9"/>
    <mergeCell ref="F9:G9"/>
    <mergeCell ref="O37:O38"/>
  </mergeCells>
  <hyperlinks>
    <hyperlink ref="H52" r:id="rId1" xr:uid="{3C286C86-2A2E-43FE-A162-072A4B91FF32}"/>
    <hyperlink ref="H45" r:id="rId2" xr:uid="{779919C1-1009-4006-8B73-E6DE477189CE}"/>
    <hyperlink ref="H57" r:id="rId3" xr:uid="{D16CC1B6-7866-42A6-B027-851AD55B0CC2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B418C-80BC-4E10-A823-E7098CD244BF}">
  <sheetPr>
    <tabColor rgb="FFFF0000"/>
  </sheetPr>
  <dimension ref="A2:H56"/>
  <sheetViews>
    <sheetView topLeftCell="A22" zoomScale="70" zoomScaleNormal="70" workbookViewId="0">
      <selection activeCell="F66" sqref="F66"/>
    </sheetView>
  </sheetViews>
  <sheetFormatPr defaultRowHeight="15" x14ac:dyDescent="0.25"/>
  <sheetData>
    <row r="2" spans="2:8" x14ac:dyDescent="0.25">
      <c r="B2" t="s">
        <v>207</v>
      </c>
      <c r="D2" t="s">
        <v>208</v>
      </c>
      <c r="E2">
        <v>1.8</v>
      </c>
      <c r="F2" t="s">
        <v>191</v>
      </c>
      <c r="H2" s="4" t="s">
        <v>209</v>
      </c>
    </row>
    <row r="5" spans="2:8" x14ac:dyDescent="0.25">
      <c r="B5" t="s">
        <v>210</v>
      </c>
    </row>
    <row r="7" spans="2:8" x14ac:dyDescent="0.25">
      <c r="B7" t="s">
        <v>211</v>
      </c>
    </row>
    <row r="9" spans="2:8" x14ac:dyDescent="0.25">
      <c r="B9" t="s">
        <v>212</v>
      </c>
      <c r="C9">
        <v>2.75</v>
      </c>
      <c r="D9" t="s">
        <v>191</v>
      </c>
    </row>
    <row r="11" spans="2:8" x14ac:dyDescent="0.25">
      <c r="B11" t="s">
        <v>213</v>
      </c>
    </row>
    <row r="12" spans="2:8" x14ac:dyDescent="0.25">
      <c r="B12" t="s">
        <v>63</v>
      </c>
      <c r="C12">
        <v>0.9</v>
      </c>
      <c r="D12" t="s">
        <v>191</v>
      </c>
    </row>
    <row r="13" spans="2:8" x14ac:dyDescent="0.25">
      <c r="B13" t="s">
        <v>116</v>
      </c>
      <c r="C13">
        <v>0.45</v>
      </c>
      <c r="D13" t="s">
        <v>191</v>
      </c>
    </row>
    <row r="15" spans="2:8" x14ac:dyDescent="0.25">
      <c r="B15" t="s">
        <v>214</v>
      </c>
      <c r="C15">
        <f>C13*C13*C12</f>
        <v>0.18225000000000002</v>
      </c>
      <c r="D15" t="s">
        <v>71</v>
      </c>
    </row>
    <row r="16" spans="2:8" x14ac:dyDescent="0.25">
      <c r="B16" t="s">
        <v>215</v>
      </c>
      <c r="C16">
        <f>C15</f>
        <v>0.18225000000000002</v>
      </c>
      <c r="D16" t="s">
        <v>71</v>
      </c>
    </row>
    <row r="22" spans="1:5" x14ac:dyDescent="0.25">
      <c r="B22" t="s">
        <v>216</v>
      </c>
    </row>
    <row r="23" spans="1:5" x14ac:dyDescent="0.25">
      <c r="B23" t="s">
        <v>217</v>
      </c>
      <c r="C23" t="s">
        <v>229</v>
      </c>
      <c r="D23" t="s">
        <v>230</v>
      </c>
    </row>
    <row r="24" spans="1:5" x14ac:dyDescent="0.25">
      <c r="A24" t="s">
        <v>223</v>
      </c>
      <c r="B24" t="s">
        <v>218</v>
      </c>
      <c r="C24" t="s">
        <v>219</v>
      </c>
      <c r="D24" t="s">
        <v>220</v>
      </c>
      <c r="E24" t="s">
        <v>35</v>
      </c>
    </row>
    <row r="25" spans="1:5" x14ac:dyDescent="0.25">
      <c r="A25" t="s">
        <v>224</v>
      </c>
      <c r="B25">
        <v>133.69999999999999</v>
      </c>
      <c r="C25" s="7">
        <f>B25*1.2</f>
        <v>160.43999999999997</v>
      </c>
      <c r="D25" t="s">
        <v>221</v>
      </c>
      <c r="E25" s="4" t="s">
        <v>222</v>
      </c>
    </row>
    <row r="26" spans="1:5" x14ac:dyDescent="0.25">
      <c r="A26" t="s">
        <v>224</v>
      </c>
      <c r="B26">
        <v>94.02</v>
      </c>
      <c r="C26" s="7">
        <f>B26*1.2</f>
        <v>112.824</v>
      </c>
      <c r="D26" t="s">
        <v>225</v>
      </c>
      <c r="E26" s="4" t="s">
        <v>226</v>
      </c>
    </row>
    <row r="27" spans="1:5" x14ac:dyDescent="0.25">
      <c r="A27" t="s">
        <v>224</v>
      </c>
      <c r="B27" s="7">
        <v>124.93</v>
      </c>
      <c r="C27">
        <v>149.91999999999999</v>
      </c>
      <c r="D27" t="s">
        <v>227</v>
      </c>
      <c r="E27" s="4" t="s">
        <v>228</v>
      </c>
    </row>
    <row r="30" spans="1:5" x14ac:dyDescent="0.25">
      <c r="B30" t="s">
        <v>231</v>
      </c>
    </row>
    <row r="31" spans="1:5" x14ac:dyDescent="0.25">
      <c r="A31" t="s">
        <v>2</v>
      </c>
      <c r="B31" t="s">
        <v>218</v>
      </c>
      <c r="C31" t="s">
        <v>219</v>
      </c>
      <c r="D31" t="s">
        <v>220</v>
      </c>
      <c r="E31" t="s">
        <v>35</v>
      </c>
    </row>
    <row r="32" spans="1:5" x14ac:dyDescent="0.25">
      <c r="A32">
        <v>1</v>
      </c>
      <c r="B32">
        <v>35</v>
      </c>
      <c r="C32" s="7">
        <f t="shared" ref="C32:C33" si="0">B32*1.2</f>
        <v>42</v>
      </c>
      <c r="D32" t="s">
        <v>227</v>
      </c>
      <c r="E32" t="s">
        <v>232</v>
      </c>
    </row>
    <row r="33" spans="1:5" x14ac:dyDescent="0.25">
      <c r="A33">
        <v>1</v>
      </c>
      <c r="B33">
        <v>39.19</v>
      </c>
      <c r="C33" s="7">
        <f t="shared" si="0"/>
        <v>47.027999999999999</v>
      </c>
      <c r="D33" t="s">
        <v>241</v>
      </c>
      <c r="E33" s="4" t="s">
        <v>233</v>
      </c>
    </row>
    <row r="34" spans="1:5" x14ac:dyDescent="0.25">
      <c r="A34">
        <v>1</v>
      </c>
      <c r="B34">
        <v>30.32</v>
      </c>
      <c r="C34" s="7">
        <f>B34*1.2</f>
        <v>36.384</v>
      </c>
      <c r="D34" t="s">
        <v>221</v>
      </c>
      <c r="E34" s="4" t="s">
        <v>235</v>
      </c>
    </row>
    <row r="38" spans="1:5" x14ac:dyDescent="0.25">
      <c r="B38" t="s">
        <v>234</v>
      </c>
      <c r="C38" t="s">
        <v>236</v>
      </c>
      <c r="D38" t="s">
        <v>238</v>
      </c>
    </row>
    <row r="39" spans="1:5" x14ac:dyDescent="0.25">
      <c r="A39" t="s">
        <v>2</v>
      </c>
      <c r="B39" t="s">
        <v>218</v>
      </c>
      <c r="C39" t="s">
        <v>219</v>
      </c>
      <c r="D39" t="s">
        <v>220</v>
      </c>
      <c r="E39" t="s">
        <v>35</v>
      </c>
    </row>
    <row r="40" spans="1:5" x14ac:dyDescent="0.25">
      <c r="A40">
        <v>1</v>
      </c>
      <c r="B40">
        <v>426.42</v>
      </c>
      <c r="C40" s="7">
        <f t="shared" ref="C40:C41" si="1">B40*1.2</f>
        <v>511.70400000000001</v>
      </c>
      <c r="D40" t="s">
        <v>221</v>
      </c>
      <c r="E40" s="4" t="s">
        <v>237</v>
      </c>
    </row>
    <row r="41" spans="1:5" x14ac:dyDescent="0.25">
      <c r="A41">
        <v>1</v>
      </c>
      <c r="B41">
        <v>425</v>
      </c>
      <c r="C41" s="7">
        <f t="shared" si="1"/>
        <v>510</v>
      </c>
      <c r="D41" t="s">
        <v>240</v>
      </c>
      <c r="E41" t="s">
        <v>239</v>
      </c>
    </row>
    <row r="42" spans="1:5" x14ac:dyDescent="0.25">
      <c r="A42">
        <v>1</v>
      </c>
      <c r="B42">
        <v>542.29999999999995</v>
      </c>
      <c r="C42" s="7">
        <f>B42*1.2</f>
        <v>650.75999999999988</v>
      </c>
      <c r="D42" t="s">
        <v>242</v>
      </c>
      <c r="E42" t="s">
        <v>243</v>
      </c>
    </row>
    <row r="44" spans="1:5" x14ac:dyDescent="0.25">
      <c r="A44" t="s">
        <v>256</v>
      </c>
    </row>
    <row r="45" spans="1:5" x14ac:dyDescent="0.25">
      <c r="A45" t="s">
        <v>259</v>
      </c>
    </row>
    <row r="46" spans="1:5" x14ac:dyDescent="0.25">
      <c r="A46" t="s">
        <v>2</v>
      </c>
      <c r="B46" t="s">
        <v>218</v>
      </c>
      <c r="C46" t="s">
        <v>219</v>
      </c>
      <c r="D46" t="s">
        <v>220</v>
      </c>
      <c r="E46" t="s">
        <v>35</v>
      </c>
    </row>
    <row r="47" spans="1:5" x14ac:dyDescent="0.25">
      <c r="A47">
        <v>1</v>
      </c>
      <c r="B47">
        <v>19.78</v>
      </c>
      <c r="C47">
        <f>B47*1.2</f>
        <v>23.736000000000001</v>
      </c>
      <c r="D47" t="s">
        <v>221</v>
      </c>
      <c r="E47" t="s">
        <v>260</v>
      </c>
    </row>
    <row r="51" spans="1:5" x14ac:dyDescent="0.25">
      <c r="A51" t="s">
        <v>257</v>
      </c>
    </row>
    <row r="52" spans="1:5" x14ac:dyDescent="0.25">
      <c r="A52" t="s">
        <v>2</v>
      </c>
      <c r="B52" t="s">
        <v>218</v>
      </c>
      <c r="C52" t="s">
        <v>219</v>
      </c>
      <c r="D52" t="s">
        <v>220</v>
      </c>
      <c r="E52" t="s">
        <v>35</v>
      </c>
    </row>
    <row r="53" spans="1:5" x14ac:dyDescent="0.25">
      <c r="A53">
        <v>1</v>
      </c>
      <c r="B53">
        <v>4.72</v>
      </c>
      <c r="C53">
        <f>B53*1.2</f>
        <v>5.6639999999999997</v>
      </c>
      <c r="D53" t="s">
        <v>221</v>
      </c>
      <c r="E53" t="s">
        <v>258</v>
      </c>
    </row>
    <row r="55" spans="1:5" x14ac:dyDescent="0.25">
      <c r="A55" t="s">
        <v>264</v>
      </c>
    </row>
    <row r="56" spans="1:5" x14ac:dyDescent="0.25">
      <c r="C56" s="7">
        <f>C53+C47+C41</f>
        <v>539.4</v>
      </c>
    </row>
  </sheetData>
  <hyperlinks>
    <hyperlink ref="E26" r:id="rId1" xr:uid="{2E549124-0DAF-4534-B7D3-8B3782D24854}"/>
    <hyperlink ref="E27" r:id="rId2" xr:uid="{93A1E227-63D7-4137-B7CA-17AD2362BCF2}"/>
    <hyperlink ref="E33" r:id="rId3" xr:uid="{BFA682B7-2CAF-471E-BCAA-397EF459489E}"/>
    <hyperlink ref="E25" r:id="rId4" xr:uid="{E1792AC7-8546-42CA-A560-D2FCEF6CD798}"/>
    <hyperlink ref="E34" r:id="rId5" xr:uid="{6302C68A-7FA9-41EB-A0CD-2C64B4CE53A1}"/>
    <hyperlink ref="E40" r:id="rId6" xr:uid="{3533490C-FFED-4D1A-83D8-6C725836D20D}"/>
    <hyperlink ref="H2" r:id="rId7" xr:uid="{5DDAA894-73C8-4028-8E6A-1C505D83DB07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B14EA-4489-42DF-B71B-CC78F91E794B}">
  <sheetPr>
    <tabColor rgb="FFFF0000"/>
  </sheetPr>
  <dimension ref="A2:AZ124"/>
  <sheetViews>
    <sheetView topLeftCell="J70" workbookViewId="0">
      <selection activeCell="H27" sqref="H27"/>
    </sheetView>
  </sheetViews>
  <sheetFormatPr defaultRowHeight="15" x14ac:dyDescent="0.25"/>
  <sheetData>
    <row r="2" spans="3:52" x14ac:dyDescent="0.25">
      <c r="J2" t="s">
        <v>1136</v>
      </c>
    </row>
    <row r="3" spans="3:52" x14ac:dyDescent="0.25">
      <c r="C3" t="s">
        <v>156</v>
      </c>
      <c r="E3" t="s">
        <v>357</v>
      </c>
      <c r="F3" t="s">
        <v>406</v>
      </c>
      <c r="J3" t="s">
        <v>357</v>
      </c>
      <c r="K3" t="s">
        <v>406</v>
      </c>
      <c r="O3" t="s">
        <v>1153</v>
      </c>
      <c r="P3">
        <v>60</v>
      </c>
      <c r="Q3" t="s">
        <v>71</v>
      </c>
      <c r="R3" t="s">
        <v>955</v>
      </c>
      <c r="X3" s="122" t="s">
        <v>156</v>
      </c>
      <c r="Y3" s="122" t="s">
        <v>105</v>
      </c>
      <c r="Z3" s="122"/>
      <c r="AA3" s="122"/>
      <c r="AB3" s="122"/>
      <c r="AC3" s="122"/>
      <c r="AD3" s="122"/>
      <c r="AE3" s="122"/>
      <c r="AF3" s="122"/>
      <c r="AG3" s="122"/>
      <c r="AH3" s="122"/>
    </row>
    <row r="4" spans="3:52" x14ac:dyDescent="0.25">
      <c r="C4">
        <v>5</v>
      </c>
      <c r="D4">
        <v>2900</v>
      </c>
      <c r="E4">
        <v>2.9</v>
      </c>
      <c r="F4">
        <v>1.5</v>
      </c>
      <c r="J4">
        <v>1</v>
      </c>
      <c r="K4">
        <v>1</v>
      </c>
      <c r="X4" s="122"/>
      <c r="Y4">
        <v>15</v>
      </c>
      <c r="Z4">
        <v>20</v>
      </c>
      <c r="AA4">
        <v>30</v>
      </c>
      <c r="AB4">
        <v>40</v>
      </c>
      <c r="AC4">
        <v>50</v>
      </c>
      <c r="AD4">
        <v>60</v>
      </c>
      <c r="AE4">
        <v>70</v>
      </c>
      <c r="AF4">
        <v>80</v>
      </c>
      <c r="AG4">
        <v>90</v>
      </c>
      <c r="AH4">
        <v>100</v>
      </c>
    </row>
    <row r="5" spans="3:52" x14ac:dyDescent="0.25">
      <c r="C5">
        <v>10</v>
      </c>
      <c r="D5">
        <v>3800</v>
      </c>
      <c r="E5">
        <v>3.8</v>
      </c>
      <c r="F5">
        <v>3</v>
      </c>
      <c r="J5">
        <v>1</v>
      </c>
      <c r="K5">
        <v>1</v>
      </c>
      <c r="X5">
        <v>5</v>
      </c>
      <c r="Y5">
        <f>Y$4*$X5*0.25</f>
        <v>18.75</v>
      </c>
      <c r="Z5">
        <f t="shared" ref="Z5:AH19" si="0">Z$4*$X5*0.25</f>
        <v>25</v>
      </c>
      <c r="AA5">
        <f t="shared" si="0"/>
        <v>37.5</v>
      </c>
      <c r="AB5">
        <f t="shared" si="0"/>
        <v>50</v>
      </c>
      <c r="AC5">
        <f t="shared" si="0"/>
        <v>62.5</v>
      </c>
      <c r="AD5">
        <f t="shared" si="0"/>
        <v>75</v>
      </c>
      <c r="AE5">
        <f t="shared" si="0"/>
        <v>87.5</v>
      </c>
      <c r="AF5">
        <f t="shared" si="0"/>
        <v>100</v>
      </c>
      <c r="AG5">
        <f t="shared" si="0"/>
        <v>112.5</v>
      </c>
      <c r="AH5">
        <f t="shared" si="0"/>
        <v>125</v>
      </c>
      <c r="AV5" t="s">
        <v>1611</v>
      </c>
      <c r="AW5" t="s">
        <v>71</v>
      </c>
    </row>
    <row r="6" spans="3:52" x14ac:dyDescent="0.25">
      <c r="C6">
        <v>20</v>
      </c>
      <c r="D6">
        <v>5600</v>
      </c>
      <c r="E6">
        <v>5.6</v>
      </c>
      <c r="F6">
        <v>6</v>
      </c>
      <c r="J6">
        <v>1</v>
      </c>
      <c r="K6">
        <v>1</v>
      </c>
      <c r="X6">
        <v>10</v>
      </c>
      <c r="Y6">
        <f t="shared" ref="Y6:Y19" si="1">Y$4*$X6*0.25</f>
        <v>37.5</v>
      </c>
      <c r="Z6">
        <f t="shared" si="0"/>
        <v>50</v>
      </c>
      <c r="AA6">
        <f t="shared" si="0"/>
        <v>75</v>
      </c>
      <c r="AB6">
        <f t="shared" si="0"/>
        <v>100</v>
      </c>
      <c r="AC6">
        <f t="shared" si="0"/>
        <v>125</v>
      </c>
      <c r="AD6">
        <f t="shared" si="0"/>
        <v>150</v>
      </c>
      <c r="AE6">
        <f t="shared" si="0"/>
        <v>175</v>
      </c>
      <c r="AF6">
        <f t="shared" si="0"/>
        <v>200</v>
      </c>
      <c r="AG6">
        <f t="shared" si="0"/>
        <v>225</v>
      </c>
      <c r="AH6">
        <f t="shared" si="0"/>
        <v>250</v>
      </c>
      <c r="AU6">
        <v>5</v>
      </c>
      <c r="AV6">
        <v>0.75</v>
      </c>
      <c r="AW6">
        <v>2.9</v>
      </c>
      <c r="AX6">
        <f>AW6/AV6</f>
        <v>3.8666666666666667</v>
      </c>
    </row>
    <row r="7" spans="3:52" x14ac:dyDescent="0.25">
      <c r="C7">
        <v>30</v>
      </c>
      <c r="D7">
        <v>7400</v>
      </c>
      <c r="E7">
        <v>7.4</v>
      </c>
      <c r="F7">
        <v>9</v>
      </c>
      <c r="J7">
        <v>1</v>
      </c>
      <c r="K7">
        <v>1</v>
      </c>
      <c r="X7">
        <v>20</v>
      </c>
      <c r="Y7">
        <f t="shared" si="1"/>
        <v>75</v>
      </c>
      <c r="Z7">
        <f t="shared" si="0"/>
        <v>100</v>
      </c>
      <c r="AA7">
        <f t="shared" si="0"/>
        <v>150</v>
      </c>
      <c r="AB7">
        <f t="shared" si="0"/>
        <v>200</v>
      </c>
      <c r="AC7">
        <f t="shared" si="0"/>
        <v>250</v>
      </c>
      <c r="AD7">
        <f t="shared" si="0"/>
        <v>300</v>
      </c>
      <c r="AE7">
        <f t="shared" si="0"/>
        <v>350</v>
      </c>
      <c r="AF7">
        <f t="shared" si="0"/>
        <v>400</v>
      </c>
      <c r="AG7">
        <f t="shared" si="0"/>
        <v>450</v>
      </c>
      <c r="AH7">
        <f t="shared" si="0"/>
        <v>500</v>
      </c>
      <c r="AU7">
        <v>10</v>
      </c>
      <c r="AV7">
        <v>1.5</v>
      </c>
      <c r="AW7">
        <v>3.8</v>
      </c>
      <c r="AX7">
        <f t="shared" ref="AX7:AX20" si="2">AW7/AV7</f>
        <v>2.5333333333333332</v>
      </c>
      <c r="AZ7">
        <f>AX7*24</f>
        <v>60.8</v>
      </c>
    </row>
    <row r="8" spans="3:52" x14ac:dyDescent="0.25">
      <c r="C8">
        <v>50</v>
      </c>
      <c r="D8">
        <v>11000</v>
      </c>
      <c r="E8">
        <v>11</v>
      </c>
      <c r="F8">
        <v>15</v>
      </c>
      <c r="J8">
        <v>1</v>
      </c>
      <c r="K8">
        <v>1</v>
      </c>
      <c r="X8">
        <v>30</v>
      </c>
      <c r="Y8">
        <f t="shared" si="1"/>
        <v>112.5</v>
      </c>
      <c r="Z8">
        <f t="shared" si="0"/>
        <v>150</v>
      </c>
      <c r="AA8">
        <f t="shared" si="0"/>
        <v>225</v>
      </c>
      <c r="AB8">
        <f t="shared" si="0"/>
        <v>300</v>
      </c>
      <c r="AC8">
        <f t="shared" si="0"/>
        <v>375</v>
      </c>
      <c r="AD8">
        <f t="shared" si="0"/>
        <v>450</v>
      </c>
      <c r="AE8">
        <f t="shared" si="0"/>
        <v>525</v>
      </c>
      <c r="AF8">
        <f t="shared" si="0"/>
        <v>600</v>
      </c>
      <c r="AG8">
        <f t="shared" si="0"/>
        <v>675</v>
      </c>
      <c r="AH8">
        <f t="shared" si="0"/>
        <v>750</v>
      </c>
      <c r="AU8">
        <v>20</v>
      </c>
      <c r="AV8">
        <v>3</v>
      </c>
      <c r="AW8">
        <v>5.6</v>
      </c>
      <c r="AX8">
        <f t="shared" si="2"/>
        <v>1.8666666666666665</v>
      </c>
      <c r="AZ8">
        <f t="shared" ref="AZ8:AZ20" si="3">AX8*24</f>
        <v>44.8</v>
      </c>
    </row>
    <row r="9" spans="3:52" x14ac:dyDescent="0.25">
      <c r="C9">
        <v>75</v>
      </c>
      <c r="D9">
        <v>15500</v>
      </c>
      <c r="E9">
        <v>15.5</v>
      </c>
      <c r="F9">
        <v>22.5</v>
      </c>
      <c r="J9">
        <v>1</v>
      </c>
      <c r="K9">
        <v>1</v>
      </c>
      <c r="X9">
        <v>50</v>
      </c>
      <c r="Y9">
        <f t="shared" si="1"/>
        <v>187.5</v>
      </c>
      <c r="Z9">
        <f t="shared" si="0"/>
        <v>250</v>
      </c>
      <c r="AA9">
        <f t="shared" si="0"/>
        <v>375</v>
      </c>
      <c r="AB9">
        <f t="shared" si="0"/>
        <v>500</v>
      </c>
      <c r="AC9">
        <f t="shared" si="0"/>
        <v>625</v>
      </c>
      <c r="AD9">
        <f t="shared" si="0"/>
        <v>750</v>
      </c>
      <c r="AE9">
        <f t="shared" si="0"/>
        <v>875</v>
      </c>
      <c r="AF9">
        <f t="shared" si="0"/>
        <v>1000</v>
      </c>
      <c r="AG9">
        <f t="shared" si="0"/>
        <v>1125</v>
      </c>
      <c r="AH9">
        <f t="shared" si="0"/>
        <v>1250</v>
      </c>
      <c r="AU9">
        <v>30</v>
      </c>
      <c r="AV9">
        <v>4.5</v>
      </c>
      <c r="AW9">
        <v>7.4</v>
      </c>
      <c r="AX9">
        <f t="shared" si="2"/>
        <v>1.6444444444444446</v>
      </c>
      <c r="AZ9">
        <f t="shared" si="3"/>
        <v>39.466666666666669</v>
      </c>
    </row>
    <row r="10" spans="3:52" x14ac:dyDescent="0.25">
      <c r="C10">
        <v>100</v>
      </c>
      <c r="D10">
        <v>20000</v>
      </c>
      <c r="E10">
        <v>20</v>
      </c>
      <c r="F10">
        <v>30</v>
      </c>
      <c r="J10">
        <v>1</v>
      </c>
      <c r="K10">
        <v>1</v>
      </c>
      <c r="X10">
        <v>75</v>
      </c>
      <c r="Y10">
        <f>Y$4*$X10*0.25</f>
        <v>281.25</v>
      </c>
      <c r="Z10">
        <f t="shared" si="0"/>
        <v>375</v>
      </c>
      <c r="AA10">
        <f t="shared" si="0"/>
        <v>562.5</v>
      </c>
      <c r="AB10">
        <f t="shared" si="0"/>
        <v>750</v>
      </c>
      <c r="AC10">
        <f t="shared" si="0"/>
        <v>937.5</v>
      </c>
      <c r="AD10">
        <f t="shared" si="0"/>
        <v>1125</v>
      </c>
      <c r="AE10">
        <f t="shared" si="0"/>
        <v>1312.5</v>
      </c>
      <c r="AF10">
        <f t="shared" si="0"/>
        <v>1500</v>
      </c>
      <c r="AG10">
        <f t="shared" si="0"/>
        <v>1687.5</v>
      </c>
      <c r="AH10">
        <f t="shared" si="0"/>
        <v>1875</v>
      </c>
      <c r="AU10">
        <v>50</v>
      </c>
      <c r="AV10">
        <v>7.5</v>
      </c>
      <c r="AW10">
        <v>11</v>
      </c>
      <c r="AX10">
        <f t="shared" si="2"/>
        <v>1.4666666666666666</v>
      </c>
      <c r="AZ10">
        <f t="shared" si="3"/>
        <v>35.199999999999996</v>
      </c>
    </row>
    <row r="11" spans="3:52" x14ac:dyDescent="0.25">
      <c r="C11">
        <v>150</v>
      </c>
      <c r="E11">
        <f>(C11*180+2000)/1000</f>
        <v>29</v>
      </c>
      <c r="F11">
        <v>45</v>
      </c>
      <c r="X11">
        <v>100</v>
      </c>
      <c r="Y11">
        <f t="shared" si="1"/>
        <v>375</v>
      </c>
      <c r="Z11">
        <f t="shared" si="0"/>
        <v>500</v>
      </c>
      <c r="AA11">
        <f t="shared" si="0"/>
        <v>750</v>
      </c>
      <c r="AB11">
        <f t="shared" si="0"/>
        <v>1000</v>
      </c>
      <c r="AC11">
        <f t="shared" si="0"/>
        <v>1250</v>
      </c>
      <c r="AD11">
        <f t="shared" si="0"/>
        <v>1500</v>
      </c>
      <c r="AE11">
        <f t="shared" si="0"/>
        <v>1750</v>
      </c>
      <c r="AF11">
        <f t="shared" si="0"/>
        <v>2000</v>
      </c>
      <c r="AG11">
        <f t="shared" si="0"/>
        <v>2250</v>
      </c>
      <c r="AH11">
        <f t="shared" si="0"/>
        <v>2500</v>
      </c>
      <c r="AU11">
        <v>75</v>
      </c>
      <c r="AV11">
        <v>11.25</v>
      </c>
      <c r="AW11">
        <v>15.5</v>
      </c>
      <c r="AX11">
        <f t="shared" si="2"/>
        <v>1.3777777777777778</v>
      </c>
      <c r="AZ11">
        <f t="shared" si="3"/>
        <v>33.066666666666663</v>
      </c>
    </row>
    <row r="12" spans="3:52" x14ac:dyDescent="0.25">
      <c r="C12">
        <v>200</v>
      </c>
      <c r="D12">
        <v>38000</v>
      </c>
      <c r="E12">
        <v>38</v>
      </c>
      <c r="F12">
        <v>60</v>
      </c>
      <c r="J12">
        <v>1</v>
      </c>
      <c r="K12">
        <v>1</v>
      </c>
      <c r="U12" t="s">
        <v>1405</v>
      </c>
      <c r="X12">
        <v>150</v>
      </c>
      <c r="Y12">
        <f t="shared" si="1"/>
        <v>562.5</v>
      </c>
      <c r="Z12">
        <f t="shared" si="0"/>
        <v>750</v>
      </c>
      <c r="AA12">
        <f t="shared" si="0"/>
        <v>1125</v>
      </c>
      <c r="AB12">
        <f t="shared" si="0"/>
        <v>1500</v>
      </c>
      <c r="AC12">
        <f t="shared" si="0"/>
        <v>1875</v>
      </c>
      <c r="AD12">
        <f t="shared" si="0"/>
        <v>2250</v>
      </c>
      <c r="AE12">
        <f t="shared" si="0"/>
        <v>2625</v>
      </c>
      <c r="AF12">
        <f t="shared" si="0"/>
        <v>3000</v>
      </c>
      <c r="AG12">
        <f t="shared" si="0"/>
        <v>3375</v>
      </c>
      <c r="AH12">
        <f t="shared" si="0"/>
        <v>3750</v>
      </c>
      <c r="AU12">
        <v>100</v>
      </c>
      <c r="AV12">
        <v>15</v>
      </c>
      <c r="AW12">
        <v>20</v>
      </c>
      <c r="AX12">
        <f t="shared" si="2"/>
        <v>1.3333333333333333</v>
      </c>
      <c r="AZ12">
        <f t="shared" si="3"/>
        <v>32</v>
      </c>
    </row>
    <row r="13" spans="3:52" x14ac:dyDescent="0.25">
      <c r="C13">
        <v>300</v>
      </c>
      <c r="D13">
        <v>56000</v>
      </c>
      <c r="E13">
        <v>56</v>
      </c>
      <c r="F13">
        <v>90</v>
      </c>
      <c r="J13">
        <v>1</v>
      </c>
      <c r="K13">
        <v>2</v>
      </c>
      <c r="N13">
        <f>F13/K13</f>
        <v>45</v>
      </c>
      <c r="Q13">
        <v>37</v>
      </c>
      <c r="R13" s="6">
        <v>38</v>
      </c>
      <c r="S13">
        <v>40</v>
      </c>
      <c r="U13">
        <v>45</v>
      </c>
      <c r="X13">
        <v>200</v>
      </c>
      <c r="Y13">
        <f t="shared" si="1"/>
        <v>750</v>
      </c>
      <c r="Z13">
        <f t="shared" si="0"/>
        <v>1000</v>
      </c>
      <c r="AA13">
        <f t="shared" si="0"/>
        <v>1500</v>
      </c>
      <c r="AB13">
        <f t="shared" si="0"/>
        <v>2000</v>
      </c>
      <c r="AC13">
        <f t="shared" si="0"/>
        <v>2500</v>
      </c>
      <c r="AD13">
        <f t="shared" si="0"/>
        <v>3000</v>
      </c>
      <c r="AE13">
        <f t="shared" si="0"/>
        <v>3500</v>
      </c>
      <c r="AF13">
        <f t="shared" si="0"/>
        <v>4000</v>
      </c>
      <c r="AG13">
        <f t="shared" si="0"/>
        <v>4500</v>
      </c>
      <c r="AH13">
        <f t="shared" si="0"/>
        <v>5000</v>
      </c>
      <c r="AU13">
        <v>150</v>
      </c>
      <c r="AV13">
        <v>22.5</v>
      </c>
      <c r="AW13">
        <v>29</v>
      </c>
      <c r="AX13">
        <f t="shared" si="2"/>
        <v>1.288888888888889</v>
      </c>
      <c r="AZ13">
        <f t="shared" si="3"/>
        <v>30.933333333333337</v>
      </c>
    </row>
    <row r="14" spans="3:52" x14ac:dyDescent="0.25">
      <c r="C14">
        <v>400</v>
      </c>
      <c r="D14">
        <v>74000</v>
      </c>
      <c r="E14">
        <v>74</v>
      </c>
      <c r="F14">
        <v>120</v>
      </c>
      <c r="G14">
        <f>F14/3</f>
        <v>40</v>
      </c>
      <c r="J14">
        <f t="shared" ref="J14:K18" si="4">ROUNDUP(E14/$P$3,0)</f>
        <v>2</v>
      </c>
      <c r="K14">
        <f t="shared" si="4"/>
        <v>2</v>
      </c>
      <c r="M14">
        <f>E14/J14</f>
        <v>37</v>
      </c>
      <c r="N14">
        <f t="shared" ref="N14:N18" si="5">F14/K14</f>
        <v>60</v>
      </c>
      <c r="Q14">
        <v>45</v>
      </c>
      <c r="R14" s="6">
        <f>U13</f>
        <v>45</v>
      </c>
      <c r="S14">
        <f>U14</f>
        <v>46</v>
      </c>
      <c r="U14">
        <v>46</v>
      </c>
      <c r="X14">
        <v>300</v>
      </c>
      <c r="Y14">
        <f t="shared" si="1"/>
        <v>1125</v>
      </c>
      <c r="Z14">
        <f t="shared" si="0"/>
        <v>1500</v>
      </c>
      <c r="AA14">
        <f t="shared" si="0"/>
        <v>2250</v>
      </c>
      <c r="AB14">
        <f t="shared" si="0"/>
        <v>3000</v>
      </c>
      <c r="AC14">
        <f t="shared" si="0"/>
        <v>3750</v>
      </c>
      <c r="AD14">
        <f t="shared" si="0"/>
        <v>4500</v>
      </c>
      <c r="AE14">
        <f t="shared" si="0"/>
        <v>5250</v>
      </c>
      <c r="AF14">
        <f t="shared" si="0"/>
        <v>6000</v>
      </c>
      <c r="AG14">
        <f t="shared" si="0"/>
        <v>6750</v>
      </c>
      <c r="AH14">
        <f t="shared" si="0"/>
        <v>7500</v>
      </c>
      <c r="AU14">
        <v>200</v>
      </c>
      <c r="AV14">
        <v>30</v>
      </c>
      <c r="AW14">
        <v>38</v>
      </c>
      <c r="AX14">
        <f t="shared" si="2"/>
        <v>1.2666666666666666</v>
      </c>
      <c r="AZ14">
        <f t="shared" si="3"/>
        <v>30.4</v>
      </c>
    </row>
    <row r="15" spans="3:52" x14ac:dyDescent="0.25">
      <c r="C15">
        <v>500</v>
      </c>
      <c r="D15">
        <v>92000</v>
      </c>
      <c r="E15">
        <v>92</v>
      </c>
      <c r="F15">
        <v>150</v>
      </c>
      <c r="G15">
        <f>F15/4</f>
        <v>37.5</v>
      </c>
      <c r="J15">
        <f t="shared" si="4"/>
        <v>2</v>
      </c>
      <c r="K15">
        <f t="shared" si="4"/>
        <v>3</v>
      </c>
      <c r="M15">
        <f>E15/J15</f>
        <v>46</v>
      </c>
      <c r="N15">
        <f t="shared" si="5"/>
        <v>50</v>
      </c>
      <c r="Q15">
        <v>45.5</v>
      </c>
      <c r="R15">
        <f>U14</f>
        <v>46</v>
      </c>
      <c r="U15">
        <v>54</v>
      </c>
      <c r="X15">
        <v>400</v>
      </c>
      <c r="Y15">
        <f t="shared" si="1"/>
        <v>1500</v>
      </c>
      <c r="Z15">
        <f t="shared" si="0"/>
        <v>2000</v>
      </c>
      <c r="AA15">
        <f t="shared" si="0"/>
        <v>3000</v>
      </c>
      <c r="AB15">
        <f t="shared" si="0"/>
        <v>4000</v>
      </c>
      <c r="AC15">
        <f t="shared" si="0"/>
        <v>5000</v>
      </c>
      <c r="AD15">
        <f t="shared" si="0"/>
        <v>6000</v>
      </c>
      <c r="AE15">
        <f t="shared" si="0"/>
        <v>7000</v>
      </c>
      <c r="AF15">
        <f t="shared" si="0"/>
        <v>8000</v>
      </c>
      <c r="AG15">
        <f t="shared" si="0"/>
        <v>9000</v>
      </c>
      <c r="AH15">
        <f t="shared" si="0"/>
        <v>10000</v>
      </c>
      <c r="AU15">
        <v>300</v>
      </c>
      <c r="AV15">
        <v>45</v>
      </c>
      <c r="AW15">
        <v>56</v>
      </c>
      <c r="AX15">
        <f t="shared" si="2"/>
        <v>1.2444444444444445</v>
      </c>
      <c r="AZ15">
        <f t="shared" si="3"/>
        <v>29.866666666666667</v>
      </c>
    </row>
    <row r="16" spans="3:52" x14ac:dyDescent="0.25">
      <c r="C16">
        <v>600</v>
      </c>
      <c r="D16">
        <v>110000</v>
      </c>
      <c r="E16">
        <v>110</v>
      </c>
      <c r="F16">
        <v>180</v>
      </c>
      <c r="G16">
        <f>F16/4</f>
        <v>45</v>
      </c>
      <c r="J16">
        <f t="shared" si="4"/>
        <v>2</v>
      </c>
      <c r="K16">
        <f t="shared" si="4"/>
        <v>3</v>
      </c>
      <c r="M16">
        <f>E16/J16</f>
        <v>55</v>
      </c>
      <c r="N16">
        <f t="shared" si="5"/>
        <v>60</v>
      </c>
      <c r="Q16">
        <v>46</v>
      </c>
      <c r="R16">
        <f>R15</f>
        <v>46</v>
      </c>
      <c r="U16">
        <v>59</v>
      </c>
      <c r="X16">
        <v>500</v>
      </c>
      <c r="Y16">
        <f t="shared" si="1"/>
        <v>1875</v>
      </c>
      <c r="Z16">
        <f t="shared" si="0"/>
        <v>2500</v>
      </c>
      <c r="AA16">
        <f t="shared" si="0"/>
        <v>3750</v>
      </c>
      <c r="AB16">
        <f t="shared" si="0"/>
        <v>5000</v>
      </c>
      <c r="AC16">
        <f t="shared" si="0"/>
        <v>6250</v>
      </c>
      <c r="AD16">
        <f t="shared" si="0"/>
        <v>7500</v>
      </c>
      <c r="AE16">
        <f t="shared" si="0"/>
        <v>8750</v>
      </c>
      <c r="AF16">
        <f t="shared" si="0"/>
        <v>10000</v>
      </c>
      <c r="AG16">
        <f t="shared" si="0"/>
        <v>11250</v>
      </c>
      <c r="AH16">
        <f t="shared" si="0"/>
        <v>12500</v>
      </c>
      <c r="AU16">
        <v>400</v>
      </c>
      <c r="AV16">
        <v>60</v>
      </c>
      <c r="AW16">
        <v>74</v>
      </c>
      <c r="AX16">
        <f t="shared" si="2"/>
        <v>1.2333333333333334</v>
      </c>
      <c r="AZ16">
        <f t="shared" si="3"/>
        <v>29.6</v>
      </c>
    </row>
    <row r="17" spans="3:52" x14ac:dyDescent="0.25">
      <c r="C17">
        <v>800</v>
      </c>
      <c r="D17">
        <v>146000</v>
      </c>
      <c r="E17">
        <v>146</v>
      </c>
      <c r="F17">
        <v>240</v>
      </c>
      <c r="G17">
        <f>E17/4</f>
        <v>36.5</v>
      </c>
      <c r="J17">
        <f t="shared" si="4"/>
        <v>3</v>
      </c>
      <c r="K17">
        <f t="shared" si="4"/>
        <v>4</v>
      </c>
      <c r="M17">
        <f>E17/J17</f>
        <v>48.666666666666664</v>
      </c>
      <c r="N17">
        <f t="shared" si="5"/>
        <v>60</v>
      </c>
      <c r="Q17">
        <v>48.666666666666664</v>
      </c>
      <c r="R17">
        <f>U15</f>
        <v>54</v>
      </c>
      <c r="U17">
        <v>63</v>
      </c>
      <c r="X17">
        <v>600</v>
      </c>
      <c r="Y17">
        <f t="shared" si="1"/>
        <v>2250</v>
      </c>
      <c r="Z17">
        <f t="shared" si="0"/>
        <v>3000</v>
      </c>
      <c r="AA17">
        <f t="shared" si="0"/>
        <v>4500</v>
      </c>
      <c r="AB17">
        <f t="shared" si="0"/>
        <v>6000</v>
      </c>
      <c r="AC17">
        <f t="shared" si="0"/>
        <v>7500</v>
      </c>
      <c r="AD17">
        <f t="shared" si="0"/>
        <v>9000</v>
      </c>
      <c r="AE17">
        <f t="shared" si="0"/>
        <v>10500</v>
      </c>
      <c r="AF17">
        <f t="shared" si="0"/>
        <v>12000</v>
      </c>
      <c r="AG17">
        <f t="shared" si="0"/>
        <v>13500</v>
      </c>
      <c r="AH17">
        <f t="shared" si="0"/>
        <v>15000</v>
      </c>
      <c r="AU17">
        <v>500</v>
      </c>
      <c r="AV17">
        <v>75</v>
      </c>
      <c r="AW17">
        <v>92</v>
      </c>
      <c r="AX17">
        <f t="shared" si="2"/>
        <v>1.2266666666666666</v>
      </c>
      <c r="AZ17">
        <f t="shared" si="3"/>
        <v>29.439999999999998</v>
      </c>
    </row>
    <row r="18" spans="3:52" x14ac:dyDescent="0.25">
      <c r="C18">
        <v>1000</v>
      </c>
      <c r="D18">
        <v>182000</v>
      </c>
      <c r="E18">
        <v>182</v>
      </c>
      <c r="F18">
        <v>300</v>
      </c>
      <c r="J18">
        <f t="shared" si="4"/>
        <v>4</v>
      </c>
      <c r="K18">
        <f t="shared" si="4"/>
        <v>5</v>
      </c>
      <c r="M18">
        <f>E18/J18</f>
        <v>45.5</v>
      </c>
      <c r="N18">
        <f t="shared" si="5"/>
        <v>60</v>
      </c>
      <c r="Q18">
        <v>50</v>
      </c>
      <c r="R18">
        <f>U15</f>
        <v>54</v>
      </c>
      <c r="U18">
        <v>65</v>
      </c>
      <c r="X18">
        <v>800</v>
      </c>
      <c r="Y18">
        <f t="shared" si="1"/>
        <v>3000</v>
      </c>
      <c r="Z18">
        <f t="shared" si="0"/>
        <v>4000</v>
      </c>
      <c r="AA18">
        <f t="shared" si="0"/>
        <v>6000</v>
      </c>
      <c r="AB18">
        <f t="shared" si="0"/>
        <v>8000</v>
      </c>
      <c r="AC18">
        <f t="shared" si="0"/>
        <v>10000</v>
      </c>
      <c r="AD18">
        <f t="shared" si="0"/>
        <v>12000</v>
      </c>
      <c r="AE18">
        <f t="shared" si="0"/>
        <v>14000</v>
      </c>
      <c r="AF18">
        <f t="shared" si="0"/>
        <v>16000</v>
      </c>
      <c r="AG18">
        <f t="shared" si="0"/>
        <v>18000</v>
      </c>
      <c r="AH18">
        <f t="shared" si="0"/>
        <v>20000</v>
      </c>
      <c r="AU18">
        <v>600</v>
      </c>
      <c r="AV18">
        <v>90</v>
      </c>
      <c r="AW18">
        <v>110</v>
      </c>
      <c r="AX18">
        <f t="shared" si="2"/>
        <v>1.2222222222222223</v>
      </c>
      <c r="AZ18">
        <f t="shared" si="3"/>
        <v>29.333333333333336</v>
      </c>
    </row>
    <row r="19" spans="3:52" x14ac:dyDescent="0.25">
      <c r="Q19">
        <v>55</v>
      </c>
      <c r="R19">
        <f>U16</f>
        <v>59</v>
      </c>
      <c r="U19">
        <v>71</v>
      </c>
      <c r="X19">
        <v>1000</v>
      </c>
      <c r="Y19">
        <f t="shared" si="1"/>
        <v>3750</v>
      </c>
      <c r="Z19">
        <f t="shared" si="0"/>
        <v>5000</v>
      </c>
      <c r="AA19">
        <f t="shared" si="0"/>
        <v>7500</v>
      </c>
      <c r="AB19">
        <f t="shared" si="0"/>
        <v>10000</v>
      </c>
      <c r="AC19">
        <f t="shared" si="0"/>
        <v>12500</v>
      </c>
      <c r="AD19">
        <f t="shared" si="0"/>
        <v>15000</v>
      </c>
      <c r="AE19">
        <f t="shared" si="0"/>
        <v>17500</v>
      </c>
      <c r="AF19">
        <f t="shared" si="0"/>
        <v>20000</v>
      </c>
      <c r="AG19">
        <f t="shared" si="0"/>
        <v>22500</v>
      </c>
      <c r="AH19">
        <f t="shared" si="0"/>
        <v>25000</v>
      </c>
      <c r="AU19">
        <v>800</v>
      </c>
      <c r="AV19">
        <v>120</v>
      </c>
      <c r="AW19">
        <v>146</v>
      </c>
      <c r="AX19">
        <f t="shared" si="2"/>
        <v>1.2166666666666666</v>
      </c>
      <c r="AZ19">
        <f t="shared" si="3"/>
        <v>29.199999999999996</v>
      </c>
    </row>
    <row r="20" spans="3:52" x14ac:dyDescent="0.25">
      <c r="Q20">
        <v>60</v>
      </c>
      <c r="R20">
        <f>U17</f>
        <v>63</v>
      </c>
      <c r="U20">
        <v>84</v>
      </c>
      <c r="AU20">
        <v>1000</v>
      </c>
      <c r="AV20">
        <v>150</v>
      </c>
      <c r="AW20">
        <v>182</v>
      </c>
      <c r="AX20">
        <f t="shared" si="2"/>
        <v>1.2133333333333334</v>
      </c>
      <c r="AZ20">
        <f t="shared" si="3"/>
        <v>29.12</v>
      </c>
    </row>
    <row r="21" spans="3:52" x14ac:dyDescent="0.25">
      <c r="Q21">
        <v>60</v>
      </c>
      <c r="R21">
        <f>U17</f>
        <v>63</v>
      </c>
      <c r="U21">
        <v>38</v>
      </c>
      <c r="AC21">
        <f>AC5/X5</f>
        <v>12.5</v>
      </c>
    </row>
    <row r="22" spans="3:52" x14ac:dyDescent="0.25">
      <c r="C22" t="s">
        <v>1154</v>
      </c>
      <c r="Q22">
        <v>60</v>
      </c>
      <c r="R22">
        <f>U17</f>
        <v>63</v>
      </c>
      <c r="U22">
        <v>40</v>
      </c>
      <c r="AC22">
        <f t="shared" ref="AC22:AC26" si="6">AC6/X6</f>
        <v>12.5</v>
      </c>
    </row>
    <row r="23" spans="3:52" x14ac:dyDescent="0.25">
      <c r="Q23">
        <v>60</v>
      </c>
      <c r="R23">
        <f>U17</f>
        <v>63</v>
      </c>
      <c r="AC23">
        <f t="shared" si="6"/>
        <v>12.5</v>
      </c>
    </row>
    <row r="24" spans="3:52" x14ac:dyDescent="0.25">
      <c r="D24" s="2" t="s">
        <v>26</v>
      </c>
      <c r="AC24">
        <f t="shared" si="6"/>
        <v>12.5</v>
      </c>
    </row>
    <row r="25" spans="3:52" x14ac:dyDescent="0.25">
      <c r="AC25">
        <f t="shared" si="6"/>
        <v>12.5</v>
      </c>
    </row>
    <row r="26" spans="3:52" x14ac:dyDescent="0.25">
      <c r="R26" t="s">
        <v>1406</v>
      </c>
      <c r="AC26">
        <f t="shared" si="6"/>
        <v>12.5</v>
      </c>
    </row>
    <row r="27" spans="3:52" x14ac:dyDescent="0.25">
      <c r="R27">
        <v>46</v>
      </c>
    </row>
    <row r="28" spans="3:52" x14ac:dyDescent="0.25">
      <c r="C28" t="s">
        <v>268</v>
      </c>
      <c r="R28">
        <v>54</v>
      </c>
    </row>
    <row r="29" spans="3:52" x14ac:dyDescent="0.25">
      <c r="D29">
        <v>12</v>
      </c>
      <c r="E29" t="s">
        <v>269</v>
      </c>
      <c r="R29">
        <v>59</v>
      </c>
    </row>
    <row r="30" spans="3:52" x14ac:dyDescent="0.25">
      <c r="R30">
        <v>63</v>
      </c>
    </row>
    <row r="31" spans="3:52" x14ac:dyDescent="0.25">
      <c r="D31" t="s">
        <v>271</v>
      </c>
      <c r="E31">
        <v>0.15</v>
      </c>
      <c r="F31" t="s">
        <v>272</v>
      </c>
    </row>
    <row r="35" spans="3:7" x14ac:dyDescent="0.25">
      <c r="D35" t="s">
        <v>389</v>
      </c>
      <c r="E35" t="s">
        <v>1134</v>
      </c>
    </row>
    <row r="36" spans="3:7" x14ac:dyDescent="0.25">
      <c r="C36" t="s">
        <v>1095</v>
      </c>
      <c r="D36">
        <v>38</v>
      </c>
      <c r="E36">
        <v>8454</v>
      </c>
      <c r="G36">
        <f t="shared" ref="G36:G49" si="7">E36</f>
        <v>8454</v>
      </c>
    </row>
    <row r="37" spans="3:7" x14ac:dyDescent="0.25">
      <c r="D37">
        <v>34</v>
      </c>
      <c r="E37">
        <v>7726.8</v>
      </c>
      <c r="G37">
        <f t="shared" si="7"/>
        <v>7726.8</v>
      </c>
    </row>
    <row r="38" spans="3:7" x14ac:dyDescent="0.25">
      <c r="D38">
        <v>26</v>
      </c>
      <c r="E38">
        <v>6454.8</v>
      </c>
      <c r="G38">
        <f t="shared" si="7"/>
        <v>6454.8</v>
      </c>
    </row>
    <row r="39" spans="3:7" x14ac:dyDescent="0.25">
      <c r="D39">
        <v>22</v>
      </c>
      <c r="E39">
        <v>5954</v>
      </c>
      <c r="G39">
        <f t="shared" si="7"/>
        <v>5954</v>
      </c>
    </row>
    <row r="40" spans="3:7" x14ac:dyDescent="0.25">
      <c r="D40">
        <v>18</v>
      </c>
      <c r="E40">
        <v>5000.3999999999996</v>
      </c>
      <c r="G40">
        <f t="shared" si="7"/>
        <v>5000.3999999999996</v>
      </c>
    </row>
    <row r="41" spans="3:7" x14ac:dyDescent="0.25">
      <c r="D41">
        <v>15</v>
      </c>
      <c r="E41">
        <v>3808.8</v>
      </c>
      <c r="G41">
        <f t="shared" si="7"/>
        <v>3808.8</v>
      </c>
    </row>
    <row r="42" spans="3:7" x14ac:dyDescent="0.25">
      <c r="D42">
        <v>12</v>
      </c>
      <c r="E42">
        <v>3572.4</v>
      </c>
      <c r="G42">
        <f t="shared" si="7"/>
        <v>3572.4</v>
      </c>
    </row>
    <row r="43" spans="3:7" x14ac:dyDescent="0.25">
      <c r="D43">
        <v>10</v>
      </c>
      <c r="E43">
        <v>3445.2</v>
      </c>
      <c r="G43">
        <f t="shared" si="7"/>
        <v>3445.2</v>
      </c>
    </row>
    <row r="44" spans="3:7" x14ac:dyDescent="0.25">
      <c r="D44">
        <v>9.15</v>
      </c>
      <c r="E44">
        <v>3428.4</v>
      </c>
      <c r="G44">
        <f t="shared" si="7"/>
        <v>3428.4</v>
      </c>
    </row>
    <row r="45" spans="3:7" x14ac:dyDescent="0.25">
      <c r="D45">
        <v>7.15</v>
      </c>
      <c r="E45">
        <v>2696.4</v>
      </c>
      <c r="G45">
        <f t="shared" si="7"/>
        <v>2696.4</v>
      </c>
    </row>
    <row r="46" spans="3:7" x14ac:dyDescent="0.25">
      <c r="D46">
        <v>5.7</v>
      </c>
      <c r="E46">
        <v>2158.8000000000002</v>
      </c>
      <c r="G46">
        <f t="shared" si="7"/>
        <v>2158.8000000000002</v>
      </c>
    </row>
    <row r="47" spans="3:7" x14ac:dyDescent="0.25">
      <c r="D47">
        <v>4.8</v>
      </c>
      <c r="E47">
        <v>1773.6</v>
      </c>
      <c r="G47">
        <f t="shared" si="7"/>
        <v>1773.6</v>
      </c>
    </row>
    <row r="48" spans="3:7" x14ac:dyDescent="0.25">
      <c r="D48">
        <v>3.8</v>
      </c>
      <c r="E48">
        <v>1383.6</v>
      </c>
      <c r="G48">
        <f t="shared" si="7"/>
        <v>1383.6</v>
      </c>
    </row>
    <row r="49" spans="1:19" x14ac:dyDescent="0.25">
      <c r="D49">
        <v>2.8</v>
      </c>
      <c r="E49">
        <v>1167.5999999999999</v>
      </c>
      <c r="G49">
        <f t="shared" si="7"/>
        <v>1167.5999999999999</v>
      </c>
    </row>
    <row r="50" spans="1:19" x14ac:dyDescent="0.25">
      <c r="C50" t="s">
        <v>1135</v>
      </c>
      <c r="D50">
        <v>10</v>
      </c>
      <c r="F50">
        <v>4773.6000000000004</v>
      </c>
      <c r="G50">
        <f t="shared" ref="G50:G55" si="8">F50</f>
        <v>4773.6000000000004</v>
      </c>
    </row>
    <row r="51" spans="1:19" x14ac:dyDescent="0.25">
      <c r="D51">
        <v>8</v>
      </c>
      <c r="F51">
        <v>3462</v>
      </c>
      <c r="G51">
        <f t="shared" si="8"/>
        <v>3462</v>
      </c>
    </row>
    <row r="52" spans="1:19" x14ac:dyDescent="0.25">
      <c r="D52">
        <v>6</v>
      </c>
      <c r="F52">
        <v>2874</v>
      </c>
      <c r="G52">
        <f t="shared" si="8"/>
        <v>2874</v>
      </c>
    </row>
    <row r="53" spans="1:19" x14ac:dyDescent="0.25">
      <c r="D53">
        <v>5</v>
      </c>
      <c r="F53">
        <v>2036.4</v>
      </c>
      <c r="G53">
        <f t="shared" si="8"/>
        <v>2036.4</v>
      </c>
      <c r="K53" t="s">
        <v>1138</v>
      </c>
      <c r="L53" t="s">
        <v>588</v>
      </c>
      <c r="M53" t="s">
        <v>589</v>
      </c>
    </row>
    <row r="54" spans="1:19" x14ac:dyDescent="0.25">
      <c r="D54">
        <v>4</v>
      </c>
      <c r="F54">
        <v>1570.8</v>
      </c>
      <c r="G54">
        <f t="shared" si="8"/>
        <v>1570.8</v>
      </c>
      <c r="K54">
        <v>562.41330000000005</v>
      </c>
      <c r="L54">
        <v>479.61810000000003</v>
      </c>
      <c r="M54">
        <v>645.20799999999997</v>
      </c>
    </row>
    <row r="55" spans="1:19" x14ac:dyDescent="0.25">
      <c r="D55">
        <v>3</v>
      </c>
      <c r="F55">
        <v>1302</v>
      </c>
      <c r="G55">
        <f t="shared" si="8"/>
        <v>1302</v>
      </c>
      <c r="K55" s="100">
        <v>0.75670000000000004</v>
      </c>
      <c r="L55">
        <v>0.71860000000000002</v>
      </c>
      <c r="M55">
        <v>0.79469999999999996</v>
      </c>
    </row>
    <row r="57" spans="1:19" x14ac:dyDescent="0.25">
      <c r="A57" t="s">
        <v>1157</v>
      </c>
      <c r="B57" t="s">
        <v>542</v>
      </c>
      <c r="C57" t="s">
        <v>389</v>
      </c>
      <c r="E57" t="s">
        <v>326</v>
      </c>
      <c r="F57" t="s">
        <v>1093</v>
      </c>
      <c r="G57" t="s">
        <v>3</v>
      </c>
      <c r="I57" t="s">
        <v>35</v>
      </c>
      <c r="J57" t="s">
        <v>1137</v>
      </c>
      <c r="P57" t="s">
        <v>1139</v>
      </c>
      <c r="Q57" t="s">
        <v>1140</v>
      </c>
      <c r="R57" t="s">
        <v>1141</v>
      </c>
      <c r="S57" t="s">
        <v>1142</v>
      </c>
    </row>
    <row r="58" spans="1:19" x14ac:dyDescent="0.25">
      <c r="A58" t="s">
        <v>1158</v>
      </c>
      <c r="B58" t="s">
        <v>543</v>
      </c>
      <c r="C58">
        <v>1</v>
      </c>
      <c r="E58">
        <v>1386</v>
      </c>
      <c r="F58" t="s">
        <v>1094</v>
      </c>
      <c r="G58" t="s">
        <v>1091</v>
      </c>
      <c r="I58" t="s">
        <v>1092</v>
      </c>
      <c r="J58" t="s">
        <v>1137</v>
      </c>
      <c r="K58">
        <f t="shared" ref="K58:M77" si="9">K$54*($C58^K$55)</f>
        <v>562.41330000000005</v>
      </c>
      <c r="L58">
        <f t="shared" si="9"/>
        <v>479.61810000000003</v>
      </c>
      <c r="M58">
        <f t="shared" si="9"/>
        <v>645.20799999999997</v>
      </c>
      <c r="O58">
        <v>1</v>
      </c>
      <c r="P58">
        <v>1386</v>
      </c>
      <c r="Q58">
        <v>562.41330000000005</v>
      </c>
      <c r="R58">
        <v>479.61810000000003</v>
      </c>
      <c r="S58">
        <v>645.20799999999997</v>
      </c>
    </row>
    <row r="59" spans="1:19" x14ac:dyDescent="0.25">
      <c r="A59" t="s">
        <v>1158</v>
      </c>
      <c r="B59" t="s">
        <v>543</v>
      </c>
      <c r="C59">
        <v>2</v>
      </c>
      <c r="E59">
        <v>1674</v>
      </c>
      <c r="F59" t="s">
        <v>1094</v>
      </c>
      <c r="G59" t="s">
        <v>1091</v>
      </c>
      <c r="I59" t="s">
        <v>1092</v>
      </c>
      <c r="J59" t="s">
        <v>1137</v>
      </c>
      <c r="K59">
        <f t="shared" si="9"/>
        <v>950.26553911472286</v>
      </c>
      <c r="L59">
        <f t="shared" si="9"/>
        <v>789.25205105557382</v>
      </c>
      <c r="M59">
        <f t="shared" si="9"/>
        <v>1119.253036193752</v>
      </c>
      <c r="O59">
        <v>2</v>
      </c>
      <c r="P59">
        <v>1674</v>
      </c>
      <c r="Q59">
        <v>950.26553911472286</v>
      </c>
      <c r="R59">
        <v>789.25205105557382</v>
      </c>
      <c r="S59">
        <v>1119.253036193752</v>
      </c>
    </row>
    <row r="60" spans="1:19" x14ac:dyDescent="0.25">
      <c r="A60" t="s">
        <v>1158</v>
      </c>
      <c r="B60" t="s">
        <v>543</v>
      </c>
      <c r="C60">
        <v>3</v>
      </c>
      <c r="E60">
        <v>2014.8</v>
      </c>
      <c r="F60" t="s">
        <v>1094</v>
      </c>
      <c r="G60" t="s">
        <v>1091</v>
      </c>
      <c r="I60" t="s">
        <v>1092</v>
      </c>
      <c r="J60" t="s">
        <v>1137</v>
      </c>
      <c r="K60">
        <f t="shared" si="9"/>
        <v>1291.4965067099895</v>
      </c>
      <c r="L60">
        <f t="shared" si="9"/>
        <v>1056.2212431295527</v>
      </c>
      <c r="M60">
        <f t="shared" si="9"/>
        <v>1544.7848612202818</v>
      </c>
      <c r="O60">
        <v>2.8</v>
      </c>
      <c r="P60">
        <v>1140</v>
      </c>
      <c r="Q60">
        <v>1225.8012635489538</v>
      </c>
      <c r="R60">
        <v>1005.1325229288841</v>
      </c>
      <c r="S60">
        <v>1462.3665049366934</v>
      </c>
    </row>
    <row r="61" spans="1:19" x14ac:dyDescent="0.25">
      <c r="A61" t="s">
        <v>1158</v>
      </c>
      <c r="B61" t="s">
        <v>543</v>
      </c>
      <c r="C61">
        <v>4</v>
      </c>
      <c r="E61">
        <v>2203.1999999999998</v>
      </c>
      <c r="F61" t="s">
        <v>1094</v>
      </c>
      <c r="G61" t="s">
        <v>1091</v>
      </c>
      <c r="I61" t="s">
        <v>1092</v>
      </c>
      <c r="J61" t="s">
        <v>1137</v>
      </c>
      <c r="K61">
        <f t="shared" si="9"/>
        <v>1605.588976699155</v>
      </c>
      <c r="L61">
        <f t="shared" si="9"/>
        <v>1298.7808427067912</v>
      </c>
      <c r="M61">
        <f t="shared" si="9"/>
        <v>1941.586835607947</v>
      </c>
      <c r="O61">
        <v>2.8</v>
      </c>
      <c r="P61">
        <v>1167.5999999999999</v>
      </c>
      <c r="Q61">
        <v>1225.8012635489538</v>
      </c>
      <c r="R61">
        <v>1005.1325229288841</v>
      </c>
      <c r="S61">
        <v>1462.3665049366934</v>
      </c>
    </row>
    <row r="62" spans="1:19" x14ac:dyDescent="0.25">
      <c r="A62" t="s">
        <v>1158</v>
      </c>
      <c r="B62" t="s">
        <v>543</v>
      </c>
      <c r="C62">
        <v>6</v>
      </c>
      <c r="E62">
        <v>2548</v>
      </c>
      <c r="F62" t="s">
        <v>1094</v>
      </c>
      <c r="G62" t="s">
        <v>1091</v>
      </c>
      <c r="I62" t="s">
        <v>1092</v>
      </c>
      <c r="J62" t="s">
        <v>1137</v>
      </c>
      <c r="K62">
        <f t="shared" si="9"/>
        <v>2182.1401169096625</v>
      </c>
      <c r="L62">
        <f t="shared" si="9"/>
        <v>1738.1011736389169</v>
      </c>
      <c r="M62">
        <f t="shared" si="9"/>
        <v>2679.7639616789374</v>
      </c>
      <c r="O62">
        <v>3</v>
      </c>
      <c r="P62">
        <v>2014.8</v>
      </c>
      <c r="Q62">
        <v>1291.4965067099895</v>
      </c>
      <c r="R62">
        <v>1056.2212431295527</v>
      </c>
      <c r="S62">
        <v>1544.7848612202818</v>
      </c>
    </row>
    <row r="63" spans="1:19" x14ac:dyDescent="0.25">
      <c r="A63" t="s">
        <v>1158</v>
      </c>
      <c r="B63" t="s">
        <v>543</v>
      </c>
      <c r="C63">
        <v>8</v>
      </c>
      <c r="E63">
        <v>3056.4</v>
      </c>
      <c r="F63" t="s">
        <v>1094</v>
      </c>
      <c r="G63" t="s">
        <v>1091</v>
      </c>
      <c r="I63" t="s">
        <v>1092</v>
      </c>
      <c r="J63" t="s">
        <v>1137</v>
      </c>
      <c r="K63">
        <f t="shared" si="9"/>
        <v>2712.8374711972119</v>
      </c>
      <c r="L63">
        <f t="shared" si="9"/>
        <v>2137.2534605721125</v>
      </c>
      <c r="M63">
        <f t="shared" si="9"/>
        <v>3368.1029385686684</v>
      </c>
      <c r="O63">
        <v>3</v>
      </c>
      <c r="P63">
        <v>1302</v>
      </c>
      <c r="Q63">
        <v>1291.4965067099895</v>
      </c>
      <c r="R63">
        <v>1056.2212431295527</v>
      </c>
      <c r="S63">
        <v>1544.7848612202818</v>
      </c>
    </row>
    <row r="64" spans="1:19" x14ac:dyDescent="0.25">
      <c r="A64" t="s">
        <v>1158</v>
      </c>
      <c r="B64" t="s">
        <v>543</v>
      </c>
      <c r="C64">
        <v>10</v>
      </c>
      <c r="E64">
        <v>3202.8</v>
      </c>
      <c r="F64" t="s">
        <v>1094</v>
      </c>
      <c r="G64" t="s">
        <v>1091</v>
      </c>
      <c r="I64" t="s">
        <v>1092</v>
      </c>
      <c r="J64" t="s">
        <v>1137</v>
      </c>
      <c r="K64">
        <f t="shared" si="9"/>
        <v>3211.8524237700763</v>
      </c>
      <c r="L64">
        <f t="shared" si="9"/>
        <v>2508.9705537546547</v>
      </c>
      <c r="M64">
        <f t="shared" si="9"/>
        <v>4021.6080691644311</v>
      </c>
      <c r="O64">
        <v>3.8</v>
      </c>
      <c r="P64">
        <v>1339.2</v>
      </c>
      <c r="Q64">
        <v>1544.4641428458358</v>
      </c>
      <c r="R64">
        <v>1251.7801394588223</v>
      </c>
      <c r="S64">
        <v>1864.0337348223327</v>
      </c>
    </row>
    <row r="65" spans="1:19" x14ac:dyDescent="0.25">
      <c r="A65" t="s">
        <v>1158</v>
      </c>
      <c r="B65" t="s">
        <v>543</v>
      </c>
      <c r="C65">
        <v>14</v>
      </c>
      <c r="E65">
        <v>4396.8</v>
      </c>
      <c r="F65" t="s">
        <v>1094</v>
      </c>
      <c r="G65" t="s">
        <v>1091</v>
      </c>
      <c r="I65" t="s">
        <v>1092</v>
      </c>
      <c r="J65" t="s">
        <v>1137</v>
      </c>
      <c r="K65">
        <f t="shared" si="9"/>
        <v>4143.1500957700355</v>
      </c>
      <c r="L65">
        <f t="shared" si="9"/>
        <v>3195.2376927964729</v>
      </c>
      <c r="M65">
        <f t="shared" si="9"/>
        <v>5254.4552001654165</v>
      </c>
      <c r="O65">
        <v>3.8</v>
      </c>
      <c r="P65">
        <v>1383.6</v>
      </c>
      <c r="Q65">
        <v>1544.4641428458358</v>
      </c>
      <c r="R65">
        <v>1251.7801394588223</v>
      </c>
      <c r="S65">
        <v>1864.0337348223327</v>
      </c>
    </row>
    <row r="66" spans="1:19" x14ac:dyDescent="0.25">
      <c r="A66" t="s">
        <v>1158</v>
      </c>
      <c r="B66" t="s">
        <v>543</v>
      </c>
      <c r="C66">
        <v>18</v>
      </c>
      <c r="E66">
        <v>5538</v>
      </c>
      <c r="F66" t="s">
        <v>1094</v>
      </c>
      <c r="G66" t="s">
        <v>1091</v>
      </c>
      <c r="I66" t="s">
        <v>1092</v>
      </c>
      <c r="J66" t="s">
        <v>1137</v>
      </c>
      <c r="K66">
        <f t="shared" si="9"/>
        <v>5010.952511508096</v>
      </c>
      <c r="L66">
        <f t="shared" si="9"/>
        <v>3827.6691023667186</v>
      </c>
      <c r="M66">
        <f t="shared" si="9"/>
        <v>6416.0066205709018</v>
      </c>
      <c r="O66">
        <v>4</v>
      </c>
      <c r="P66">
        <v>2203.1999999999998</v>
      </c>
      <c r="Q66">
        <v>1605.588976699155</v>
      </c>
      <c r="R66">
        <v>1298.7808427067912</v>
      </c>
      <c r="S66">
        <v>1941.586835607947</v>
      </c>
    </row>
    <row r="67" spans="1:19" x14ac:dyDescent="0.25">
      <c r="A67" t="s">
        <v>1158</v>
      </c>
      <c r="B67" t="s">
        <v>543</v>
      </c>
      <c r="C67">
        <v>20</v>
      </c>
      <c r="E67">
        <v>5598</v>
      </c>
      <c r="F67" t="s">
        <v>1094</v>
      </c>
      <c r="G67" t="s">
        <v>1091</v>
      </c>
      <c r="I67" t="s">
        <v>1092</v>
      </c>
      <c r="J67" t="s">
        <v>1137</v>
      </c>
      <c r="K67">
        <f t="shared" si="9"/>
        <v>5426.814541958378</v>
      </c>
      <c r="L67">
        <f t="shared" si="9"/>
        <v>4128.7227391728957</v>
      </c>
      <c r="M67">
        <f t="shared" si="9"/>
        <v>6976.3503270163737</v>
      </c>
      <c r="O67">
        <v>4</v>
      </c>
      <c r="P67">
        <v>1570.8</v>
      </c>
      <c r="Q67">
        <v>1605.588976699155</v>
      </c>
      <c r="R67">
        <v>1298.7808427067912</v>
      </c>
      <c r="S67">
        <v>1941.586835607947</v>
      </c>
    </row>
    <row r="68" spans="1:19" x14ac:dyDescent="0.25">
      <c r="A68" t="s">
        <v>1158</v>
      </c>
      <c r="B68" t="s">
        <v>543</v>
      </c>
      <c r="C68">
        <v>22</v>
      </c>
      <c r="E68">
        <v>5829.6</v>
      </c>
      <c r="F68" t="s">
        <v>1094</v>
      </c>
      <c r="G68" t="s">
        <v>1091</v>
      </c>
      <c r="I68" t="s">
        <v>1092</v>
      </c>
      <c r="J68" t="s">
        <v>1137</v>
      </c>
      <c r="K68">
        <f t="shared" si="9"/>
        <v>5832.662200733258</v>
      </c>
      <c r="L68">
        <f t="shared" si="9"/>
        <v>4421.4070840022086</v>
      </c>
      <c r="M68">
        <f t="shared" si="9"/>
        <v>7525.2866590248523</v>
      </c>
      <c r="O68">
        <v>4.8</v>
      </c>
      <c r="P68">
        <v>1723.2</v>
      </c>
      <c r="Q68">
        <v>1843.1081804208613</v>
      </c>
      <c r="R68">
        <v>1480.5924057678205</v>
      </c>
      <c r="S68">
        <v>2244.3064363247422</v>
      </c>
    </row>
    <row r="69" spans="1:19" x14ac:dyDescent="0.25">
      <c r="A69" t="s">
        <v>1158</v>
      </c>
      <c r="B69" t="s">
        <v>543</v>
      </c>
      <c r="C69">
        <v>25</v>
      </c>
      <c r="E69">
        <v>6134.4</v>
      </c>
      <c r="F69" t="s">
        <v>1094</v>
      </c>
      <c r="G69" t="s">
        <v>1091</v>
      </c>
      <c r="I69" t="s">
        <v>1092</v>
      </c>
      <c r="J69" t="s">
        <v>1137</v>
      </c>
      <c r="K69">
        <f t="shared" si="9"/>
        <v>6425.054071612908</v>
      </c>
      <c r="L69">
        <f t="shared" si="9"/>
        <v>4846.8017332998679</v>
      </c>
      <c r="M69">
        <f t="shared" si="9"/>
        <v>8329.9552537933632</v>
      </c>
      <c r="O69">
        <v>4.8</v>
      </c>
      <c r="P69">
        <v>1773.6</v>
      </c>
      <c r="Q69">
        <v>1843.1081804208613</v>
      </c>
      <c r="R69">
        <v>1480.5924057678205</v>
      </c>
      <c r="S69">
        <v>2244.3064363247422</v>
      </c>
    </row>
    <row r="70" spans="1:19" x14ac:dyDescent="0.25">
      <c r="A70" t="s">
        <v>1158</v>
      </c>
      <c r="B70" t="s">
        <v>543</v>
      </c>
      <c r="C70">
        <v>30</v>
      </c>
      <c r="E70">
        <v>7177.2</v>
      </c>
      <c r="F70" t="s">
        <v>1094</v>
      </c>
      <c r="G70" t="s">
        <v>1091</v>
      </c>
      <c r="I70" t="s">
        <v>1092</v>
      </c>
      <c r="J70" t="s">
        <v>1137</v>
      </c>
      <c r="K70">
        <f t="shared" si="9"/>
        <v>7375.5300334594967</v>
      </c>
      <c r="L70">
        <f t="shared" si="9"/>
        <v>5525.2877180035175</v>
      </c>
      <c r="M70">
        <f t="shared" si="9"/>
        <v>9628.7077392198171</v>
      </c>
      <c r="O70">
        <v>5</v>
      </c>
      <c r="P70">
        <v>2036.4</v>
      </c>
      <c r="Q70">
        <v>1900.9302625541663</v>
      </c>
      <c r="R70">
        <v>1524.6684355629552</v>
      </c>
      <c r="S70">
        <v>2318.3083853080266</v>
      </c>
    </row>
    <row r="71" spans="1:19" x14ac:dyDescent="0.25">
      <c r="A71" t="s">
        <v>1158</v>
      </c>
      <c r="B71" t="s">
        <v>543</v>
      </c>
      <c r="C71">
        <v>36</v>
      </c>
      <c r="E71">
        <v>7128</v>
      </c>
      <c r="F71" t="s">
        <v>1094</v>
      </c>
      <c r="G71" t="s">
        <v>1091</v>
      </c>
      <c r="I71" t="s">
        <v>1092</v>
      </c>
      <c r="J71" t="s">
        <v>1137</v>
      </c>
      <c r="K71">
        <f t="shared" si="9"/>
        <v>8466.6125246798329</v>
      </c>
      <c r="L71">
        <f t="shared" si="9"/>
        <v>6298.7524653572909</v>
      </c>
      <c r="M71">
        <f t="shared" si="9"/>
        <v>11129.953271368602</v>
      </c>
      <c r="O71">
        <v>5.7</v>
      </c>
      <c r="P71">
        <v>2107.1999999999998</v>
      </c>
      <c r="Q71">
        <v>2099.0659590607593</v>
      </c>
      <c r="R71">
        <v>1675.2022034732538</v>
      </c>
      <c r="S71">
        <v>2572.725738721133</v>
      </c>
    </row>
    <row r="72" spans="1:19" x14ac:dyDescent="0.25">
      <c r="A72" t="s">
        <v>1158</v>
      </c>
      <c r="B72" t="s">
        <v>543</v>
      </c>
      <c r="C72">
        <v>40</v>
      </c>
      <c r="E72">
        <v>9194.4</v>
      </c>
      <c r="F72" t="s">
        <v>1094</v>
      </c>
      <c r="G72" t="s">
        <v>1091</v>
      </c>
      <c r="I72" t="s">
        <v>1092</v>
      </c>
      <c r="J72" t="s">
        <v>1137</v>
      </c>
      <c r="K72">
        <f t="shared" si="9"/>
        <v>9169.2619047054832</v>
      </c>
      <c r="L72">
        <f t="shared" si="9"/>
        <v>6794.1616259519706</v>
      </c>
      <c r="M72">
        <f t="shared" si="9"/>
        <v>12101.990807715265</v>
      </c>
      <c r="O72">
        <v>5.7</v>
      </c>
      <c r="P72">
        <v>2158.8000000000002</v>
      </c>
      <c r="Q72">
        <v>2099.0659590607593</v>
      </c>
      <c r="R72">
        <v>1675.2022034732538</v>
      </c>
      <c r="S72">
        <v>2572.725738721133</v>
      </c>
    </row>
    <row r="73" spans="1:19" x14ac:dyDescent="0.25">
      <c r="A73" t="s">
        <v>1158</v>
      </c>
      <c r="B73" t="s">
        <v>543</v>
      </c>
      <c r="C73">
        <v>45</v>
      </c>
      <c r="E73">
        <v>9922.7999999999993</v>
      </c>
      <c r="F73" t="s">
        <v>1094</v>
      </c>
      <c r="G73" t="s">
        <v>1091</v>
      </c>
      <c r="I73" s="4" t="s">
        <v>1092</v>
      </c>
      <c r="J73" t="s">
        <v>1137</v>
      </c>
      <c r="K73">
        <f t="shared" si="9"/>
        <v>10024.010006951921</v>
      </c>
      <c r="L73">
        <f t="shared" si="9"/>
        <v>7394.2490923564274</v>
      </c>
      <c r="M73">
        <f t="shared" si="9"/>
        <v>13289.472056510442</v>
      </c>
      <c r="O73">
        <v>6</v>
      </c>
      <c r="P73">
        <v>2548</v>
      </c>
      <c r="Q73">
        <v>2182.1401169096625</v>
      </c>
      <c r="R73">
        <v>1738.1011736389169</v>
      </c>
      <c r="S73">
        <v>2679.7639616789374</v>
      </c>
    </row>
    <row r="74" spans="1:19" x14ac:dyDescent="0.25">
      <c r="A74" t="s">
        <v>1158</v>
      </c>
      <c r="B74" t="s">
        <v>543</v>
      </c>
      <c r="C74">
        <v>50</v>
      </c>
      <c r="E74">
        <v>10726.8</v>
      </c>
      <c r="F74" t="s">
        <v>1094</v>
      </c>
      <c r="G74" t="s">
        <v>1091</v>
      </c>
      <c r="I74" t="s">
        <v>1092</v>
      </c>
      <c r="J74" t="s">
        <v>1137</v>
      </c>
      <c r="K74">
        <f t="shared" si="9"/>
        <v>10855.908761763787</v>
      </c>
      <c r="L74">
        <f t="shared" si="9"/>
        <v>7975.8211982963758</v>
      </c>
      <c r="M74">
        <f t="shared" si="9"/>
        <v>14450.111761116292</v>
      </c>
      <c r="O74">
        <v>6</v>
      </c>
      <c r="P74">
        <v>2874</v>
      </c>
      <c r="Q74">
        <v>2182.1401169096625</v>
      </c>
      <c r="R74">
        <v>1738.1011736389169</v>
      </c>
      <c r="S74">
        <v>2679.7639616789374</v>
      </c>
    </row>
    <row r="75" spans="1:19" x14ac:dyDescent="0.25">
      <c r="A75" t="s">
        <v>1158</v>
      </c>
      <c r="B75" t="s">
        <v>543</v>
      </c>
      <c r="C75">
        <v>54</v>
      </c>
      <c r="E75">
        <v>11637.6</v>
      </c>
      <c r="F75" t="s">
        <v>1094</v>
      </c>
      <c r="G75" t="s">
        <v>1091</v>
      </c>
      <c r="I75" t="s">
        <v>1092</v>
      </c>
      <c r="J75" t="s">
        <v>1137</v>
      </c>
      <c r="K75">
        <f t="shared" si="9"/>
        <v>11506.889442163536</v>
      </c>
      <c r="L75">
        <f t="shared" si="9"/>
        <v>8429.3428825775227</v>
      </c>
      <c r="M75">
        <f t="shared" si="9"/>
        <v>15361.480169103654</v>
      </c>
      <c r="O75">
        <v>7.15</v>
      </c>
      <c r="P75">
        <v>2642.4</v>
      </c>
      <c r="Q75">
        <v>2491.7758030452678</v>
      </c>
      <c r="R75">
        <v>1971.5140931911058</v>
      </c>
      <c r="S75">
        <v>3080.4683783670926</v>
      </c>
    </row>
    <row r="76" spans="1:19" x14ac:dyDescent="0.25">
      <c r="A76" t="s">
        <v>1158</v>
      </c>
      <c r="B76" t="s">
        <v>543</v>
      </c>
      <c r="C76">
        <v>60</v>
      </c>
      <c r="E76">
        <v>13182</v>
      </c>
      <c r="F76" t="s">
        <v>1094</v>
      </c>
      <c r="G76" t="s">
        <v>1091</v>
      </c>
      <c r="I76" t="s">
        <v>1092</v>
      </c>
      <c r="J76" t="s">
        <v>1137</v>
      </c>
      <c r="K76">
        <f t="shared" si="9"/>
        <v>12461.853273210672</v>
      </c>
      <c r="L76">
        <f t="shared" si="9"/>
        <v>9092.3271329969575</v>
      </c>
      <c r="M76">
        <f t="shared" si="9"/>
        <v>16703.079273263902</v>
      </c>
      <c r="O76">
        <v>7.15</v>
      </c>
      <c r="P76">
        <v>2696.4</v>
      </c>
      <c r="Q76">
        <v>2491.7758030452678</v>
      </c>
      <c r="R76">
        <v>1971.5140931911058</v>
      </c>
      <c r="S76">
        <v>3080.4683783670926</v>
      </c>
    </row>
    <row r="77" spans="1:19" x14ac:dyDescent="0.25">
      <c r="A77" t="s">
        <v>1158</v>
      </c>
      <c r="B77" t="s">
        <v>543</v>
      </c>
      <c r="C77">
        <v>65</v>
      </c>
      <c r="E77">
        <v>15301.2</v>
      </c>
      <c r="F77" t="s">
        <v>1094</v>
      </c>
      <c r="G77" t="s">
        <v>1091</v>
      </c>
      <c r="I77" t="s">
        <v>1092</v>
      </c>
      <c r="J77" t="s">
        <v>1137</v>
      </c>
      <c r="K77">
        <f t="shared" si="9"/>
        <v>13239.973606145999</v>
      </c>
      <c r="L77">
        <f t="shared" si="9"/>
        <v>9630.6389676452491</v>
      </c>
      <c r="M77">
        <f t="shared" si="9"/>
        <v>17800.081391328917</v>
      </c>
      <c r="O77">
        <v>8</v>
      </c>
      <c r="P77">
        <v>3056.4</v>
      </c>
      <c r="Q77">
        <v>2712.8374711972119</v>
      </c>
      <c r="R77">
        <v>2137.2534605721125</v>
      </c>
      <c r="S77">
        <v>3368.1029385686684</v>
      </c>
    </row>
    <row r="78" spans="1:19" x14ac:dyDescent="0.25">
      <c r="A78" t="s">
        <v>1158</v>
      </c>
      <c r="B78" t="s">
        <v>543</v>
      </c>
      <c r="C78">
        <v>70</v>
      </c>
      <c r="E78">
        <v>16114.8</v>
      </c>
      <c r="F78" t="s">
        <v>1094</v>
      </c>
      <c r="G78" t="s">
        <v>1091</v>
      </c>
      <c r="I78" t="s">
        <v>1092</v>
      </c>
      <c r="J78" t="s">
        <v>1137</v>
      </c>
      <c r="K78">
        <f t="shared" ref="K78:M97" si="10">K$54*($C78^K$55)</f>
        <v>14003.650694877695</v>
      </c>
      <c r="L78">
        <f t="shared" si="10"/>
        <v>10157.41076979327</v>
      </c>
      <c r="M78">
        <f t="shared" si="10"/>
        <v>18879.876800611364</v>
      </c>
      <c r="O78">
        <v>8</v>
      </c>
      <c r="P78">
        <v>3462</v>
      </c>
      <c r="Q78">
        <v>2712.8374711972119</v>
      </c>
      <c r="R78">
        <v>2137.2534605721125</v>
      </c>
      <c r="S78">
        <v>3368.1029385686684</v>
      </c>
    </row>
    <row r="79" spans="1:19" x14ac:dyDescent="0.25">
      <c r="A79" t="s">
        <v>1158</v>
      </c>
      <c r="B79" t="s">
        <v>543</v>
      </c>
      <c r="C79">
        <v>84</v>
      </c>
      <c r="E79">
        <v>18202.8</v>
      </c>
      <c r="F79" t="s">
        <v>1094</v>
      </c>
      <c r="G79" t="s">
        <v>1091</v>
      </c>
      <c r="I79" t="s">
        <v>1092</v>
      </c>
      <c r="J79" t="s">
        <v>1137</v>
      </c>
      <c r="K79">
        <f t="shared" si="10"/>
        <v>16075.249348402513</v>
      </c>
      <c r="L79">
        <f t="shared" si="10"/>
        <v>11579.309421193348</v>
      </c>
      <c r="M79">
        <f t="shared" si="10"/>
        <v>21823.504487947725</v>
      </c>
      <c r="O79">
        <v>9.15</v>
      </c>
      <c r="P79">
        <v>2782</v>
      </c>
      <c r="Q79">
        <v>3003.0524969197154</v>
      </c>
      <c r="R79">
        <v>2353.8173650747231</v>
      </c>
      <c r="S79">
        <v>3747.4952156567315</v>
      </c>
    </row>
    <row r="80" spans="1:19" x14ac:dyDescent="0.25">
      <c r="A80" t="s">
        <v>1158</v>
      </c>
      <c r="C80">
        <v>2.8</v>
      </c>
      <c r="E80">
        <v>1140</v>
      </c>
      <c r="F80" t="s">
        <v>1095</v>
      </c>
      <c r="G80" t="s">
        <v>1091</v>
      </c>
      <c r="I80" t="s">
        <v>1092</v>
      </c>
      <c r="J80" t="s">
        <v>1137</v>
      </c>
      <c r="K80">
        <f t="shared" si="10"/>
        <v>1225.8012635489538</v>
      </c>
      <c r="L80">
        <f t="shared" si="10"/>
        <v>1005.1325229288841</v>
      </c>
      <c r="M80">
        <f t="shared" si="10"/>
        <v>1462.3665049366934</v>
      </c>
      <c r="O80">
        <v>9.15</v>
      </c>
      <c r="P80">
        <v>3428.4</v>
      </c>
      <c r="Q80">
        <v>3003.0524969197154</v>
      </c>
      <c r="R80">
        <v>2353.8173650747231</v>
      </c>
      <c r="S80">
        <v>3747.4952156567315</v>
      </c>
    </row>
    <row r="81" spans="1:19" x14ac:dyDescent="0.25">
      <c r="A81" t="s">
        <v>1158</v>
      </c>
      <c r="C81">
        <v>3.8</v>
      </c>
      <c r="E81">
        <v>1339.2</v>
      </c>
      <c r="F81" t="s">
        <v>1095</v>
      </c>
      <c r="G81" t="s">
        <v>1091</v>
      </c>
      <c r="I81" t="s">
        <v>1092</v>
      </c>
      <c r="J81" t="s">
        <v>1137</v>
      </c>
      <c r="K81">
        <f t="shared" si="10"/>
        <v>1544.4641428458358</v>
      </c>
      <c r="L81">
        <f t="shared" si="10"/>
        <v>1251.7801394588223</v>
      </c>
      <c r="M81">
        <f t="shared" si="10"/>
        <v>1864.0337348223327</v>
      </c>
      <c r="O81">
        <v>10</v>
      </c>
      <c r="P81">
        <v>3202.8</v>
      </c>
      <c r="Q81">
        <v>3211.8524237700763</v>
      </c>
      <c r="R81">
        <v>2508.9705537546547</v>
      </c>
      <c r="S81">
        <v>4021.6080691644311</v>
      </c>
    </row>
    <row r="82" spans="1:19" x14ac:dyDescent="0.25">
      <c r="A82" t="s">
        <v>1158</v>
      </c>
      <c r="C82">
        <v>4.8</v>
      </c>
      <c r="E82">
        <v>1723.2</v>
      </c>
      <c r="F82" t="s">
        <v>1095</v>
      </c>
      <c r="G82" t="s">
        <v>1091</v>
      </c>
      <c r="I82" t="s">
        <v>1092</v>
      </c>
      <c r="J82" t="s">
        <v>1137</v>
      </c>
      <c r="K82">
        <f t="shared" si="10"/>
        <v>1843.1081804208613</v>
      </c>
      <c r="L82">
        <f t="shared" si="10"/>
        <v>1480.5924057678205</v>
      </c>
      <c r="M82">
        <f t="shared" si="10"/>
        <v>2244.3064363247422</v>
      </c>
      <c r="O82">
        <v>10</v>
      </c>
      <c r="P82">
        <v>3362.4</v>
      </c>
      <c r="Q82">
        <v>3211.8524237700763</v>
      </c>
      <c r="R82">
        <v>2508.9705537546547</v>
      </c>
      <c r="S82">
        <v>4021.6080691644311</v>
      </c>
    </row>
    <row r="83" spans="1:19" x14ac:dyDescent="0.25">
      <c r="A83" t="s">
        <v>1158</v>
      </c>
      <c r="C83">
        <v>5.7</v>
      </c>
      <c r="E83">
        <v>2107.1999999999998</v>
      </c>
      <c r="F83" t="s">
        <v>1095</v>
      </c>
      <c r="G83" t="s">
        <v>1091</v>
      </c>
      <c r="I83" t="s">
        <v>1092</v>
      </c>
      <c r="J83" t="s">
        <v>1137</v>
      </c>
      <c r="K83">
        <f t="shared" si="10"/>
        <v>2099.0659590607593</v>
      </c>
      <c r="L83">
        <f t="shared" si="10"/>
        <v>1675.2022034732538</v>
      </c>
      <c r="M83">
        <f t="shared" si="10"/>
        <v>2572.725738721133</v>
      </c>
      <c r="O83">
        <v>10</v>
      </c>
      <c r="P83">
        <v>3445.2</v>
      </c>
      <c r="Q83">
        <v>3211.8524237700763</v>
      </c>
      <c r="R83">
        <v>2508.9705537546547</v>
      </c>
      <c r="S83">
        <v>4021.6080691644311</v>
      </c>
    </row>
    <row r="84" spans="1:19" x14ac:dyDescent="0.25">
      <c r="A84" t="s">
        <v>1158</v>
      </c>
      <c r="C84">
        <v>7.15</v>
      </c>
      <c r="E84">
        <v>2642.4</v>
      </c>
      <c r="F84" t="s">
        <v>1095</v>
      </c>
      <c r="G84" t="s">
        <v>1091</v>
      </c>
      <c r="I84" t="s">
        <v>1092</v>
      </c>
      <c r="J84" t="s">
        <v>1137</v>
      </c>
      <c r="K84">
        <f t="shared" si="10"/>
        <v>2491.7758030452678</v>
      </c>
      <c r="L84">
        <f t="shared" si="10"/>
        <v>1971.5140931911058</v>
      </c>
      <c r="M84">
        <f t="shared" si="10"/>
        <v>3080.4683783670926</v>
      </c>
      <c r="O84">
        <v>10</v>
      </c>
      <c r="P84">
        <v>4773.6000000000004</v>
      </c>
      <c r="Q84">
        <v>3211.8524237700763</v>
      </c>
      <c r="R84">
        <v>2508.9705537546547</v>
      </c>
      <c r="S84">
        <v>4021.6080691644311</v>
      </c>
    </row>
    <row r="85" spans="1:19" x14ac:dyDescent="0.25">
      <c r="A85" t="s">
        <v>1158</v>
      </c>
      <c r="C85">
        <v>9.15</v>
      </c>
      <c r="E85">
        <v>2782</v>
      </c>
      <c r="F85" t="s">
        <v>1095</v>
      </c>
      <c r="G85" t="s">
        <v>1091</v>
      </c>
      <c r="I85" t="s">
        <v>1092</v>
      </c>
      <c r="J85" t="s">
        <v>1137</v>
      </c>
      <c r="K85">
        <f t="shared" si="10"/>
        <v>3003.0524969197154</v>
      </c>
      <c r="L85">
        <f t="shared" si="10"/>
        <v>2353.8173650747231</v>
      </c>
      <c r="M85">
        <f t="shared" si="10"/>
        <v>3747.4952156567315</v>
      </c>
      <c r="O85">
        <v>12</v>
      </c>
      <c r="P85">
        <v>3490.8</v>
      </c>
      <c r="Q85">
        <v>3686.9906074750102</v>
      </c>
      <c r="R85">
        <v>2860.1921325250555</v>
      </c>
      <c r="S85">
        <v>4648.6310622183055</v>
      </c>
    </row>
    <row r="86" spans="1:19" x14ac:dyDescent="0.25">
      <c r="A86" t="s">
        <v>1158</v>
      </c>
      <c r="C86">
        <v>10</v>
      </c>
      <c r="E86">
        <v>3362.4</v>
      </c>
      <c r="F86" t="s">
        <v>1095</v>
      </c>
      <c r="G86" t="s">
        <v>1091</v>
      </c>
      <c r="I86" t="s">
        <v>1092</v>
      </c>
      <c r="J86" t="s">
        <v>1137</v>
      </c>
      <c r="K86">
        <f t="shared" si="10"/>
        <v>3211.8524237700763</v>
      </c>
      <c r="L86">
        <f t="shared" si="10"/>
        <v>2508.9705537546547</v>
      </c>
      <c r="M86">
        <f t="shared" si="10"/>
        <v>4021.6080691644311</v>
      </c>
      <c r="O86">
        <v>12</v>
      </c>
      <c r="P86">
        <v>3572.4</v>
      </c>
      <c r="Q86">
        <v>3686.9906074750102</v>
      </c>
      <c r="R86">
        <v>2860.1921325250555</v>
      </c>
      <c r="S86">
        <v>4648.6310622183055</v>
      </c>
    </row>
    <row r="87" spans="1:19" x14ac:dyDescent="0.25">
      <c r="A87" t="s">
        <v>1158</v>
      </c>
      <c r="C87">
        <v>12</v>
      </c>
      <c r="E87">
        <v>3490.8</v>
      </c>
      <c r="F87" t="s">
        <v>1095</v>
      </c>
      <c r="G87" t="s">
        <v>1091</v>
      </c>
      <c r="I87" t="s">
        <v>1092</v>
      </c>
      <c r="J87" t="s">
        <v>1137</v>
      </c>
      <c r="K87">
        <f t="shared" si="10"/>
        <v>3686.9906074750102</v>
      </c>
      <c r="L87">
        <f t="shared" si="10"/>
        <v>2860.1921325250555</v>
      </c>
      <c r="M87">
        <f t="shared" si="10"/>
        <v>4648.6310622183055</v>
      </c>
      <c r="O87">
        <v>14</v>
      </c>
      <c r="P87">
        <v>4396.8</v>
      </c>
      <c r="Q87">
        <v>4143.1500957700355</v>
      </c>
      <c r="R87">
        <v>3195.2376927964729</v>
      </c>
      <c r="S87">
        <v>5254.4552001654165</v>
      </c>
    </row>
    <row r="88" spans="1:19" x14ac:dyDescent="0.25">
      <c r="A88" t="s">
        <v>1158</v>
      </c>
      <c r="C88">
        <v>15</v>
      </c>
      <c r="E88">
        <v>3726</v>
      </c>
      <c r="F88" t="s">
        <v>1095</v>
      </c>
      <c r="G88" t="s">
        <v>1091</v>
      </c>
      <c r="I88" t="s">
        <v>1092</v>
      </c>
      <c r="J88" t="s">
        <v>1137</v>
      </c>
      <c r="K88">
        <f t="shared" si="10"/>
        <v>4365.1968998386228</v>
      </c>
      <c r="L88">
        <f t="shared" si="10"/>
        <v>3357.6447393680405</v>
      </c>
      <c r="M88">
        <f t="shared" si="10"/>
        <v>5550.5940677485023</v>
      </c>
      <c r="O88">
        <v>15</v>
      </c>
      <c r="P88">
        <v>3726</v>
      </c>
      <c r="Q88">
        <v>4365.1968998386228</v>
      </c>
      <c r="R88">
        <v>3357.6447393680405</v>
      </c>
      <c r="S88">
        <v>5550.5940677485023</v>
      </c>
    </row>
    <row r="89" spans="1:19" x14ac:dyDescent="0.25">
      <c r="A89" t="s">
        <v>1158</v>
      </c>
      <c r="C89">
        <v>18</v>
      </c>
      <c r="E89">
        <v>4917.6000000000004</v>
      </c>
      <c r="F89" t="s">
        <v>1095</v>
      </c>
      <c r="G89" t="s">
        <v>1091</v>
      </c>
      <c r="I89" t="s">
        <v>1092</v>
      </c>
      <c r="J89" t="s">
        <v>1137</v>
      </c>
      <c r="K89">
        <f t="shared" si="10"/>
        <v>5010.952511508096</v>
      </c>
      <c r="L89">
        <f t="shared" si="10"/>
        <v>3827.6691023667186</v>
      </c>
      <c r="M89">
        <f t="shared" si="10"/>
        <v>6416.0066205709018</v>
      </c>
      <c r="O89">
        <v>15</v>
      </c>
      <c r="P89">
        <v>3808.8</v>
      </c>
      <c r="Q89">
        <v>4365.1968998386228</v>
      </c>
      <c r="R89">
        <v>3357.6447393680405</v>
      </c>
      <c r="S89">
        <v>5550.5940677485023</v>
      </c>
    </row>
    <row r="90" spans="1:19" x14ac:dyDescent="0.25">
      <c r="A90" t="s">
        <v>1158</v>
      </c>
      <c r="C90">
        <v>22</v>
      </c>
      <c r="E90">
        <v>5871.6</v>
      </c>
      <c r="F90" t="s">
        <v>1095</v>
      </c>
      <c r="G90" t="s">
        <v>1091</v>
      </c>
      <c r="I90" t="s">
        <v>1092</v>
      </c>
      <c r="J90" t="s">
        <v>1137</v>
      </c>
      <c r="K90">
        <f t="shared" si="10"/>
        <v>5832.662200733258</v>
      </c>
      <c r="L90">
        <f t="shared" si="10"/>
        <v>4421.4070840022086</v>
      </c>
      <c r="M90">
        <f t="shared" si="10"/>
        <v>7525.2866590248523</v>
      </c>
      <c r="O90">
        <v>18</v>
      </c>
      <c r="P90">
        <v>5538</v>
      </c>
      <c r="Q90">
        <v>5010.952511508096</v>
      </c>
      <c r="R90">
        <v>3827.6691023667186</v>
      </c>
      <c r="S90">
        <v>6416.0066205709018</v>
      </c>
    </row>
    <row r="91" spans="1:19" x14ac:dyDescent="0.25">
      <c r="A91" t="s">
        <v>1158</v>
      </c>
      <c r="C91">
        <v>26</v>
      </c>
      <c r="E91">
        <v>6372</v>
      </c>
      <c r="F91" t="s">
        <v>1095</v>
      </c>
      <c r="G91" t="s">
        <v>1091</v>
      </c>
      <c r="I91" t="s">
        <v>1092</v>
      </c>
      <c r="J91" t="s">
        <v>1137</v>
      </c>
      <c r="K91">
        <f t="shared" si="10"/>
        <v>6618.5966442577619</v>
      </c>
      <c r="L91">
        <f t="shared" si="10"/>
        <v>4985.3472275650684</v>
      </c>
      <c r="M91">
        <f t="shared" si="10"/>
        <v>8593.67772984771</v>
      </c>
      <c r="O91">
        <v>18</v>
      </c>
      <c r="P91">
        <v>4917.6000000000004</v>
      </c>
      <c r="Q91">
        <v>5010.952511508096</v>
      </c>
      <c r="R91">
        <v>3827.6691023667186</v>
      </c>
      <c r="S91">
        <v>6416.0066205709018</v>
      </c>
    </row>
    <row r="92" spans="1:19" x14ac:dyDescent="0.25">
      <c r="A92" t="s">
        <v>1158</v>
      </c>
      <c r="C92">
        <v>34</v>
      </c>
      <c r="E92">
        <v>7645.2</v>
      </c>
      <c r="F92" t="s">
        <v>1095</v>
      </c>
      <c r="G92" t="s">
        <v>1091</v>
      </c>
      <c r="I92" t="s">
        <v>1092</v>
      </c>
      <c r="J92" t="s">
        <v>1137</v>
      </c>
      <c r="K92">
        <f t="shared" si="10"/>
        <v>8108.2228941780277</v>
      </c>
      <c r="L92">
        <f t="shared" si="10"/>
        <v>6045.2785126511899</v>
      </c>
      <c r="M92">
        <f t="shared" si="10"/>
        <v>10635.699026515453</v>
      </c>
      <c r="O92">
        <v>18</v>
      </c>
      <c r="P92">
        <v>5000.3999999999996</v>
      </c>
      <c r="Q92">
        <v>5010.952511508096</v>
      </c>
      <c r="R92">
        <v>3827.6691023667186</v>
      </c>
      <c r="S92">
        <v>6416.0066205709018</v>
      </c>
    </row>
    <row r="93" spans="1:19" x14ac:dyDescent="0.25">
      <c r="A93" t="s">
        <v>1158</v>
      </c>
      <c r="C93">
        <v>38</v>
      </c>
      <c r="E93">
        <v>8372.4</v>
      </c>
      <c r="F93" t="s">
        <v>1095</v>
      </c>
      <c r="G93" t="s">
        <v>1091</v>
      </c>
      <c r="I93" t="s">
        <v>1092</v>
      </c>
      <c r="J93" t="s">
        <v>1137</v>
      </c>
      <c r="K93">
        <f t="shared" si="10"/>
        <v>8820.1877527173892</v>
      </c>
      <c r="L93">
        <f t="shared" si="10"/>
        <v>6548.2922968859584</v>
      </c>
      <c r="M93">
        <f t="shared" si="10"/>
        <v>11618.599132614912</v>
      </c>
      <c r="O93">
        <v>20</v>
      </c>
      <c r="P93">
        <v>5598</v>
      </c>
      <c r="Q93">
        <v>5426.814541958378</v>
      </c>
      <c r="R93">
        <v>4128.7227391728957</v>
      </c>
      <c r="S93">
        <v>6976.3503270163737</v>
      </c>
    </row>
    <row r="94" spans="1:19" x14ac:dyDescent="0.25">
      <c r="A94" t="s">
        <v>1158</v>
      </c>
      <c r="C94">
        <v>46</v>
      </c>
      <c r="E94">
        <v>9826.7999999999993</v>
      </c>
      <c r="F94" t="s">
        <v>1095</v>
      </c>
      <c r="G94" t="s">
        <v>1091</v>
      </c>
      <c r="I94" t="s">
        <v>1092</v>
      </c>
      <c r="J94" t="s">
        <v>1137</v>
      </c>
      <c r="K94">
        <f t="shared" si="10"/>
        <v>10192.117777157981</v>
      </c>
      <c r="L94">
        <f t="shared" si="10"/>
        <v>7511.9613046860231</v>
      </c>
      <c r="M94">
        <f t="shared" si="10"/>
        <v>13523.633496348202</v>
      </c>
      <c r="O94">
        <v>22</v>
      </c>
      <c r="P94">
        <v>5829.6</v>
      </c>
      <c r="Q94">
        <v>5832.662200733258</v>
      </c>
      <c r="R94">
        <v>4421.4070840022086</v>
      </c>
      <c r="S94">
        <v>7525.2866590248523</v>
      </c>
    </row>
    <row r="95" spans="1:19" x14ac:dyDescent="0.25">
      <c r="A95" t="s">
        <v>1158</v>
      </c>
      <c r="C95">
        <v>54</v>
      </c>
      <c r="E95">
        <v>11462.4</v>
      </c>
      <c r="F95" t="s">
        <v>1095</v>
      </c>
      <c r="G95" t="s">
        <v>1091</v>
      </c>
      <c r="I95" t="s">
        <v>1092</v>
      </c>
      <c r="J95" t="s">
        <v>1137</v>
      </c>
      <c r="K95">
        <f t="shared" si="10"/>
        <v>11506.889442163536</v>
      </c>
      <c r="L95">
        <f t="shared" si="10"/>
        <v>8429.3428825775227</v>
      </c>
      <c r="M95">
        <f t="shared" si="10"/>
        <v>15361.480169103654</v>
      </c>
      <c r="O95">
        <v>22</v>
      </c>
      <c r="P95">
        <v>5871.6</v>
      </c>
      <c r="Q95">
        <v>5832.662200733258</v>
      </c>
      <c r="R95">
        <v>4421.4070840022086</v>
      </c>
      <c r="S95">
        <v>7525.2866590248523</v>
      </c>
    </row>
    <row r="96" spans="1:19" x14ac:dyDescent="0.25">
      <c r="A96" t="s">
        <v>1158</v>
      </c>
      <c r="C96">
        <v>59</v>
      </c>
      <c r="E96">
        <v>12280.8</v>
      </c>
      <c r="F96" t="s">
        <v>1095</v>
      </c>
      <c r="G96" t="s">
        <v>1091</v>
      </c>
      <c r="I96" t="s">
        <v>1092</v>
      </c>
      <c r="J96" t="s">
        <v>1137</v>
      </c>
      <c r="K96">
        <f t="shared" si="10"/>
        <v>12304.367660375879</v>
      </c>
      <c r="L96">
        <f t="shared" si="10"/>
        <v>8983.1741657616658</v>
      </c>
      <c r="M96">
        <f t="shared" si="10"/>
        <v>16481.465938760462</v>
      </c>
      <c r="O96">
        <v>22</v>
      </c>
      <c r="P96">
        <v>5954</v>
      </c>
      <c r="Q96">
        <v>5832.662200733258</v>
      </c>
      <c r="R96">
        <v>4421.4070840022086</v>
      </c>
      <c r="S96">
        <v>7525.2866590248523</v>
      </c>
    </row>
    <row r="97" spans="1:19" x14ac:dyDescent="0.25">
      <c r="A97" t="s">
        <v>1158</v>
      </c>
      <c r="C97">
        <v>63</v>
      </c>
      <c r="E97">
        <v>13099.2</v>
      </c>
      <c r="F97" t="s">
        <v>1095</v>
      </c>
      <c r="G97" t="s">
        <v>1091</v>
      </c>
      <c r="I97" t="s">
        <v>1092</v>
      </c>
      <c r="J97" t="s">
        <v>1137</v>
      </c>
      <c r="K97">
        <f t="shared" si="10"/>
        <v>12930.5374409306</v>
      </c>
      <c r="L97">
        <f t="shared" si="10"/>
        <v>9416.7639291209161</v>
      </c>
      <c r="M97">
        <f t="shared" si="10"/>
        <v>17363.436305540501</v>
      </c>
      <c r="O97">
        <v>25</v>
      </c>
      <c r="P97">
        <v>6134.4</v>
      </c>
      <c r="Q97">
        <v>6425.054071612908</v>
      </c>
      <c r="R97">
        <v>4846.8017332998679</v>
      </c>
      <c r="S97">
        <v>8329.9552537933632</v>
      </c>
    </row>
    <row r="98" spans="1:19" x14ac:dyDescent="0.25">
      <c r="A98" t="s">
        <v>1158</v>
      </c>
      <c r="C98">
        <v>71</v>
      </c>
      <c r="E98">
        <v>14372.4</v>
      </c>
      <c r="F98" t="s">
        <v>1095</v>
      </c>
      <c r="G98" t="s">
        <v>1091</v>
      </c>
      <c r="I98" t="s">
        <v>1092</v>
      </c>
      <c r="J98" t="s">
        <v>1137</v>
      </c>
      <c r="K98">
        <f t="shared" ref="K98:M117" si="11">K$54*($C98^K$55)</f>
        <v>14154.768628176853</v>
      </c>
      <c r="L98">
        <f t="shared" si="11"/>
        <v>10261.475526322043</v>
      </c>
      <c r="M98">
        <f t="shared" si="11"/>
        <v>19093.904819644664</v>
      </c>
      <c r="O98">
        <v>26</v>
      </c>
      <c r="P98">
        <v>6372</v>
      </c>
      <c r="Q98">
        <v>6618.5966442577619</v>
      </c>
      <c r="R98">
        <v>4985.3472275650684</v>
      </c>
      <c r="S98">
        <v>8593.67772984771</v>
      </c>
    </row>
    <row r="99" spans="1:19" x14ac:dyDescent="0.25">
      <c r="A99" t="s">
        <v>1158</v>
      </c>
      <c r="C99">
        <v>79</v>
      </c>
      <c r="E99">
        <v>15826.8</v>
      </c>
      <c r="F99" t="s">
        <v>1095</v>
      </c>
      <c r="G99" t="s">
        <v>1091</v>
      </c>
      <c r="I99" t="s">
        <v>1092</v>
      </c>
      <c r="J99" t="s">
        <v>1137</v>
      </c>
      <c r="K99">
        <f t="shared" si="11"/>
        <v>15345.816556388419</v>
      </c>
      <c r="L99">
        <f t="shared" si="11"/>
        <v>11079.760992639356</v>
      </c>
      <c r="M99">
        <f t="shared" si="11"/>
        <v>20784.711134135698</v>
      </c>
      <c r="O99">
        <v>26</v>
      </c>
      <c r="P99">
        <v>6454.8</v>
      </c>
      <c r="Q99">
        <v>6618.5966442577619</v>
      </c>
      <c r="R99">
        <v>4985.3472275650684</v>
      </c>
      <c r="S99">
        <v>8593.67772984771</v>
      </c>
    </row>
    <row r="100" spans="1:19" x14ac:dyDescent="0.25">
      <c r="A100" t="s">
        <v>1115</v>
      </c>
      <c r="C100">
        <v>38</v>
      </c>
      <c r="E100">
        <v>8454</v>
      </c>
      <c r="F100" t="s">
        <v>1095</v>
      </c>
      <c r="G100" t="s">
        <v>1091</v>
      </c>
      <c r="I100" s="4" t="s">
        <v>1156</v>
      </c>
      <c r="K100">
        <f t="shared" si="11"/>
        <v>8820.1877527173892</v>
      </c>
      <c r="L100">
        <f t="shared" si="11"/>
        <v>6548.2922968859584</v>
      </c>
      <c r="M100">
        <f t="shared" si="11"/>
        <v>11618.599132614912</v>
      </c>
      <c r="O100">
        <v>30</v>
      </c>
      <c r="P100">
        <v>7177.2</v>
      </c>
      <c r="Q100">
        <v>7375.5300334594967</v>
      </c>
      <c r="R100">
        <v>5525.2877180035175</v>
      </c>
      <c r="S100">
        <v>9628.7077392198171</v>
      </c>
    </row>
    <row r="101" spans="1:19" x14ac:dyDescent="0.25">
      <c r="A101" t="s">
        <v>1115</v>
      </c>
      <c r="C101">
        <v>34</v>
      </c>
      <c r="E101">
        <v>7726.8</v>
      </c>
      <c r="F101" t="s">
        <v>1095</v>
      </c>
      <c r="G101" t="s">
        <v>1091</v>
      </c>
      <c r="I101" s="4" t="s">
        <v>1156</v>
      </c>
      <c r="K101">
        <f t="shared" si="11"/>
        <v>8108.2228941780277</v>
      </c>
      <c r="L101">
        <f t="shared" si="11"/>
        <v>6045.2785126511899</v>
      </c>
      <c r="M101">
        <f t="shared" si="11"/>
        <v>10635.699026515453</v>
      </c>
      <c r="O101">
        <v>34</v>
      </c>
      <c r="P101">
        <v>7645.2</v>
      </c>
      <c r="Q101">
        <v>8108.2228941780277</v>
      </c>
      <c r="R101">
        <v>6045.2785126511899</v>
      </c>
      <c r="S101">
        <v>10635.699026515453</v>
      </c>
    </row>
    <row r="102" spans="1:19" x14ac:dyDescent="0.25">
      <c r="A102" t="s">
        <v>1115</v>
      </c>
      <c r="C102">
        <v>26</v>
      </c>
      <c r="E102">
        <v>6454.8</v>
      </c>
      <c r="F102" t="s">
        <v>1095</v>
      </c>
      <c r="G102" t="s">
        <v>1091</v>
      </c>
      <c r="I102" t="s">
        <v>1156</v>
      </c>
      <c r="K102">
        <f t="shared" si="11"/>
        <v>6618.5966442577619</v>
      </c>
      <c r="L102">
        <f t="shared" si="11"/>
        <v>4985.3472275650684</v>
      </c>
      <c r="M102">
        <f t="shared" si="11"/>
        <v>8593.67772984771</v>
      </c>
      <c r="O102">
        <v>34</v>
      </c>
      <c r="P102">
        <v>7726.8</v>
      </c>
      <c r="Q102">
        <v>8108.2228941780277</v>
      </c>
      <c r="R102">
        <v>6045.2785126511899</v>
      </c>
      <c r="S102">
        <v>10635.699026515453</v>
      </c>
    </row>
    <row r="103" spans="1:19" x14ac:dyDescent="0.25">
      <c r="A103" t="s">
        <v>1115</v>
      </c>
      <c r="C103">
        <v>22</v>
      </c>
      <c r="E103">
        <v>5954</v>
      </c>
      <c r="F103" t="s">
        <v>1095</v>
      </c>
      <c r="G103" t="s">
        <v>1091</v>
      </c>
      <c r="I103" t="s">
        <v>1156</v>
      </c>
      <c r="K103">
        <f t="shared" si="11"/>
        <v>5832.662200733258</v>
      </c>
      <c r="L103">
        <f t="shared" si="11"/>
        <v>4421.4070840022086</v>
      </c>
      <c r="M103">
        <f t="shared" si="11"/>
        <v>7525.2866590248523</v>
      </c>
      <c r="O103">
        <v>36</v>
      </c>
      <c r="P103">
        <v>7128</v>
      </c>
      <c r="Q103">
        <v>8466.6125246798329</v>
      </c>
      <c r="R103">
        <v>6298.7524653572909</v>
      </c>
      <c r="S103">
        <v>11129.953271368602</v>
      </c>
    </row>
    <row r="104" spans="1:19" x14ac:dyDescent="0.25">
      <c r="A104" t="s">
        <v>1115</v>
      </c>
      <c r="C104">
        <v>18</v>
      </c>
      <c r="E104">
        <v>5000.3999999999996</v>
      </c>
      <c r="F104" t="s">
        <v>1095</v>
      </c>
      <c r="G104" t="s">
        <v>1091</v>
      </c>
      <c r="I104" t="s">
        <v>1156</v>
      </c>
      <c r="K104">
        <f t="shared" si="11"/>
        <v>5010.952511508096</v>
      </c>
      <c r="L104">
        <f t="shared" si="11"/>
        <v>3827.6691023667186</v>
      </c>
      <c r="M104">
        <f t="shared" si="11"/>
        <v>6416.0066205709018</v>
      </c>
      <c r="O104">
        <v>38</v>
      </c>
      <c r="P104">
        <v>8372.4</v>
      </c>
      <c r="Q104">
        <v>8820.1877527173892</v>
      </c>
      <c r="R104">
        <v>6548.2922968859584</v>
      </c>
      <c r="S104">
        <v>11618.599132614912</v>
      </c>
    </row>
    <row r="105" spans="1:19" x14ac:dyDescent="0.25">
      <c r="A105" t="s">
        <v>1115</v>
      </c>
      <c r="C105">
        <v>15</v>
      </c>
      <c r="E105">
        <v>3808.8</v>
      </c>
      <c r="F105" t="s">
        <v>1095</v>
      </c>
      <c r="G105" t="s">
        <v>1091</v>
      </c>
      <c r="I105" t="s">
        <v>1156</v>
      </c>
      <c r="K105">
        <f t="shared" si="11"/>
        <v>4365.1968998386228</v>
      </c>
      <c r="L105">
        <f t="shared" si="11"/>
        <v>3357.6447393680405</v>
      </c>
      <c r="M105">
        <f t="shared" si="11"/>
        <v>5550.5940677485023</v>
      </c>
      <c r="O105">
        <v>38</v>
      </c>
      <c r="P105">
        <v>8454</v>
      </c>
      <c r="Q105">
        <v>8820.1877527173892</v>
      </c>
      <c r="R105">
        <v>6548.2922968859584</v>
      </c>
      <c r="S105">
        <v>11618.599132614912</v>
      </c>
    </row>
    <row r="106" spans="1:19" x14ac:dyDescent="0.25">
      <c r="A106" t="s">
        <v>1115</v>
      </c>
      <c r="C106">
        <v>12</v>
      </c>
      <c r="E106">
        <v>3572.4</v>
      </c>
      <c r="F106" t="s">
        <v>1095</v>
      </c>
      <c r="G106" t="s">
        <v>1091</v>
      </c>
      <c r="I106" t="s">
        <v>1156</v>
      </c>
      <c r="K106">
        <f t="shared" si="11"/>
        <v>3686.9906074750102</v>
      </c>
      <c r="L106">
        <f t="shared" si="11"/>
        <v>2860.1921325250555</v>
      </c>
      <c r="M106">
        <f t="shared" si="11"/>
        <v>4648.6310622183055</v>
      </c>
      <c r="O106">
        <v>40</v>
      </c>
      <c r="P106">
        <v>9194.4</v>
      </c>
      <c r="Q106">
        <v>9169.2619047054832</v>
      </c>
      <c r="R106">
        <v>6794.1616259519706</v>
      </c>
      <c r="S106">
        <v>12101.990807715265</v>
      </c>
    </row>
    <row r="107" spans="1:19" x14ac:dyDescent="0.25">
      <c r="A107" t="s">
        <v>1115</v>
      </c>
      <c r="C107">
        <v>10</v>
      </c>
      <c r="E107">
        <v>3445.2</v>
      </c>
      <c r="F107" t="s">
        <v>1095</v>
      </c>
      <c r="G107" t="s">
        <v>1091</v>
      </c>
      <c r="I107" t="s">
        <v>1156</v>
      </c>
      <c r="K107">
        <f t="shared" si="11"/>
        <v>3211.8524237700763</v>
      </c>
      <c r="L107">
        <f t="shared" si="11"/>
        <v>2508.9705537546547</v>
      </c>
      <c r="M107">
        <f t="shared" si="11"/>
        <v>4021.6080691644311</v>
      </c>
      <c r="O107">
        <v>45</v>
      </c>
      <c r="P107">
        <v>9922.7999999999993</v>
      </c>
      <c r="Q107">
        <v>10024.010006951921</v>
      </c>
      <c r="R107">
        <v>7394.2490923564274</v>
      </c>
      <c r="S107">
        <v>13289.472056510442</v>
      </c>
    </row>
    <row r="108" spans="1:19" x14ac:dyDescent="0.25">
      <c r="A108" t="s">
        <v>1115</v>
      </c>
      <c r="C108">
        <v>9.15</v>
      </c>
      <c r="E108">
        <v>3428.4</v>
      </c>
      <c r="F108" t="s">
        <v>1095</v>
      </c>
      <c r="G108" t="s">
        <v>1091</v>
      </c>
      <c r="I108" t="s">
        <v>1156</v>
      </c>
      <c r="K108">
        <f t="shared" si="11"/>
        <v>3003.0524969197154</v>
      </c>
      <c r="L108">
        <f t="shared" si="11"/>
        <v>2353.8173650747231</v>
      </c>
      <c r="M108">
        <f t="shared" si="11"/>
        <v>3747.4952156567315</v>
      </c>
      <c r="O108">
        <v>46</v>
      </c>
      <c r="P108">
        <v>9826.7999999999993</v>
      </c>
      <c r="Q108">
        <v>10192.117777157981</v>
      </c>
      <c r="R108">
        <v>7511.9613046860231</v>
      </c>
      <c r="S108">
        <v>13523.633496348202</v>
      </c>
    </row>
    <row r="109" spans="1:19" x14ac:dyDescent="0.25">
      <c r="A109" t="s">
        <v>1115</v>
      </c>
      <c r="C109">
        <v>7.15</v>
      </c>
      <c r="E109">
        <v>2696.4</v>
      </c>
      <c r="F109" t="s">
        <v>1095</v>
      </c>
      <c r="G109" t="s">
        <v>1091</v>
      </c>
      <c r="I109" t="s">
        <v>1156</v>
      </c>
      <c r="K109">
        <f t="shared" si="11"/>
        <v>2491.7758030452678</v>
      </c>
      <c r="L109">
        <f t="shared" si="11"/>
        <v>1971.5140931911058</v>
      </c>
      <c r="M109">
        <f t="shared" si="11"/>
        <v>3080.4683783670926</v>
      </c>
      <c r="O109">
        <v>50</v>
      </c>
      <c r="P109">
        <v>10726.8</v>
      </c>
      <c r="Q109">
        <v>10855.908761763787</v>
      </c>
      <c r="R109">
        <v>7975.8211982963758</v>
      </c>
      <c r="S109">
        <v>14450.111761116292</v>
      </c>
    </row>
    <row r="110" spans="1:19" x14ac:dyDescent="0.25">
      <c r="A110" t="s">
        <v>1115</v>
      </c>
      <c r="C110">
        <v>5.7</v>
      </c>
      <c r="E110">
        <v>2158.8000000000002</v>
      </c>
      <c r="F110" t="s">
        <v>1095</v>
      </c>
      <c r="G110" t="s">
        <v>1091</v>
      </c>
      <c r="I110" t="s">
        <v>1156</v>
      </c>
      <c r="K110">
        <f t="shared" si="11"/>
        <v>2099.0659590607593</v>
      </c>
      <c r="L110">
        <f t="shared" si="11"/>
        <v>1675.2022034732538</v>
      </c>
      <c r="M110">
        <f t="shared" si="11"/>
        <v>2572.725738721133</v>
      </c>
      <c r="O110">
        <v>54</v>
      </c>
      <c r="P110">
        <v>11637.6</v>
      </c>
      <c r="Q110">
        <v>11506.889442163536</v>
      </c>
      <c r="R110">
        <v>8429.3428825775227</v>
      </c>
      <c r="S110">
        <v>15361.480169103654</v>
      </c>
    </row>
    <row r="111" spans="1:19" x14ac:dyDescent="0.25">
      <c r="A111" t="s">
        <v>1115</v>
      </c>
      <c r="C111">
        <v>4.8</v>
      </c>
      <c r="E111">
        <v>1773.6</v>
      </c>
      <c r="F111" t="s">
        <v>1095</v>
      </c>
      <c r="G111" t="s">
        <v>1091</v>
      </c>
      <c r="I111" t="s">
        <v>1156</v>
      </c>
      <c r="K111">
        <f t="shared" si="11"/>
        <v>1843.1081804208613</v>
      </c>
      <c r="L111">
        <f t="shared" si="11"/>
        <v>1480.5924057678205</v>
      </c>
      <c r="M111">
        <f t="shared" si="11"/>
        <v>2244.3064363247422</v>
      </c>
      <c r="O111">
        <v>54</v>
      </c>
      <c r="P111">
        <v>11462.4</v>
      </c>
      <c r="Q111">
        <v>11506.889442163536</v>
      </c>
      <c r="R111">
        <v>8429.3428825775227</v>
      </c>
      <c r="S111">
        <v>15361.480169103654</v>
      </c>
    </row>
    <row r="112" spans="1:19" x14ac:dyDescent="0.25">
      <c r="A112" t="s">
        <v>1115</v>
      </c>
      <c r="C112">
        <v>3.8</v>
      </c>
      <c r="E112">
        <v>1383.6</v>
      </c>
      <c r="F112" t="s">
        <v>1095</v>
      </c>
      <c r="G112" t="s">
        <v>1091</v>
      </c>
      <c r="I112" t="s">
        <v>1156</v>
      </c>
      <c r="K112">
        <f t="shared" si="11"/>
        <v>1544.4641428458358</v>
      </c>
      <c r="L112">
        <f t="shared" si="11"/>
        <v>1251.7801394588223</v>
      </c>
      <c r="M112">
        <f t="shared" si="11"/>
        <v>1864.0337348223327</v>
      </c>
      <c r="O112">
        <v>59</v>
      </c>
      <c r="P112">
        <v>12280.8</v>
      </c>
      <c r="Q112">
        <v>12304.367660375879</v>
      </c>
      <c r="R112">
        <v>8983.1741657616658</v>
      </c>
      <c r="S112">
        <v>16481.465938760462</v>
      </c>
    </row>
    <row r="113" spans="1:19" x14ac:dyDescent="0.25">
      <c r="A113" t="s">
        <v>1115</v>
      </c>
      <c r="C113">
        <v>2.8</v>
      </c>
      <c r="E113">
        <v>1167.5999999999999</v>
      </c>
      <c r="F113" t="s">
        <v>1095</v>
      </c>
      <c r="G113" t="s">
        <v>1091</v>
      </c>
      <c r="I113" t="s">
        <v>1156</v>
      </c>
      <c r="K113">
        <f t="shared" si="11"/>
        <v>1225.8012635489538</v>
      </c>
      <c r="L113">
        <f t="shared" si="11"/>
        <v>1005.1325229288841</v>
      </c>
      <c r="M113">
        <f t="shared" si="11"/>
        <v>1462.3665049366934</v>
      </c>
      <c r="O113">
        <v>60</v>
      </c>
      <c r="P113">
        <v>13182</v>
      </c>
      <c r="Q113">
        <v>12461.853273210672</v>
      </c>
      <c r="R113">
        <v>9092.3271329969575</v>
      </c>
      <c r="S113">
        <v>16703.079273263902</v>
      </c>
    </row>
    <row r="114" spans="1:19" x14ac:dyDescent="0.25">
      <c r="A114" t="s">
        <v>1115</v>
      </c>
      <c r="C114">
        <v>10</v>
      </c>
      <c r="E114">
        <v>4773.6000000000004</v>
      </c>
      <c r="F114" t="s">
        <v>1095</v>
      </c>
      <c r="G114" t="s">
        <v>1091</v>
      </c>
      <c r="I114" t="s">
        <v>1156</v>
      </c>
      <c r="K114">
        <f t="shared" si="11"/>
        <v>3211.8524237700763</v>
      </c>
      <c r="L114">
        <f t="shared" si="11"/>
        <v>2508.9705537546547</v>
      </c>
      <c r="M114">
        <f t="shared" si="11"/>
        <v>4021.6080691644311</v>
      </c>
      <c r="O114">
        <v>63</v>
      </c>
      <c r="P114">
        <v>13099.2</v>
      </c>
      <c r="Q114">
        <v>12930.5374409306</v>
      </c>
      <c r="R114">
        <v>9416.7639291209161</v>
      </c>
      <c r="S114">
        <v>17363.436305540501</v>
      </c>
    </row>
    <row r="115" spans="1:19" x14ac:dyDescent="0.25">
      <c r="A115" t="s">
        <v>1115</v>
      </c>
      <c r="C115">
        <v>8</v>
      </c>
      <c r="E115">
        <v>3462</v>
      </c>
      <c r="F115" t="s">
        <v>1095</v>
      </c>
      <c r="G115" t="s">
        <v>1091</v>
      </c>
      <c r="I115" t="s">
        <v>1156</v>
      </c>
      <c r="K115">
        <f t="shared" si="11"/>
        <v>2712.8374711972119</v>
      </c>
      <c r="L115">
        <f t="shared" si="11"/>
        <v>2137.2534605721125</v>
      </c>
      <c r="M115">
        <f t="shared" si="11"/>
        <v>3368.1029385686684</v>
      </c>
      <c r="O115">
        <v>65</v>
      </c>
      <c r="P115">
        <v>15301.2</v>
      </c>
      <c r="Q115">
        <v>13239.973606145999</v>
      </c>
      <c r="R115">
        <v>9630.6389676452491</v>
      </c>
      <c r="S115">
        <v>17800.081391328917</v>
      </c>
    </row>
    <row r="116" spans="1:19" x14ac:dyDescent="0.25">
      <c r="A116" t="s">
        <v>1115</v>
      </c>
      <c r="C116">
        <v>6</v>
      </c>
      <c r="E116">
        <v>2874</v>
      </c>
      <c r="F116" t="s">
        <v>1095</v>
      </c>
      <c r="G116" t="s">
        <v>1091</v>
      </c>
      <c r="I116" t="s">
        <v>1156</v>
      </c>
      <c r="K116">
        <f t="shared" si="11"/>
        <v>2182.1401169096625</v>
      </c>
      <c r="L116">
        <f t="shared" si="11"/>
        <v>1738.1011736389169</v>
      </c>
      <c r="M116">
        <f t="shared" si="11"/>
        <v>2679.7639616789374</v>
      </c>
      <c r="O116">
        <v>70</v>
      </c>
      <c r="P116">
        <v>16114.8</v>
      </c>
      <c r="Q116">
        <v>14003.650694877695</v>
      </c>
      <c r="R116">
        <v>10157.41076979327</v>
      </c>
      <c r="S116">
        <v>18879.876800611364</v>
      </c>
    </row>
    <row r="117" spans="1:19" x14ac:dyDescent="0.25">
      <c r="A117" t="s">
        <v>1115</v>
      </c>
      <c r="C117">
        <v>5</v>
      </c>
      <c r="E117">
        <v>2036.4</v>
      </c>
      <c r="F117" t="s">
        <v>1095</v>
      </c>
      <c r="G117" t="s">
        <v>1091</v>
      </c>
      <c r="I117" t="s">
        <v>1156</v>
      </c>
      <c r="K117">
        <f t="shared" si="11"/>
        <v>1900.9302625541663</v>
      </c>
      <c r="L117">
        <f t="shared" si="11"/>
        <v>1524.6684355629552</v>
      </c>
      <c r="M117">
        <f t="shared" si="11"/>
        <v>2318.3083853080266</v>
      </c>
      <c r="O117">
        <v>71</v>
      </c>
      <c r="P117">
        <v>14372.4</v>
      </c>
      <c r="Q117">
        <v>14154.768628176853</v>
      </c>
      <c r="R117">
        <v>10261.475526322043</v>
      </c>
      <c r="S117">
        <v>19093.904819644664</v>
      </c>
    </row>
    <row r="118" spans="1:19" x14ac:dyDescent="0.25">
      <c r="A118" t="s">
        <v>1115</v>
      </c>
      <c r="C118">
        <v>4</v>
      </c>
      <c r="E118">
        <v>1570.8</v>
      </c>
      <c r="F118" t="s">
        <v>1095</v>
      </c>
      <c r="G118" t="s">
        <v>1091</v>
      </c>
      <c r="I118" t="s">
        <v>1156</v>
      </c>
      <c r="K118">
        <f t="shared" ref="K118:M124" si="12">K$54*($C118^K$55)</f>
        <v>1605.588976699155</v>
      </c>
      <c r="L118">
        <f t="shared" si="12"/>
        <v>1298.7808427067912</v>
      </c>
      <c r="M118">
        <f t="shared" si="12"/>
        <v>1941.586835607947</v>
      </c>
      <c r="O118">
        <v>79</v>
      </c>
      <c r="P118">
        <v>15826.8</v>
      </c>
      <c r="Q118">
        <v>15345.816556388419</v>
      </c>
      <c r="R118">
        <v>11079.760992639356</v>
      </c>
      <c r="S118">
        <v>20784.711134135698</v>
      </c>
    </row>
    <row r="119" spans="1:19" x14ac:dyDescent="0.25">
      <c r="A119" t="s">
        <v>1115</v>
      </c>
      <c r="C119">
        <v>3</v>
      </c>
      <c r="E119">
        <v>1302</v>
      </c>
      <c r="F119" t="s">
        <v>1095</v>
      </c>
      <c r="G119" t="s">
        <v>1091</v>
      </c>
      <c r="I119" t="s">
        <v>1156</v>
      </c>
      <c r="K119">
        <f t="shared" si="12"/>
        <v>1291.4965067099895</v>
      </c>
      <c r="L119">
        <f t="shared" si="12"/>
        <v>1056.2212431295527</v>
      </c>
      <c r="M119">
        <f t="shared" si="12"/>
        <v>1544.7848612202818</v>
      </c>
      <c r="O119">
        <v>84</v>
      </c>
      <c r="P119">
        <v>18202.8</v>
      </c>
      <c r="Q119">
        <v>16075.249348402513</v>
      </c>
      <c r="R119">
        <v>11579.309421193348</v>
      </c>
      <c r="S119">
        <v>21823.504487947725</v>
      </c>
    </row>
    <row r="120" spans="1:19" x14ac:dyDescent="0.25">
      <c r="C120">
        <v>90</v>
      </c>
      <c r="K120">
        <f t="shared" si="12"/>
        <v>16936.781675233404</v>
      </c>
      <c r="L120">
        <f t="shared" si="12"/>
        <v>12167.860767052212</v>
      </c>
      <c r="M120">
        <f t="shared" si="12"/>
        <v>23053.467949345544</v>
      </c>
      <c r="O120">
        <v>90</v>
      </c>
      <c r="Q120">
        <v>16936.781675233404</v>
      </c>
      <c r="R120">
        <v>12167.860767052212</v>
      </c>
      <c r="S120">
        <v>23053.467949345544</v>
      </c>
    </row>
    <row r="121" spans="1:19" x14ac:dyDescent="0.25">
      <c r="C121">
        <v>100</v>
      </c>
      <c r="K121">
        <f t="shared" si="12"/>
        <v>18342.375601853142</v>
      </c>
      <c r="L121">
        <f t="shared" si="12"/>
        <v>13124.886737193487</v>
      </c>
      <c r="M121">
        <f t="shared" si="12"/>
        <v>25066.848926188857</v>
      </c>
      <c r="O121">
        <v>100</v>
      </c>
      <c r="Q121">
        <v>18342.375601853142</v>
      </c>
      <c r="R121">
        <v>13124.886737193487</v>
      </c>
      <c r="S121">
        <v>25066.848926188857</v>
      </c>
    </row>
    <row r="122" spans="1:19" x14ac:dyDescent="0.25">
      <c r="C122">
        <v>150</v>
      </c>
      <c r="K122">
        <f t="shared" si="12"/>
        <v>24928.941479478341</v>
      </c>
      <c r="L122">
        <f t="shared" si="12"/>
        <v>17564.457598751243</v>
      </c>
      <c r="M122">
        <f t="shared" si="12"/>
        <v>34597.08170313076</v>
      </c>
      <c r="O122">
        <v>150</v>
      </c>
      <c r="Q122">
        <v>24928.941479478341</v>
      </c>
      <c r="R122">
        <v>17564.457598751243</v>
      </c>
      <c r="S122">
        <v>34597.08170313076</v>
      </c>
    </row>
    <row r="123" spans="1:19" x14ac:dyDescent="0.25">
      <c r="C123">
        <v>200</v>
      </c>
      <c r="K123">
        <f t="shared" si="12"/>
        <v>30991.670075973849</v>
      </c>
      <c r="L123">
        <f t="shared" si="12"/>
        <v>21598.108530937538</v>
      </c>
      <c r="M123">
        <f t="shared" si="12"/>
        <v>43483.879258234461</v>
      </c>
      <c r="O123">
        <v>200</v>
      </c>
      <c r="Q123">
        <v>30991.670075973849</v>
      </c>
      <c r="R123">
        <v>21598.108530937538</v>
      </c>
      <c r="S123">
        <v>43483.879258234461</v>
      </c>
    </row>
    <row r="124" spans="1:19" x14ac:dyDescent="0.25">
      <c r="C124">
        <v>300</v>
      </c>
      <c r="K124">
        <f t="shared" si="12"/>
        <v>42120.472639171006</v>
      </c>
      <c r="L124">
        <f t="shared" si="12"/>
        <v>28903.796969908086</v>
      </c>
      <c r="M124">
        <f t="shared" si="12"/>
        <v>60016.132378508002</v>
      </c>
      <c r="O124">
        <v>300</v>
      </c>
      <c r="Q124">
        <v>42120.472639171006</v>
      </c>
      <c r="R124">
        <v>28903.796969908086</v>
      </c>
      <c r="S124">
        <v>60016.132378508002</v>
      </c>
    </row>
  </sheetData>
  <sortState xmlns:xlrd2="http://schemas.microsoft.com/office/spreadsheetml/2017/richdata2" ref="Q13:Q23">
    <sortCondition ref="Q13:Q23"/>
  </sortState>
  <mergeCells count="2">
    <mergeCell ref="X3:X4"/>
    <mergeCell ref="Y3:AH3"/>
  </mergeCells>
  <hyperlinks>
    <hyperlink ref="I73" r:id="rId1" xr:uid="{F3F6918F-D1B1-45C0-A5F3-BD4442EEFBA9}"/>
    <hyperlink ref="I100" r:id="rId2" xr:uid="{7E1A9053-DBFF-4746-BC68-D4C8ABE36186}"/>
    <hyperlink ref="I101" r:id="rId3" xr:uid="{E223B417-F14F-4BE9-8072-631E2493111E}"/>
  </hyperlinks>
  <pageMargins left="0.7" right="0.7" top="0.75" bottom="0.75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73D15-D668-40C3-B943-5AA3A42787ED}">
  <sheetPr>
    <tabColor rgb="FFFF0000"/>
  </sheetPr>
  <dimension ref="A1:BH335"/>
  <sheetViews>
    <sheetView topLeftCell="X1" zoomScale="85" zoomScaleNormal="85" workbookViewId="0">
      <selection activeCell="AD30" sqref="AD30"/>
    </sheetView>
  </sheetViews>
  <sheetFormatPr defaultRowHeight="15" x14ac:dyDescent="0.25"/>
  <cols>
    <col min="2" max="2" width="10.7109375" customWidth="1"/>
    <col min="3" max="3" width="17.28515625" customWidth="1"/>
    <col min="4" max="4" width="22.7109375" customWidth="1"/>
    <col min="11" max="11" width="14.7109375" bestFit="1" customWidth="1"/>
    <col min="25" max="25" width="12.7109375" customWidth="1"/>
    <col min="40" max="40" width="11.140625" bestFit="1" customWidth="1"/>
  </cols>
  <sheetData>
    <row r="1" spans="1:50" s="88" customFormat="1" ht="21.75" thickBot="1" x14ac:dyDescent="0.4">
      <c r="A1" s="86"/>
      <c r="B1" s="87" t="s">
        <v>1160</v>
      </c>
    </row>
    <row r="3" spans="1:50" x14ac:dyDescent="0.25">
      <c r="A3" s="122" t="s">
        <v>156</v>
      </c>
      <c r="C3" t="s">
        <v>328</v>
      </c>
      <c r="N3" s="25" t="s">
        <v>372</v>
      </c>
      <c r="S3" t="s">
        <v>437</v>
      </c>
      <c r="X3" t="s">
        <v>447</v>
      </c>
      <c r="AC3" t="s">
        <v>448</v>
      </c>
      <c r="AI3" t="s">
        <v>331</v>
      </c>
    </row>
    <row r="4" spans="1:50" x14ac:dyDescent="0.25">
      <c r="A4" s="122"/>
      <c r="C4" s="25" t="s">
        <v>0</v>
      </c>
      <c r="D4" s="25" t="s">
        <v>336</v>
      </c>
      <c r="E4" s="25" t="s">
        <v>329</v>
      </c>
      <c r="F4" s="25" t="s">
        <v>330</v>
      </c>
      <c r="G4" s="25"/>
      <c r="H4" s="25" t="s">
        <v>337</v>
      </c>
      <c r="I4" s="25" t="s">
        <v>389</v>
      </c>
      <c r="J4" s="25" t="s">
        <v>419</v>
      </c>
      <c r="K4" s="6" t="s">
        <v>376</v>
      </c>
      <c r="L4" s="6" t="s">
        <v>407</v>
      </c>
      <c r="N4" s="25" t="s">
        <v>371</v>
      </c>
      <c r="O4" s="25" t="s">
        <v>373</v>
      </c>
      <c r="P4" s="25" t="s">
        <v>374</v>
      </c>
      <c r="Q4" s="25" t="s">
        <v>375</v>
      </c>
      <c r="S4" s="25" t="s">
        <v>371</v>
      </c>
      <c r="T4" s="25" t="s">
        <v>373</v>
      </c>
      <c r="U4" s="25" t="s">
        <v>374</v>
      </c>
      <c r="V4" s="25" t="s">
        <v>375</v>
      </c>
      <c r="X4" s="25" t="s">
        <v>371</v>
      </c>
      <c r="Y4" s="25" t="s">
        <v>373</v>
      </c>
      <c r="Z4" s="25" t="s">
        <v>374</v>
      </c>
      <c r="AA4" s="25" t="s">
        <v>375</v>
      </c>
      <c r="AC4" s="25" t="s">
        <v>371</v>
      </c>
      <c r="AD4" s="25" t="s">
        <v>373</v>
      </c>
      <c r="AE4" s="25" t="s">
        <v>374</v>
      </c>
      <c r="AF4" s="25" t="s">
        <v>375</v>
      </c>
      <c r="AQ4" t="s">
        <v>156</v>
      </c>
      <c r="AR4" t="s">
        <v>408</v>
      </c>
      <c r="AS4" t="s">
        <v>409</v>
      </c>
      <c r="AT4" t="s">
        <v>270</v>
      </c>
    </row>
    <row r="5" spans="1:50" x14ac:dyDescent="0.25">
      <c r="C5" s="25" t="s">
        <v>368</v>
      </c>
      <c r="D5" s="25">
        <v>0.9</v>
      </c>
      <c r="E5" s="25" t="s">
        <v>369</v>
      </c>
      <c r="F5" s="25">
        <v>0.36</v>
      </c>
      <c r="G5" s="25"/>
      <c r="H5" s="25" t="s">
        <v>370</v>
      </c>
      <c r="I5" s="25"/>
      <c r="J5" s="25"/>
      <c r="K5" s="6">
        <v>1.1000000000000001</v>
      </c>
      <c r="L5" s="6">
        <f>K5/0.9</f>
        <v>1.2222222222222223</v>
      </c>
      <c r="N5">
        <v>91.6</v>
      </c>
      <c r="O5">
        <v>95.9</v>
      </c>
      <c r="P5">
        <v>95.3</v>
      </c>
      <c r="Q5">
        <v>79.900000000000006</v>
      </c>
      <c r="S5">
        <f t="shared" ref="S5:S14" si="0">D5*($AJ$17-X5)</f>
        <v>824.39999999999986</v>
      </c>
      <c r="T5">
        <f>D5*((F5*1000/D5)-Y5)</f>
        <v>345.24</v>
      </c>
      <c r="U5">
        <f t="shared" ref="U5:U14" si="1">D5*($AJ$18-Z5)</f>
        <v>457.44000000000005</v>
      </c>
      <c r="V5">
        <f t="shared" ref="V5:V14" si="2">D5*($AJ$20-AA5)</f>
        <v>38.352000000000004</v>
      </c>
      <c r="X5">
        <f t="shared" ref="X5:X14" si="3">$AJ$17-(N5/100)*$AJ$17</f>
        <v>84.000000000000114</v>
      </c>
      <c r="Y5">
        <f>(F5*1000/D5)-(O5/100)*(F5*1000/D5)</f>
        <v>16.399999999999977</v>
      </c>
      <c r="Z5">
        <f t="shared" ref="Z5:Z14" si="4">$AJ$18-(P5/100)*$AJ$18</f>
        <v>25.066666666666663</v>
      </c>
      <c r="AA5">
        <f t="shared" ref="AA5:AA14" si="5">$AJ$20-(Q5/100)*$AJ$20</f>
        <v>10.719999999999999</v>
      </c>
      <c r="AD5">
        <v>11</v>
      </c>
      <c r="AE5">
        <v>16</v>
      </c>
      <c r="AF5">
        <v>8</v>
      </c>
      <c r="AI5" t="s">
        <v>156</v>
      </c>
      <c r="AJ5">
        <v>1</v>
      </c>
      <c r="AN5" t="s">
        <v>334</v>
      </c>
      <c r="AO5" t="s">
        <v>270</v>
      </c>
      <c r="AQ5">
        <v>5</v>
      </c>
      <c r="AR5">
        <f>AQ5*$AJ$6</f>
        <v>0.75</v>
      </c>
      <c r="AS5">
        <f>AR5*2</f>
        <v>1.5</v>
      </c>
      <c r="AT5">
        <f>AR5*4</f>
        <v>3</v>
      </c>
    </row>
    <row r="6" spans="1:50" x14ac:dyDescent="0.25">
      <c r="C6" s="25" t="s">
        <v>377</v>
      </c>
      <c r="D6" s="25">
        <v>1.2</v>
      </c>
      <c r="E6" s="25" t="s">
        <v>369</v>
      </c>
      <c r="F6" s="25">
        <v>0.48</v>
      </c>
      <c r="G6" s="25"/>
      <c r="H6" s="25" t="s">
        <v>370</v>
      </c>
      <c r="I6" s="25"/>
      <c r="J6" s="25"/>
      <c r="K6" s="6">
        <f>$L$5*D6</f>
        <v>1.4666666666666668</v>
      </c>
      <c r="L6" s="6"/>
      <c r="N6">
        <v>91.6</v>
      </c>
      <c r="O6">
        <v>95.9</v>
      </c>
      <c r="P6">
        <v>95.3</v>
      </c>
      <c r="Q6">
        <v>79.900000000000006</v>
      </c>
      <c r="S6">
        <f t="shared" si="0"/>
        <v>1099.1999999999998</v>
      </c>
      <c r="T6">
        <f t="shared" ref="T6:T14" si="6">D6*((F6*1000/D6)-Y6)</f>
        <v>460.32</v>
      </c>
      <c r="U6">
        <f t="shared" si="1"/>
        <v>609.92000000000007</v>
      </c>
      <c r="V6">
        <f t="shared" si="2"/>
        <v>51.136000000000003</v>
      </c>
      <c r="X6">
        <f t="shared" si="3"/>
        <v>84.000000000000114</v>
      </c>
      <c r="Y6">
        <f t="shared" ref="Y6:Y14" si="7">(F6*1000/D6)-(O6/100)*(F6*1000/D6)</f>
        <v>16.399999999999977</v>
      </c>
      <c r="Z6">
        <f t="shared" si="4"/>
        <v>25.066666666666663</v>
      </c>
      <c r="AA6">
        <f t="shared" si="5"/>
        <v>10.719999999999999</v>
      </c>
      <c r="AI6" t="s">
        <v>332</v>
      </c>
      <c r="AJ6">
        <v>0.15</v>
      </c>
      <c r="AK6" t="s">
        <v>273</v>
      </c>
      <c r="AN6">
        <f>AJ6*2</f>
        <v>0.3</v>
      </c>
      <c r="AO6">
        <f>AJ6*4</f>
        <v>0.6</v>
      </c>
      <c r="AQ6">
        <v>10</v>
      </c>
      <c r="AR6">
        <f t="shared" ref="AR6:AR11" si="8">AQ6*$AJ$6</f>
        <v>1.5</v>
      </c>
      <c r="AS6">
        <f t="shared" ref="AS6:AS11" si="9">AR6*2</f>
        <v>3</v>
      </c>
      <c r="AT6">
        <f t="shared" ref="AT6:AT11" si="10">AR6*4</f>
        <v>6</v>
      </c>
    </row>
    <row r="7" spans="1:50" x14ac:dyDescent="0.25">
      <c r="A7">
        <v>5</v>
      </c>
      <c r="C7" s="25" t="s">
        <v>378</v>
      </c>
      <c r="D7" s="25">
        <v>1.5</v>
      </c>
      <c r="E7" s="25" t="s">
        <v>369</v>
      </c>
      <c r="F7" s="25">
        <v>0.6</v>
      </c>
      <c r="G7" s="25"/>
      <c r="H7" s="25" t="s">
        <v>370</v>
      </c>
      <c r="I7" s="25"/>
      <c r="J7" s="25">
        <v>86</v>
      </c>
      <c r="K7" s="6">
        <f t="shared" ref="K7:K14" si="11">$L$5*D7</f>
        <v>1.8333333333333335</v>
      </c>
      <c r="L7" s="6"/>
      <c r="N7">
        <v>91.6</v>
      </c>
      <c r="O7">
        <v>95.9</v>
      </c>
      <c r="P7">
        <v>95.3</v>
      </c>
      <c r="Q7">
        <v>79.900000000000006</v>
      </c>
      <c r="S7">
        <f t="shared" si="0"/>
        <v>1373.9999999999998</v>
      </c>
      <c r="T7">
        <f t="shared" si="6"/>
        <v>575.40000000000009</v>
      </c>
      <c r="U7">
        <f t="shared" si="1"/>
        <v>762.40000000000009</v>
      </c>
      <c r="V7">
        <f t="shared" si="2"/>
        <v>63.92</v>
      </c>
      <c r="X7">
        <f t="shared" si="3"/>
        <v>84.000000000000114</v>
      </c>
      <c r="Y7">
        <f t="shared" si="7"/>
        <v>16.399999999999977</v>
      </c>
      <c r="Z7">
        <f t="shared" si="4"/>
        <v>25.066666666666663</v>
      </c>
      <c r="AA7">
        <f t="shared" si="5"/>
        <v>10.719999999999999</v>
      </c>
      <c r="AI7" t="s">
        <v>333</v>
      </c>
      <c r="AJ7" s="24">
        <f>(AJ6*2)*1.25</f>
        <v>0.375</v>
      </c>
      <c r="AQ7">
        <v>20</v>
      </c>
      <c r="AR7">
        <f t="shared" si="8"/>
        <v>3</v>
      </c>
      <c r="AS7">
        <f t="shared" si="9"/>
        <v>6</v>
      </c>
      <c r="AT7">
        <f t="shared" si="10"/>
        <v>12</v>
      </c>
    </row>
    <row r="8" spans="1:50" x14ac:dyDescent="0.25">
      <c r="C8" s="25" t="s">
        <v>379</v>
      </c>
      <c r="D8" s="25">
        <v>1.8</v>
      </c>
      <c r="E8" s="25" t="s">
        <v>369</v>
      </c>
      <c r="F8" s="25">
        <v>0.72</v>
      </c>
      <c r="G8" s="25"/>
      <c r="H8" s="25" t="s">
        <v>370</v>
      </c>
      <c r="I8" s="25"/>
      <c r="J8" s="25"/>
      <c r="K8" s="6">
        <f t="shared" si="11"/>
        <v>2.2000000000000002</v>
      </c>
      <c r="L8" s="6"/>
      <c r="N8">
        <v>91.6</v>
      </c>
      <c r="O8">
        <v>95.9</v>
      </c>
      <c r="P8">
        <v>95.3</v>
      </c>
      <c r="Q8">
        <v>79.900000000000006</v>
      </c>
      <c r="S8">
        <f t="shared" si="0"/>
        <v>1648.7999999999997</v>
      </c>
      <c r="T8">
        <f t="shared" si="6"/>
        <v>690.48</v>
      </c>
      <c r="U8">
        <f t="shared" si="1"/>
        <v>914.88000000000011</v>
      </c>
      <c r="V8">
        <f t="shared" si="2"/>
        <v>76.704000000000008</v>
      </c>
      <c r="X8">
        <f t="shared" si="3"/>
        <v>84.000000000000114</v>
      </c>
      <c r="Y8">
        <f t="shared" si="7"/>
        <v>16.399999999999977</v>
      </c>
      <c r="Z8">
        <f t="shared" si="4"/>
        <v>25.066666666666663</v>
      </c>
      <c r="AA8">
        <f t="shared" si="5"/>
        <v>10.719999999999999</v>
      </c>
      <c r="AI8" t="s">
        <v>270</v>
      </c>
      <c r="AQ8">
        <v>30</v>
      </c>
      <c r="AR8">
        <f t="shared" si="8"/>
        <v>4.5</v>
      </c>
      <c r="AS8">
        <f t="shared" si="9"/>
        <v>9</v>
      </c>
      <c r="AT8">
        <f t="shared" si="10"/>
        <v>18</v>
      </c>
    </row>
    <row r="9" spans="1:50" x14ac:dyDescent="0.25">
      <c r="C9" s="25" t="s">
        <v>380</v>
      </c>
      <c r="D9" s="25">
        <v>2.7</v>
      </c>
      <c r="E9" s="25" t="s">
        <v>369</v>
      </c>
      <c r="F9" s="25">
        <v>1.08</v>
      </c>
      <c r="G9" s="25"/>
      <c r="H9" s="25" t="s">
        <v>386</v>
      </c>
      <c r="I9" s="25"/>
      <c r="J9" s="25"/>
      <c r="K9" s="6">
        <f t="shared" si="11"/>
        <v>3.3000000000000003</v>
      </c>
      <c r="L9" s="6"/>
      <c r="N9">
        <v>91.6</v>
      </c>
      <c r="O9">
        <v>95.9</v>
      </c>
      <c r="P9">
        <v>95.3</v>
      </c>
      <c r="Q9">
        <v>79.900000000000006</v>
      </c>
      <c r="S9">
        <f t="shared" si="0"/>
        <v>2473.1999999999998</v>
      </c>
      <c r="T9">
        <f t="shared" si="6"/>
        <v>1035.72</v>
      </c>
      <c r="U9">
        <f t="shared" si="1"/>
        <v>1372.3200000000002</v>
      </c>
      <c r="V9">
        <f t="shared" si="2"/>
        <v>115.05600000000001</v>
      </c>
      <c r="X9">
        <f t="shared" si="3"/>
        <v>84.000000000000114</v>
      </c>
      <c r="Y9">
        <f t="shared" si="7"/>
        <v>16.399999999999977</v>
      </c>
      <c r="Z9">
        <f t="shared" si="4"/>
        <v>25.066666666666663</v>
      </c>
      <c r="AA9">
        <f t="shared" si="5"/>
        <v>10.719999999999999</v>
      </c>
      <c r="AI9" t="s">
        <v>334</v>
      </c>
      <c r="AQ9">
        <v>50</v>
      </c>
      <c r="AR9">
        <f t="shared" si="8"/>
        <v>7.5</v>
      </c>
      <c r="AS9">
        <f t="shared" si="9"/>
        <v>15</v>
      </c>
      <c r="AT9">
        <f t="shared" si="10"/>
        <v>30</v>
      </c>
    </row>
    <row r="10" spans="1:50" x14ac:dyDescent="0.25">
      <c r="A10">
        <v>10</v>
      </c>
      <c r="C10" s="25" t="s">
        <v>381</v>
      </c>
      <c r="D10" s="25">
        <v>3.6</v>
      </c>
      <c r="E10" s="25" t="s">
        <v>369</v>
      </c>
      <c r="F10" s="25">
        <v>1.44</v>
      </c>
      <c r="G10" s="25"/>
      <c r="H10" s="25" t="s">
        <v>386</v>
      </c>
      <c r="I10" s="25"/>
      <c r="J10" s="25">
        <v>215</v>
      </c>
      <c r="K10" s="6">
        <f t="shared" si="11"/>
        <v>4.4000000000000004</v>
      </c>
      <c r="L10" s="6"/>
      <c r="N10">
        <v>91.6</v>
      </c>
      <c r="O10">
        <v>95.9</v>
      </c>
      <c r="P10">
        <v>95.3</v>
      </c>
      <c r="Q10">
        <v>79.900000000000006</v>
      </c>
      <c r="S10">
        <f t="shared" si="0"/>
        <v>3297.5999999999995</v>
      </c>
      <c r="T10">
        <f t="shared" si="6"/>
        <v>1380.96</v>
      </c>
      <c r="U10">
        <f t="shared" si="1"/>
        <v>1829.7600000000002</v>
      </c>
      <c r="V10">
        <f t="shared" si="2"/>
        <v>153.40800000000002</v>
      </c>
      <c r="X10">
        <f t="shared" si="3"/>
        <v>84.000000000000114</v>
      </c>
      <c r="Y10">
        <f t="shared" si="7"/>
        <v>16.399999999999977</v>
      </c>
      <c r="Z10">
        <f t="shared" si="4"/>
        <v>25.066666666666663</v>
      </c>
      <c r="AA10">
        <f t="shared" si="5"/>
        <v>10.719999999999999</v>
      </c>
      <c r="AQ10">
        <v>75</v>
      </c>
      <c r="AR10">
        <f t="shared" si="8"/>
        <v>11.25</v>
      </c>
      <c r="AS10">
        <f t="shared" si="9"/>
        <v>22.5</v>
      </c>
      <c r="AT10">
        <f t="shared" si="10"/>
        <v>45</v>
      </c>
    </row>
    <row r="11" spans="1:50" x14ac:dyDescent="0.25">
      <c r="C11" s="25" t="s">
        <v>382</v>
      </c>
      <c r="D11" s="25">
        <v>4.5</v>
      </c>
      <c r="E11" s="25" t="s">
        <v>369</v>
      </c>
      <c r="F11" s="25">
        <v>1.8</v>
      </c>
      <c r="G11" s="25"/>
      <c r="H11" s="25" t="s">
        <v>387</v>
      </c>
      <c r="I11" s="25"/>
      <c r="J11" s="25"/>
      <c r="K11" s="6">
        <f t="shared" si="11"/>
        <v>5.5</v>
      </c>
      <c r="L11" s="6"/>
      <c r="N11">
        <v>91.6</v>
      </c>
      <c r="O11">
        <v>95.9</v>
      </c>
      <c r="P11">
        <v>95.3</v>
      </c>
      <c r="Q11">
        <v>79.900000000000006</v>
      </c>
      <c r="S11">
        <f t="shared" si="0"/>
        <v>4121.9999999999991</v>
      </c>
      <c r="T11">
        <f t="shared" si="6"/>
        <v>1726.2</v>
      </c>
      <c r="U11">
        <f t="shared" si="1"/>
        <v>2287.2000000000003</v>
      </c>
      <c r="V11">
        <f t="shared" si="2"/>
        <v>191.76000000000002</v>
      </c>
      <c r="X11">
        <f t="shared" si="3"/>
        <v>84.000000000000114</v>
      </c>
      <c r="Y11">
        <f t="shared" si="7"/>
        <v>16.399999999999977</v>
      </c>
      <c r="Z11">
        <f t="shared" si="4"/>
        <v>25.066666666666663</v>
      </c>
      <c r="AA11">
        <f t="shared" si="5"/>
        <v>10.719999999999999</v>
      </c>
      <c r="AI11" t="s">
        <v>357</v>
      </c>
      <c r="AK11" t="s">
        <v>360</v>
      </c>
      <c r="AQ11">
        <v>100</v>
      </c>
      <c r="AR11">
        <f t="shared" si="8"/>
        <v>15</v>
      </c>
      <c r="AS11">
        <f t="shared" si="9"/>
        <v>30</v>
      </c>
      <c r="AT11">
        <f t="shared" si="10"/>
        <v>60</v>
      </c>
    </row>
    <row r="12" spans="1:50" x14ac:dyDescent="0.25">
      <c r="C12" s="25" t="s">
        <v>383</v>
      </c>
      <c r="D12" s="25">
        <v>5.4</v>
      </c>
      <c r="E12" s="25" t="s">
        <v>369</v>
      </c>
      <c r="F12" s="25">
        <v>2.16</v>
      </c>
      <c r="G12" s="25"/>
      <c r="H12" s="25" t="s">
        <v>387</v>
      </c>
      <c r="I12" s="25"/>
      <c r="J12" s="25"/>
      <c r="K12" s="6">
        <f t="shared" si="11"/>
        <v>6.6000000000000005</v>
      </c>
      <c r="L12" s="6"/>
      <c r="N12">
        <v>91.6</v>
      </c>
      <c r="O12">
        <v>95.9</v>
      </c>
      <c r="P12">
        <v>95.3</v>
      </c>
      <c r="Q12">
        <v>79.900000000000006</v>
      </c>
      <c r="S12">
        <f t="shared" si="0"/>
        <v>4946.3999999999996</v>
      </c>
      <c r="T12">
        <f t="shared" si="6"/>
        <v>2071.44</v>
      </c>
      <c r="U12">
        <f t="shared" si="1"/>
        <v>2744.6400000000003</v>
      </c>
      <c r="V12">
        <f t="shared" si="2"/>
        <v>230.11200000000002</v>
      </c>
      <c r="X12">
        <f t="shared" si="3"/>
        <v>84.000000000000114</v>
      </c>
      <c r="Y12">
        <f t="shared" si="7"/>
        <v>16.399999999999977</v>
      </c>
      <c r="Z12">
        <f t="shared" si="4"/>
        <v>25.066666666666663</v>
      </c>
      <c r="AA12">
        <f t="shared" si="5"/>
        <v>10.719999999999999</v>
      </c>
      <c r="AI12" t="s">
        <v>371</v>
      </c>
      <c r="AJ12">
        <v>150</v>
      </c>
      <c r="AK12" t="s">
        <v>404</v>
      </c>
      <c r="AL12" t="s">
        <v>405</v>
      </c>
    </row>
    <row r="13" spans="1:50" x14ac:dyDescent="0.25">
      <c r="A13">
        <v>20</v>
      </c>
      <c r="C13" s="25" t="s">
        <v>384</v>
      </c>
      <c r="D13" s="25">
        <v>6.3</v>
      </c>
      <c r="E13" s="25" t="s">
        <v>369</v>
      </c>
      <c r="F13" s="25">
        <v>2.52</v>
      </c>
      <c r="G13" s="25"/>
      <c r="H13" s="25" t="s">
        <v>387</v>
      </c>
      <c r="I13" s="25"/>
      <c r="J13" s="25">
        <v>450</v>
      </c>
      <c r="K13" s="6">
        <f t="shared" si="11"/>
        <v>7.7</v>
      </c>
      <c r="L13" s="6"/>
      <c r="N13">
        <v>91.6</v>
      </c>
      <c r="O13">
        <v>95.9</v>
      </c>
      <c r="P13">
        <v>95.3</v>
      </c>
      <c r="Q13">
        <v>79.900000000000006</v>
      </c>
      <c r="S13">
        <f t="shared" si="0"/>
        <v>5770.7999999999993</v>
      </c>
      <c r="T13">
        <f t="shared" si="6"/>
        <v>2416.6800000000003</v>
      </c>
      <c r="U13">
        <f t="shared" si="1"/>
        <v>3202.0800000000004</v>
      </c>
      <c r="V13">
        <f t="shared" si="2"/>
        <v>268.464</v>
      </c>
      <c r="X13">
        <f t="shared" si="3"/>
        <v>84.000000000000114</v>
      </c>
      <c r="Y13">
        <f t="shared" si="7"/>
        <v>16.399999999999977</v>
      </c>
      <c r="Z13">
        <f t="shared" si="4"/>
        <v>25.066666666666663</v>
      </c>
      <c r="AA13">
        <f t="shared" si="5"/>
        <v>10.719999999999999</v>
      </c>
      <c r="AI13" t="s">
        <v>374</v>
      </c>
      <c r="AJ13">
        <v>80</v>
      </c>
      <c r="AK13" t="s">
        <v>404</v>
      </c>
      <c r="AL13" t="s">
        <v>405</v>
      </c>
    </row>
    <row r="14" spans="1:50" x14ac:dyDescent="0.25">
      <c r="C14" s="25" t="s">
        <v>385</v>
      </c>
      <c r="D14" s="25">
        <v>7.5</v>
      </c>
      <c r="E14" s="25" t="s">
        <v>369</v>
      </c>
      <c r="F14" s="25">
        <v>3</v>
      </c>
      <c r="G14" s="25"/>
      <c r="H14" s="25" t="s">
        <v>387</v>
      </c>
      <c r="I14" s="25"/>
      <c r="J14" s="25"/>
      <c r="K14" s="6">
        <f t="shared" si="11"/>
        <v>9.1666666666666679</v>
      </c>
      <c r="L14" s="6"/>
      <c r="N14">
        <v>91.6</v>
      </c>
      <c r="O14">
        <v>95.9</v>
      </c>
      <c r="P14">
        <v>95.3</v>
      </c>
      <c r="Q14">
        <v>79.900000000000006</v>
      </c>
      <c r="S14">
        <f t="shared" si="0"/>
        <v>6869.9999999999991</v>
      </c>
      <c r="T14">
        <f t="shared" si="6"/>
        <v>2877</v>
      </c>
      <c r="U14">
        <f t="shared" si="1"/>
        <v>3812.0000000000005</v>
      </c>
      <c r="V14">
        <f t="shared" si="2"/>
        <v>319.60000000000002</v>
      </c>
      <c r="X14">
        <f t="shared" si="3"/>
        <v>84.000000000000114</v>
      </c>
      <c r="Y14">
        <f t="shared" si="7"/>
        <v>16.399999999999977</v>
      </c>
      <c r="Z14">
        <f t="shared" si="4"/>
        <v>25.066666666666663</v>
      </c>
      <c r="AA14">
        <f t="shared" si="5"/>
        <v>10.719999999999999</v>
      </c>
      <c r="AI14" t="s">
        <v>358</v>
      </c>
      <c r="AJ14">
        <v>60</v>
      </c>
      <c r="AK14" t="s">
        <v>404</v>
      </c>
    </row>
    <row r="15" spans="1:50" x14ac:dyDescent="0.25">
      <c r="C15" s="25"/>
      <c r="D15" s="25"/>
      <c r="E15" s="25"/>
      <c r="F15" s="25"/>
      <c r="G15" s="25"/>
      <c r="H15" s="25"/>
      <c r="I15" s="25"/>
      <c r="J15" s="25"/>
      <c r="AI15" t="s">
        <v>359</v>
      </c>
      <c r="AJ15">
        <v>8</v>
      </c>
      <c r="AK15" t="s">
        <v>404</v>
      </c>
      <c r="AR15" s="25" t="s">
        <v>363</v>
      </c>
    </row>
    <row r="16" spans="1:50" x14ac:dyDescent="0.25">
      <c r="C16" s="25"/>
      <c r="D16" s="25">
        <v>1.2</v>
      </c>
      <c r="E16" s="6">
        <f>D16*AJ20/1000</f>
        <v>6.4000000000000001E-2</v>
      </c>
      <c r="F16" s="25">
        <v>0.33</v>
      </c>
      <c r="G16" s="25"/>
      <c r="H16" s="25"/>
      <c r="I16" s="25"/>
      <c r="K16" s="25">
        <v>2.8</v>
      </c>
      <c r="L16">
        <f>K16/D16</f>
        <v>2.3333333333333335</v>
      </c>
      <c r="N16" s="25">
        <v>93.1</v>
      </c>
      <c r="O16" s="25">
        <v>97.1</v>
      </c>
      <c r="P16" s="25">
        <v>97</v>
      </c>
      <c r="Q16" s="25">
        <v>92.2</v>
      </c>
      <c r="S16">
        <f t="shared" ref="S16:S40" si="12">D16*($AJ$17-X16)</f>
        <v>1117.1999999999998</v>
      </c>
      <c r="T16">
        <f>D16*((F16*1000/D16)-Y16)</f>
        <v>320.42999999999995</v>
      </c>
      <c r="U16">
        <f t="shared" ref="U16:U40" si="13">D16*($AJ$18-Z16)</f>
        <v>620.80000000000007</v>
      </c>
      <c r="V16">
        <f t="shared" ref="V16:V40" si="14">D16*($AJ$20-AA16)</f>
        <v>59.008000000000003</v>
      </c>
      <c r="X16">
        <f t="shared" ref="X16:X40" si="15">$AJ$17-(N16/100)*$AJ$17</f>
        <v>69.000000000000114</v>
      </c>
      <c r="Y16">
        <f>(F16*1000/D16)-(O16/100)*(F16*1000/D16)</f>
        <v>7.9750000000000227</v>
      </c>
      <c r="Z16">
        <f t="shared" ref="Z16:Z40" si="16">$AJ$18-(P16/100)*$AJ$18</f>
        <v>16</v>
      </c>
      <c r="AA16">
        <f t="shared" ref="AA16:AA40" si="17">$AJ$20-(Q16/100)*$AJ$20</f>
        <v>4.1599999999999966</v>
      </c>
      <c r="AQ16" t="s">
        <v>156</v>
      </c>
      <c r="AR16">
        <v>5</v>
      </c>
      <c r="AS16">
        <v>10</v>
      </c>
      <c r="AT16">
        <v>20</v>
      </c>
      <c r="AU16">
        <v>30</v>
      </c>
      <c r="AV16">
        <v>50</v>
      </c>
      <c r="AW16">
        <v>75</v>
      </c>
      <c r="AX16">
        <v>100</v>
      </c>
    </row>
    <row r="17" spans="1:50" x14ac:dyDescent="0.25">
      <c r="C17" s="25" t="s">
        <v>338</v>
      </c>
      <c r="D17" s="25">
        <v>6</v>
      </c>
      <c r="E17" s="25">
        <v>0.24</v>
      </c>
      <c r="F17" s="25">
        <v>1.8</v>
      </c>
      <c r="G17" s="25"/>
      <c r="H17" s="25">
        <v>120</v>
      </c>
      <c r="I17" s="25"/>
      <c r="J17" s="25"/>
      <c r="K17">
        <f>$L$16*D17</f>
        <v>14</v>
      </c>
      <c r="N17" s="25">
        <v>93.1</v>
      </c>
      <c r="O17" s="25">
        <v>97.1</v>
      </c>
      <c r="P17" s="25">
        <v>97</v>
      </c>
      <c r="Q17" s="25">
        <v>92.2</v>
      </c>
      <c r="S17">
        <f t="shared" si="12"/>
        <v>5585.9999999999991</v>
      </c>
      <c r="T17">
        <f t="shared" ref="T17:T40" si="18">D17*((F17*1000/D17)-Y17)</f>
        <v>1747.8000000000002</v>
      </c>
      <c r="U17">
        <f t="shared" si="13"/>
        <v>3104</v>
      </c>
      <c r="V17">
        <f t="shared" si="14"/>
        <v>295.04000000000002</v>
      </c>
      <c r="X17">
        <f t="shared" si="15"/>
        <v>69.000000000000114</v>
      </c>
      <c r="Y17">
        <f t="shared" ref="Y17:Y40" si="19">(F17*1000/D17)-(O17/100)*(F17*1000/D17)</f>
        <v>8.6999999999999886</v>
      </c>
      <c r="Z17">
        <f t="shared" si="16"/>
        <v>16</v>
      </c>
      <c r="AA17">
        <f t="shared" si="17"/>
        <v>4.1599999999999966</v>
      </c>
      <c r="AI17" t="s">
        <v>371</v>
      </c>
      <c r="AJ17">
        <f>AJ12/AJ6</f>
        <v>1000</v>
      </c>
      <c r="AK17" t="s">
        <v>335</v>
      </c>
      <c r="AQ17" t="s">
        <v>364</v>
      </c>
      <c r="AR17">
        <f t="shared" ref="AR17:AX17" si="20">$AJ$6*AR16</f>
        <v>0.75</v>
      </c>
      <c r="AS17">
        <f t="shared" si="20"/>
        <v>1.5</v>
      </c>
      <c r="AT17">
        <f t="shared" si="20"/>
        <v>3</v>
      </c>
      <c r="AU17">
        <f t="shared" si="20"/>
        <v>4.5</v>
      </c>
      <c r="AV17">
        <f t="shared" si="20"/>
        <v>7.5</v>
      </c>
      <c r="AW17">
        <f t="shared" si="20"/>
        <v>11.25</v>
      </c>
      <c r="AX17">
        <f t="shared" si="20"/>
        <v>15</v>
      </c>
    </row>
    <row r="18" spans="1:50" x14ac:dyDescent="0.25">
      <c r="C18" s="25" t="s">
        <v>339</v>
      </c>
      <c r="D18" s="25">
        <v>7</v>
      </c>
      <c r="E18" s="25">
        <v>0.28000000000000003</v>
      </c>
      <c r="F18" s="25">
        <v>2.1</v>
      </c>
      <c r="G18" s="25"/>
      <c r="H18" s="25">
        <v>120</v>
      </c>
      <c r="I18" s="25"/>
      <c r="J18" s="25"/>
      <c r="K18">
        <f t="shared" ref="K18:K40" si="21">$L$16*D18</f>
        <v>16.333333333333336</v>
      </c>
      <c r="N18" s="25">
        <v>93.1</v>
      </c>
      <c r="O18" s="25">
        <v>97.1</v>
      </c>
      <c r="P18" s="25">
        <v>97</v>
      </c>
      <c r="Q18" s="25">
        <v>92.2</v>
      </c>
      <c r="S18">
        <f t="shared" si="12"/>
        <v>6516.9999999999991</v>
      </c>
      <c r="T18">
        <f t="shared" si="18"/>
        <v>2039.1000000000001</v>
      </c>
      <c r="U18">
        <f t="shared" si="13"/>
        <v>3621.3333333333335</v>
      </c>
      <c r="V18">
        <f t="shared" si="14"/>
        <v>344.21333333333337</v>
      </c>
      <c r="X18">
        <f t="shared" si="15"/>
        <v>69.000000000000114</v>
      </c>
      <c r="Y18">
        <f t="shared" si="19"/>
        <v>8.6999999999999886</v>
      </c>
      <c r="Z18">
        <f t="shared" si="16"/>
        <v>16</v>
      </c>
      <c r="AA18">
        <f t="shared" si="17"/>
        <v>4.1599999999999966</v>
      </c>
      <c r="AI18" t="s">
        <v>374</v>
      </c>
      <c r="AJ18">
        <f>AJ13/AJ6</f>
        <v>533.33333333333337</v>
      </c>
      <c r="AK18" t="s">
        <v>335</v>
      </c>
      <c r="AQ18" t="s">
        <v>334</v>
      </c>
      <c r="AR18">
        <f>AR17*2</f>
        <v>1.5</v>
      </c>
      <c r="AS18">
        <f t="shared" ref="AS18:AW18" si="22">AS17*2</f>
        <v>3</v>
      </c>
      <c r="AT18">
        <f t="shared" si="22"/>
        <v>6</v>
      </c>
      <c r="AU18">
        <f t="shared" si="22"/>
        <v>9</v>
      </c>
      <c r="AV18">
        <f t="shared" si="22"/>
        <v>15</v>
      </c>
      <c r="AW18">
        <f t="shared" si="22"/>
        <v>22.5</v>
      </c>
      <c r="AX18">
        <f>AX17*2</f>
        <v>30</v>
      </c>
    </row>
    <row r="19" spans="1:50" x14ac:dyDescent="0.25">
      <c r="C19" s="25" t="s">
        <v>340</v>
      </c>
      <c r="D19" s="25">
        <v>8</v>
      </c>
      <c r="E19" s="25">
        <v>0.32</v>
      </c>
      <c r="F19" s="25">
        <v>2.4</v>
      </c>
      <c r="G19" s="25"/>
      <c r="H19" s="25">
        <v>120</v>
      </c>
      <c r="I19" s="25"/>
      <c r="J19" s="25"/>
      <c r="K19">
        <f t="shared" si="21"/>
        <v>18.666666666666668</v>
      </c>
      <c r="N19" s="25">
        <v>93.1</v>
      </c>
      <c r="O19" s="25">
        <v>97.1</v>
      </c>
      <c r="P19" s="25">
        <v>97</v>
      </c>
      <c r="Q19" s="25">
        <v>92.2</v>
      </c>
      <c r="S19">
        <f t="shared" si="12"/>
        <v>7447.9999999999991</v>
      </c>
      <c r="T19">
        <f t="shared" si="18"/>
        <v>2330.4</v>
      </c>
      <c r="U19">
        <f t="shared" si="13"/>
        <v>4138.666666666667</v>
      </c>
      <c r="V19">
        <f t="shared" si="14"/>
        <v>393.38666666666671</v>
      </c>
      <c r="X19">
        <f t="shared" si="15"/>
        <v>69.000000000000114</v>
      </c>
      <c r="Y19">
        <f t="shared" si="19"/>
        <v>8.6999999999999886</v>
      </c>
      <c r="Z19">
        <f t="shared" si="16"/>
        <v>16</v>
      </c>
      <c r="AA19">
        <f t="shared" si="17"/>
        <v>4.1599999999999966</v>
      </c>
      <c r="AI19" t="s">
        <v>358</v>
      </c>
      <c r="AJ19">
        <f>AJ14/AJ6</f>
        <v>400</v>
      </c>
      <c r="AK19" t="s">
        <v>335</v>
      </c>
      <c r="AQ19" t="s">
        <v>333</v>
      </c>
      <c r="AR19">
        <f>AR18*1.25</f>
        <v>1.875</v>
      </c>
      <c r="AS19">
        <f t="shared" ref="AS19:AW19" si="23">AS18*1.25</f>
        <v>3.75</v>
      </c>
      <c r="AT19">
        <f t="shared" si="23"/>
        <v>7.5</v>
      </c>
      <c r="AU19">
        <f t="shared" si="23"/>
        <v>11.25</v>
      </c>
      <c r="AV19">
        <f t="shared" si="23"/>
        <v>18.75</v>
      </c>
      <c r="AW19">
        <f t="shared" si="23"/>
        <v>28.125</v>
      </c>
      <c r="AX19">
        <f>AX18*1.25</f>
        <v>37.5</v>
      </c>
    </row>
    <row r="20" spans="1:50" x14ac:dyDescent="0.25">
      <c r="C20" s="25" t="s">
        <v>341</v>
      </c>
      <c r="D20" s="25">
        <v>10</v>
      </c>
      <c r="E20" s="25">
        <v>0.4</v>
      </c>
      <c r="F20" s="25">
        <v>3</v>
      </c>
      <c r="G20" s="25"/>
      <c r="H20" s="25">
        <v>120</v>
      </c>
      <c r="I20" s="25"/>
      <c r="J20" s="25"/>
      <c r="K20">
        <f t="shared" si="21"/>
        <v>23.333333333333336</v>
      </c>
      <c r="N20" s="25">
        <v>93.1</v>
      </c>
      <c r="O20" s="25">
        <v>97.1</v>
      </c>
      <c r="P20" s="25">
        <v>97</v>
      </c>
      <c r="Q20" s="25">
        <v>92.2</v>
      </c>
      <c r="S20">
        <f t="shared" si="12"/>
        <v>9309.9999999999982</v>
      </c>
      <c r="T20">
        <f t="shared" si="18"/>
        <v>2913</v>
      </c>
      <c r="U20">
        <f t="shared" si="13"/>
        <v>5173.3333333333339</v>
      </c>
      <c r="V20">
        <f t="shared" si="14"/>
        <v>491.73333333333341</v>
      </c>
      <c r="X20">
        <f t="shared" si="15"/>
        <v>69.000000000000114</v>
      </c>
      <c r="Y20">
        <f t="shared" si="19"/>
        <v>8.6999999999999886</v>
      </c>
      <c r="Z20">
        <f t="shared" si="16"/>
        <v>16</v>
      </c>
      <c r="AA20">
        <f t="shared" si="17"/>
        <v>4.1599999999999966</v>
      </c>
      <c r="AI20" t="s">
        <v>359</v>
      </c>
      <c r="AJ20">
        <f>AJ15/AJ6</f>
        <v>53.333333333333336</v>
      </c>
      <c r="AK20" t="s">
        <v>335</v>
      </c>
      <c r="AQ20" t="s">
        <v>270</v>
      </c>
      <c r="AR20">
        <f>AR17*4</f>
        <v>3</v>
      </c>
      <c r="AS20">
        <f>AS17*4</f>
        <v>6</v>
      </c>
      <c r="AT20">
        <f t="shared" ref="AT20:AW20" si="24">AT17*4</f>
        <v>12</v>
      </c>
      <c r="AU20">
        <f t="shared" si="24"/>
        <v>18</v>
      </c>
      <c r="AV20">
        <f t="shared" si="24"/>
        <v>30</v>
      </c>
      <c r="AW20">
        <f t="shared" si="24"/>
        <v>45</v>
      </c>
      <c r="AX20">
        <f>AX17*4</f>
        <v>60</v>
      </c>
    </row>
    <row r="21" spans="1:50" x14ac:dyDescent="0.25">
      <c r="C21" s="25" t="s">
        <v>342</v>
      </c>
      <c r="D21" s="25">
        <v>9</v>
      </c>
      <c r="E21" s="25">
        <v>0.48</v>
      </c>
      <c r="F21" s="25">
        <v>3.6</v>
      </c>
      <c r="G21" s="25"/>
      <c r="H21" s="25">
        <v>90</v>
      </c>
      <c r="I21" s="25"/>
      <c r="J21" s="25"/>
      <c r="K21">
        <f t="shared" si="21"/>
        <v>21</v>
      </c>
      <c r="N21" s="25">
        <v>93.1</v>
      </c>
      <c r="O21" s="25">
        <v>97.1</v>
      </c>
      <c r="P21" s="25">
        <v>97</v>
      </c>
      <c r="Q21" s="25">
        <v>92.2</v>
      </c>
      <c r="S21">
        <f t="shared" si="12"/>
        <v>8378.9999999999982</v>
      </c>
      <c r="T21">
        <f t="shared" si="18"/>
        <v>3495.6</v>
      </c>
      <c r="U21">
        <f t="shared" si="13"/>
        <v>4656</v>
      </c>
      <c r="V21">
        <f t="shared" si="14"/>
        <v>442.56000000000006</v>
      </c>
      <c r="X21">
        <f t="shared" si="15"/>
        <v>69.000000000000114</v>
      </c>
      <c r="Y21">
        <f t="shared" si="19"/>
        <v>11.600000000000023</v>
      </c>
      <c r="Z21">
        <f t="shared" si="16"/>
        <v>16</v>
      </c>
      <c r="AA21">
        <f t="shared" si="17"/>
        <v>4.1599999999999966</v>
      </c>
    </row>
    <row r="22" spans="1:50" x14ac:dyDescent="0.25">
      <c r="A22">
        <v>30</v>
      </c>
      <c r="C22" s="25" t="s">
        <v>343</v>
      </c>
      <c r="D22" s="25">
        <v>9</v>
      </c>
      <c r="E22" s="25">
        <v>0.48</v>
      </c>
      <c r="F22" s="25">
        <v>3.6</v>
      </c>
      <c r="G22" s="25"/>
      <c r="H22" s="25">
        <v>90</v>
      </c>
      <c r="I22" s="25"/>
      <c r="J22" s="25"/>
      <c r="K22">
        <f t="shared" si="21"/>
        <v>21</v>
      </c>
      <c r="N22" s="25">
        <v>93.1</v>
      </c>
      <c r="O22" s="25">
        <v>97.1</v>
      </c>
      <c r="P22" s="25">
        <v>97</v>
      </c>
      <c r="Q22" s="25">
        <v>92.2</v>
      </c>
      <c r="S22">
        <f t="shared" si="12"/>
        <v>8378.9999999999982</v>
      </c>
      <c r="T22">
        <f t="shared" si="18"/>
        <v>3495.6</v>
      </c>
      <c r="U22">
        <f t="shared" si="13"/>
        <v>4656</v>
      </c>
      <c r="V22">
        <f t="shared" si="14"/>
        <v>442.56000000000006</v>
      </c>
      <c r="X22">
        <f t="shared" si="15"/>
        <v>69.000000000000114</v>
      </c>
      <c r="Y22">
        <f t="shared" si="19"/>
        <v>11.600000000000023</v>
      </c>
      <c r="Z22">
        <f t="shared" si="16"/>
        <v>16</v>
      </c>
      <c r="AA22">
        <f t="shared" si="17"/>
        <v>4.1599999999999966</v>
      </c>
      <c r="AI22" t="s">
        <v>406</v>
      </c>
      <c r="AQ22" t="s">
        <v>365</v>
      </c>
    </row>
    <row r="23" spans="1:50" x14ac:dyDescent="0.25">
      <c r="C23" s="25" t="s">
        <v>344</v>
      </c>
      <c r="D23" s="25">
        <v>9</v>
      </c>
      <c r="E23" s="25">
        <v>0.48</v>
      </c>
      <c r="F23" s="25">
        <v>3.6</v>
      </c>
      <c r="G23" s="25"/>
      <c r="H23" s="25">
        <v>90</v>
      </c>
      <c r="I23" s="25"/>
      <c r="J23" s="25"/>
      <c r="K23">
        <f t="shared" si="21"/>
        <v>21</v>
      </c>
      <c r="N23" s="25">
        <v>93.1</v>
      </c>
      <c r="O23" s="25">
        <v>97.1</v>
      </c>
      <c r="P23" s="25">
        <v>97</v>
      </c>
      <c r="Q23" s="25">
        <v>92.2</v>
      </c>
      <c r="S23">
        <f t="shared" si="12"/>
        <v>8378.9999999999982</v>
      </c>
      <c r="T23">
        <f t="shared" si="18"/>
        <v>3495.6</v>
      </c>
      <c r="U23">
        <f t="shared" si="13"/>
        <v>4656</v>
      </c>
      <c r="V23">
        <f t="shared" si="14"/>
        <v>442.56000000000006</v>
      </c>
      <c r="X23">
        <f t="shared" si="15"/>
        <v>69.000000000000114</v>
      </c>
      <c r="Y23">
        <f t="shared" si="19"/>
        <v>11.600000000000023</v>
      </c>
      <c r="Z23">
        <f t="shared" si="16"/>
        <v>16</v>
      </c>
      <c r="AA23">
        <f t="shared" si="17"/>
        <v>4.1599999999999966</v>
      </c>
      <c r="AI23" t="s">
        <v>371</v>
      </c>
      <c r="AJ23">
        <v>150</v>
      </c>
      <c r="AK23" t="s">
        <v>404</v>
      </c>
      <c r="AQ23" t="s">
        <v>367</v>
      </c>
      <c r="AR23">
        <f>AR17*$AJ$19/1000</f>
        <v>0.3</v>
      </c>
      <c r="AS23">
        <f t="shared" ref="AS23:AX23" si="25">AS17*$AJ$19/1000</f>
        <v>0.6</v>
      </c>
      <c r="AT23">
        <f t="shared" si="25"/>
        <v>1.2</v>
      </c>
      <c r="AU23">
        <f t="shared" si="25"/>
        <v>1.8</v>
      </c>
      <c r="AV23">
        <f t="shared" si="25"/>
        <v>3</v>
      </c>
      <c r="AW23">
        <f t="shared" si="25"/>
        <v>4.5</v>
      </c>
      <c r="AX23">
        <f t="shared" si="25"/>
        <v>6</v>
      </c>
    </row>
    <row r="24" spans="1:50" x14ac:dyDescent="0.25">
      <c r="C24" s="25" t="s">
        <v>345</v>
      </c>
      <c r="D24" s="25">
        <v>11.3</v>
      </c>
      <c r="E24" s="25">
        <v>0.6</v>
      </c>
      <c r="F24" s="25">
        <v>4.5</v>
      </c>
      <c r="G24" s="25"/>
      <c r="H24" s="25">
        <v>90</v>
      </c>
      <c r="I24" s="25"/>
      <c r="J24" s="25"/>
      <c r="K24">
        <f t="shared" si="21"/>
        <v>26.366666666666671</v>
      </c>
      <c r="N24" s="25">
        <v>93.1</v>
      </c>
      <c r="O24" s="25">
        <v>97.1</v>
      </c>
      <c r="P24" s="25">
        <v>97</v>
      </c>
      <c r="Q24" s="25">
        <v>92.2</v>
      </c>
      <c r="S24">
        <f t="shared" si="12"/>
        <v>10520.3</v>
      </c>
      <c r="T24">
        <f t="shared" si="18"/>
        <v>4369.5</v>
      </c>
      <c r="U24">
        <f t="shared" si="13"/>
        <v>5845.8666666666677</v>
      </c>
      <c r="V24">
        <f t="shared" si="14"/>
        <v>555.65866666666682</v>
      </c>
      <c r="X24">
        <f t="shared" si="15"/>
        <v>69.000000000000114</v>
      </c>
      <c r="Y24" s="7">
        <f t="shared" si="19"/>
        <v>11.548672566371692</v>
      </c>
      <c r="Z24">
        <f t="shared" si="16"/>
        <v>16</v>
      </c>
      <c r="AA24">
        <f t="shared" si="17"/>
        <v>4.1599999999999966</v>
      </c>
      <c r="AI24" t="s">
        <v>374</v>
      </c>
      <c r="AJ24">
        <v>80</v>
      </c>
      <c r="AK24" t="s">
        <v>404</v>
      </c>
      <c r="AQ24" t="s">
        <v>366</v>
      </c>
      <c r="AR24" s="1">
        <f t="shared" ref="AR24:AX24" si="26">AR17*$AJ$20/1000</f>
        <v>0.04</v>
      </c>
      <c r="AS24" s="1">
        <f t="shared" si="26"/>
        <v>0.08</v>
      </c>
      <c r="AT24" s="1">
        <f t="shared" si="26"/>
        <v>0.16</v>
      </c>
      <c r="AU24" s="1">
        <f t="shared" si="26"/>
        <v>0.24</v>
      </c>
      <c r="AV24" s="1">
        <f t="shared" si="26"/>
        <v>0.4</v>
      </c>
      <c r="AW24" s="1">
        <f t="shared" si="26"/>
        <v>0.6</v>
      </c>
      <c r="AX24" s="1">
        <f t="shared" si="26"/>
        <v>0.8</v>
      </c>
    </row>
    <row r="25" spans="1:50" x14ac:dyDescent="0.25">
      <c r="C25" s="25" t="s">
        <v>346</v>
      </c>
      <c r="D25" s="25">
        <v>11.3</v>
      </c>
      <c r="E25" s="25">
        <v>0.6</v>
      </c>
      <c r="F25" s="25">
        <v>4.5</v>
      </c>
      <c r="G25" s="25"/>
      <c r="H25" s="25">
        <v>90</v>
      </c>
      <c r="I25" s="25"/>
      <c r="J25" s="25"/>
      <c r="K25">
        <f t="shared" si="21"/>
        <v>26.366666666666671</v>
      </c>
      <c r="N25" s="25">
        <v>93.1</v>
      </c>
      <c r="O25" s="25">
        <v>97.1</v>
      </c>
      <c r="P25" s="25">
        <v>97</v>
      </c>
      <c r="Q25" s="25">
        <v>92.2</v>
      </c>
      <c r="S25">
        <f t="shared" si="12"/>
        <v>10520.3</v>
      </c>
      <c r="T25">
        <f t="shared" si="18"/>
        <v>4369.5</v>
      </c>
      <c r="U25">
        <f t="shared" si="13"/>
        <v>5845.8666666666677</v>
      </c>
      <c r="V25">
        <f t="shared" si="14"/>
        <v>555.65866666666682</v>
      </c>
      <c r="X25">
        <f t="shared" si="15"/>
        <v>69.000000000000114</v>
      </c>
      <c r="Y25" s="7">
        <f t="shared" si="19"/>
        <v>11.548672566371692</v>
      </c>
      <c r="Z25">
        <f t="shared" si="16"/>
        <v>16</v>
      </c>
      <c r="AA25">
        <f t="shared" si="17"/>
        <v>4.1599999999999966</v>
      </c>
      <c r="AI25" t="s">
        <v>358</v>
      </c>
      <c r="AJ25">
        <v>60</v>
      </c>
      <c r="AK25" t="s">
        <v>404</v>
      </c>
    </row>
    <row r="26" spans="1:50" x14ac:dyDescent="0.25">
      <c r="C26" s="25" t="s">
        <v>347</v>
      </c>
      <c r="D26" s="25">
        <v>11.3</v>
      </c>
      <c r="E26" s="25">
        <v>0.6</v>
      </c>
      <c r="F26" s="25">
        <v>4.5</v>
      </c>
      <c r="G26" s="25"/>
      <c r="H26" s="25">
        <v>90</v>
      </c>
      <c r="I26" s="25"/>
      <c r="J26" s="25"/>
      <c r="K26">
        <f t="shared" si="21"/>
        <v>26.366666666666671</v>
      </c>
      <c r="N26" s="25">
        <v>93.1</v>
      </c>
      <c r="O26" s="25">
        <v>97.1</v>
      </c>
      <c r="P26" s="25">
        <v>97</v>
      </c>
      <c r="Q26" s="25">
        <v>92.2</v>
      </c>
      <c r="S26">
        <f t="shared" si="12"/>
        <v>10520.3</v>
      </c>
      <c r="T26">
        <f t="shared" si="18"/>
        <v>4369.5</v>
      </c>
      <c r="U26">
        <f t="shared" si="13"/>
        <v>5845.8666666666677</v>
      </c>
      <c r="V26">
        <f t="shared" si="14"/>
        <v>555.65866666666682</v>
      </c>
      <c r="X26">
        <f t="shared" si="15"/>
        <v>69.000000000000114</v>
      </c>
      <c r="Y26" s="7">
        <f>(F26*1000/D26)-(O26/100)*(F26*1000/D26)</f>
        <v>11.548672566371692</v>
      </c>
      <c r="Z26">
        <f t="shared" si="16"/>
        <v>16</v>
      </c>
      <c r="AA26">
        <f t="shared" si="17"/>
        <v>4.1599999999999966</v>
      </c>
      <c r="AI26" t="s">
        <v>359</v>
      </c>
      <c r="AJ26">
        <v>7.5</v>
      </c>
      <c r="AK26" t="s">
        <v>404</v>
      </c>
    </row>
    <row r="27" spans="1:50" x14ac:dyDescent="0.25">
      <c r="C27" s="25" t="s">
        <v>348</v>
      </c>
      <c r="D27" s="25">
        <v>15</v>
      </c>
      <c r="E27" s="25">
        <v>0.8</v>
      </c>
      <c r="F27" s="25">
        <v>6</v>
      </c>
      <c r="G27" s="25"/>
      <c r="H27" s="25">
        <v>90</v>
      </c>
      <c r="I27" s="25"/>
      <c r="J27" s="25"/>
      <c r="K27">
        <f t="shared" si="21"/>
        <v>35</v>
      </c>
      <c r="N27" s="25">
        <v>93.1</v>
      </c>
      <c r="O27" s="25">
        <v>97.1</v>
      </c>
      <c r="P27" s="25">
        <v>97</v>
      </c>
      <c r="Q27" s="25">
        <v>92.2</v>
      </c>
      <c r="S27">
        <f t="shared" si="12"/>
        <v>13964.999999999998</v>
      </c>
      <c r="T27">
        <f t="shared" si="18"/>
        <v>5826</v>
      </c>
      <c r="U27">
        <f t="shared" si="13"/>
        <v>7760.0000000000009</v>
      </c>
      <c r="V27">
        <f t="shared" si="14"/>
        <v>737.60000000000014</v>
      </c>
      <c r="X27">
        <f t="shared" si="15"/>
        <v>69.000000000000114</v>
      </c>
      <c r="Y27">
        <f t="shared" si="19"/>
        <v>11.600000000000023</v>
      </c>
      <c r="Z27">
        <f t="shared" si="16"/>
        <v>16</v>
      </c>
      <c r="AA27">
        <f t="shared" si="17"/>
        <v>4.1599999999999966</v>
      </c>
    </row>
    <row r="28" spans="1:50" x14ac:dyDescent="0.25">
      <c r="A28">
        <v>50</v>
      </c>
      <c r="C28" s="25" t="s">
        <v>349</v>
      </c>
      <c r="D28" s="25">
        <v>15</v>
      </c>
      <c r="E28" s="25">
        <v>0.8</v>
      </c>
      <c r="F28" s="25">
        <v>6</v>
      </c>
      <c r="G28" s="25"/>
      <c r="H28" s="25">
        <v>90</v>
      </c>
      <c r="I28" s="25"/>
      <c r="J28" s="25"/>
      <c r="K28">
        <f t="shared" si="21"/>
        <v>35</v>
      </c>
      <c r="N28" s="25">
        <v>93.1</v>
      </c>
      <c r="O28" s="25">
        <v>97.1</v>
      </c>
      <c r="P28" s="25">
        <v>97</v>
      </c>
      <c r="Q28" s="25">
        <v>92.2</v>
      </c>
      <c r="S28">
        <f t="shared" si="12"/>
        <v>13964.999999999998</v>
      </c>
      <c r="T28">
        <f t="shared" si="18"/>
        <v>5826</v>
      </c>
      <c r="U28">
        <f t="shared" si="13"/>
        <v>7760.0000000000009</v>
      </c>
      <c r="V28">
        <f t="shared" si="14"/>
        <v>737.60000000000014</v>
      </c>
      <c r="X28">
        <f t="shared" si="15"/>
        <v>69.000000000000114</v>
      </c>
      <c r="Y28">
        <f t="shared" si="19"/>
        <v>11.600000000000023</v>
      </c>
      <c r="Z28">
        <f t="shared" si="16"/>
        <v>16</v>
      </c>
      <c r="AA28">
        <f t="shared" si="17"/>
        <v>4.1599999999999966</v>
      </c>
      <c r="AI28" t="s">
        <v>371</v>
      </c>
      <c r="AJ28">
        <v>500</v>
      </c>
      <c r="AK28" t="s">
        <v>335</v>
      </c>
    </row>
    <row r="29" spans="1:50" x14ac:dyDescent="0.25">
      <c r="C29" s="25" t="s">
        <v>350</v>
      </c>
      <c r="D29" s="25">
        <v>15</v>
      </c>
      <c r="E29" s="25">
        <v>0.8</v>
      </c>
      <c r="F29" s="25">
        <v>6</v>
      </c>
      <c r="G29" s="25"/>
      <c r="H29" s="25">
        <v>90</v>
      </c>
      <c r="I29" s="25"/>
      <c r="J29" s="25"/>
      <c r="K29">
        <f t="shared" si="21"/>
        <v>35</v>
      </c>
      <c r="N29" s="25">
        <v>93.1</v>
      </c>
      <c r="O29" s="25">
        <v>97.1</v>
      </c>
      <c r="P29" s="25">
        <v>97</v>
      </c>
      <c r="Q29" s="25">
        <v>92.2</v>
      </c>
      <c r="S29">
        <f t="shared" si="12"/>
        <v>13964.999999999998</v>
      </c>
      <c r="T29">
        <f t="shared" si="18"/>
        <v>5826</v>
      </c>
      <c r="U29">
        <f t="shared" si="13"/>
        <v>7760.0000000000009</v>
      </c>
      <c r="V29">
        <f t="shared" si="14"/>
        <v>737.60000000000014</v>
      </c>
      <c r="X29">
        <f t="shared" si="15"/>
        <v>69.000000000000114</v>
      </c>
      <c r="Y29">
        <f t="shared" si="19"/>
        <v>11.600000000000023</v>
      </c>
      <c r="Z29">
        <f t="shared" si="16"/>
        <v>16</v>
      </c>
      <c r="AA29">
        <f t="shared" si="17"/>
        <v>4.1599999999999966</v>
      </c>
      <c r="AI29" t="s">
        <v>374</v>
      </c>
      <c r="AJ29">
        <v>266.66666666666669</v>
      </c>
      <c r="AK29" t="s">
        <v>335</v>
      </c>
    </row>
    <row r="30" spans="1:50" x14ac:dyDescent="0.25">
      <c r="C30" s="25" t="s">
        <v>351</v>
      </c>
      <c r="D30" s="25">
        <v>18.8</v>
      </c>
      <c r="E30" s="25">
        <v>1</v>
      </c>
      <c r="F30" s="25">
        <v>7.5</v>
      </c>
      <c r="G30" s="25"/>
      <c r="H30" s="25">
        <v>90</v>
      </c>
      <c r="I30" s="25"/>
      <c r="J30" s="25"/>
      <c r="K30">
        <f t="shared" si="21"/>
        <v>43.866666666666674</v>
      </c>
      <c r="N30" s="25">
        <v>93.1</v>
      </c>
      <c r="O30" s="25">
        <v>97.1</v>
      </c>
      <c r="P30" s="25">
        <v>97</v>
      </c>
      <c r="Q30" s="25">
        <v>92.2</v>
      </c>
      <c r="S30">
        <f t="shared" si="12"/>
        <v>17502.8</v>
      </c>
      <c r="T30">
        <f t="shared" si="18"/>
        <v>7282.5</v>
      </c>
      <c r="U30">
        <f t="shared" si="13"/>
        <v>9725.8666666666686</v>
      </c>
      <c r="V30">
        <f t="shared" si="14"/>
        <v>924.45866666666677</v>
      </c>
      <c r="X30">
        <f t="shared" si="15"/>
        <v>69.000000000000114</v>
      </c>
      <c r="Y30" s="7">
        <f t="shared" si="19"/>
        <v>11.569148936170222</v>
      </c>
      <c r="Z30">
        <f t="shared" si="16"/>
        <v>16</v>
      </c>
      <c r="AA30">
        <f t="shared" si="17"/>
        <v>4.1599999999999966</v>
      </c>
      <c r="AI30" t="s">
        <v>358</v>
      </c>
      <c r="AJ30">
        <v>200</v>
      </c>
      <c r="AK30" t="s">
        <v>335</v>
      </c>
    </row>
    <row r="31" spans="1:50" x14ac:dyDescent="0.25">
      <c r="C31" s="25" t="s">
        <v>352</v>
      </c>
      <c r="D31" s="25">
        <v>18.8</v>
      </c>
      <c r="E31" s="25">
        <v>1</v>
      </c>
      <c r="F31" s="25">
        <v>7.5</v>
      </c>
      <c r="G31" s="25"/>
      <c r="H31" s="25">
        <v>90</v>
      </c>
      <c r="I31" s="25"/>
      <c r="J31" s="25"/>
      <c r="K31">
        <f t="shared" si="21"/>
        <v>43.866666666666674</v>
      </c>
      <c r="N31" s="25">
        <v>93.1</v>
      </c>
      <c r="O31" s="25">
        <v>97.1</v>
      </c>
      <c r="P31" s="25">
        <v>97</v>
      </c>
      <c r="Q31" s="25">
        <v>92.2</v>
      </c>
      <c r="S31">
        <f t="shared" si="12"/>
        <v>17502.8</v>
      </c>
      <c r="T31">
        <f>D31*((F31*1000/D31)-Y31)</f>
        <v>7282.5</v>
      </c>
      <c r="U31">
        <f t="shared" si="13"/>
        <v>9725.8666666666686</v>
      </c>
      <c r="V31">
        <f t="shared" si="14"/>
        <v>924.45866666666677</v>
      </c>
      <c r="X31">
        <f t="shared" si="15"/>
        <v>69.000000000000114</v>
      </c>
      <c r="Y31" s="7">
        <f t="shared" si="19"/>
        <v>11.569148936170222</v>
      </c>
      <c r="Z31">
        <f t="shared" si="16"/>
        <v>16</v>
      </c>
      <c r="AA31">
        <f t="shared" si="17"/>
        <v>4.1599999999999966</v>
      </c>
      <c r="AI31" t="s">
        <v>359</v>
      </c>
      <c r="AJ31">
        <v>25</v>
      </c>
      <c r="AK31" t="s">
        <v>335</v>
      </c>
    </row>
    <row r="32" spans="1:50" x14ac:dyDescent="0.25">
      <c r="C32" s="25" t="s">
        <v>353</v>
      </c>
      <c r="D32" s="25">
        <v>18.8</v>
      </c>
      <c r="E32" s="25">
        <v>1</v>
      </c>
      <c r="F32" s="25">
        <v>7.5</v>
      </c>
      <c r="G32" s="25"/>
      <c r="H32" s="25">
        <v>90</v>
      </c>
      <c r="I32" s="25"/>
      <c r="J32" s="25"/>
      <c r="K32">
        <f t="shared" si="21"/>
        <v>43.866666666666674</v>
      </c>
      <c r="N32" s="25">
        <v>93.1</v>
      </c>
      <c r="O32" s="25">
        <v>97.1</v>
      </c>
      <c r="P32" s="25">
        <v>97</v>
      </c>
      <c r="Q32" s="25">
        <v>92.2</v>
      </c>
      <c r="S32">
        <f t="shared" si="12"/>
        <v>17502.8</v>
      </c>
      <c r="T32">
        <f t="shared" si="18"/>
        <v>7282.5</v>
      </c>
      <c r="U32">
        <f t="shared" si="13"/>
        <v>9725.8666666666686</v>
      </c>
      <c r="V32">
        <f t="shared" si="14"/>
        <v>924.45866666666677</v>
      </c>
      <c r="X32">
        <f t="shared" si="15"/>
        <v>69.000000000000114</v>
      </c>
      <c r="Y32" s="7">
        <f t="shared" si="19"/>
        <v>11.569148936170222</v>
      </c>
      <c r="Z32">
        <f t="shared" si="16"/>
        <v>16</v>
      </c>
      <c r="AA32">
        <f t="shared" si="17"/>
        <v>4.1599999999999966</v>
      </c>
    </row>
    <row r="33" spans="1:41" x14ac:dyDescent="0.25">
      <c r="C33" s="25" t="s">
        <v>354</v>
      </c>
      <c r="D33" s="25">
        <v>22.5</v>
      </c>
      <c r="E33" s="25">
        <v>1.2</v>
      </c>
      <c r="F33" s="25">
        <v>9</v>
      </c>
      <c r="G33" s="25"/>
      <c r="H33" s="25">
        <v>90</v>
      </c>
      <c r="I33" s="25"/>
      <c r="J33" s="25"/>
      <c r="K33">
        <f t="shared" si="21"/>
        <v>52.5</v>
      </c>
      <c r="N33" s="25">
        <v>93.1</v>
      </c>
      <c r="O33" s="25">
        <v>97.1</v>
      </c>
      <c r="P33" s="25">
        <v>97</v>
      </c>
      <c r="Q33" s="25">
        <v>92.2</v>
      </c>
      <c r="S33">
        <f t="shared" si="12"/>
        <v>20947.499999999996</v>
      </c>
      <c r="T33">
        <f t="shared" si="18"/>
        <v>8739</v>
      </c>
      <c r="U33">
        <f t="shared" si="13"/>
        <v>11640</v>
      </c>
      <c r="V33">
        <f t="shared" si="14"/>
        <v>1106.4000000000001</v>
      </c>
      <c r="X33">
        <f t="shared" si="15"/>
        <v>69.000000000000114</v>
      </c>
      <c r="Y33">
        <f t="shared" si="19"/>
        <v>11.600000000000023</v>
      </c>
      <c r="Z33">
        <f t="shared" si="16"/>
        <v>16</v>
      </c>
      <c r="AA33">
        <f t="shared" si="17"/>
        <v>4.1599999999999966</v>
      </c>
    </row>
    <row r="34" spans="1:41" x14ac:dyDescent="0.25">
      <c r="A34">
        <v>75</v>
      </c>
      <c r="C34" s="25" t="s">
        <v>355</v>
      </c>
      <c r="D34" s="25">
        <v>22.5</v>
      </c>
      <c r="E34" s="25">
        <v>1.2</v>
      </c>
      <c r="F34" s="25">
        <v>9</v>
      </c>
      <c r="G34" s="25"/>
      <c r="H34" s="25">
        <v>90</v>
      </c>
      <c r="I34" s="25"/>
      <c r="J34" s="25"/>
      <c r="K34">
        <f t="shared" si="21"/>
        <v>52.5</v>
      </c>
      <c r="N34" s="25">
        <v>93.1</v>
      </c>
      <c r="O34" s="25">
        <v>97.1</v>
      </c>
      <c r="P34" s="25">
        <v>97</v>
      </c>
      <c r="Q34" s="25">
        <v>92.2</v>
      </c>
      <c r="S34">
        <f t="shared" si="12"/>
        <v>20947.499999999996</v>
      </c>
      <c r="T34">
        <f t="shared" si="18"/>
        <v>8739</v>
      </c>
      <c r="U34">
        <f t="shared" si="13"/>
        <v>11640</v>
      </c>
      <c r="V34">
        <f t="shared" si="14"/>
        <v>1106.4000000000001</v>
      </c>
      <c r="X34">
        <f t="shared" si="15"/>
        <v>69.000000000000114</v>
      </c>
      <c r="Y34">
        <f t="shared" si="19"/>
        <v>11.600000000000023</v>
      </c>
      <c r="Z34">
        <f t="shared" si="16"/>
        <v>16</v>
      </c>
      <c r="AA34">
        <f t="shared" si="17"/>
        <v>4.1599999999999966</v>
      </c>
    </row>
    <row r="35" spans="1:41" x14ac:dyDescent="0.25">
      <c r="C35" s="25" t="s">
        <v>356</v>
      </c>
      <c r="D35" s="25">
        <v>22.5</v>
      </c>
      <c r="E35" s="25">
        <v>1.2</v>
      </c>
      <c r="F35" s="25">
        <v>9</v>
      </c>
      <c r="G35" s="25"/>
      <c r="H35" s="25">
        <v>90</v>
      </c>
      <c r="I35" s="25"/>
      <c r="J35" s="25"/>
      <c r="K35">
        <f t="shared" si="21"/>
        <v>52.5</v>
      </c>
      <c r="N35" s="25">
        <v>93.1</v>
      </c>
      <c r="O35" s="25">
        <v>97.1</v>
      </c>
      <c r="P35" s="25">
        <v>97</v>
      </c>
      <c r="Q35" s="25">
        <v>92.2</v>
      </c>
      <c r="S35">
        <f t="shared" si="12"/>
        <v>20947.499999999996</v>
      </c>
      <c r="T35">
        <f t="shared" si="18"/>
        <v>8739</v>
      </c>
      <c r="U35">
        <f t="shared" si="13"/>
        <v>11640</v>
      </c>
      <c r="V35">
        <f t="shared" si="14"/>
        <v>1106.4000000000001</v>
      </c>
      <c r="X35">
        <f t="shared" si="15"/>
        <v>69.000000000000114</v>
      </c>
      <c r="Y35">
        <f t="shared" si="19"/>
        <v>11.600000000000023</v>
      </c>
      <c r="Z35">
        <f t="shared" si="16"/>
        <v>16</v>
      </c>
      <c r="AA35">
        <f t="shared" si="17"/>
        <v>4.1599999999999966</v>
      </c>
    </row>
    <row r="36" spans="1:41" x14ac:dyDescent="0.25">
      <c r="C36" s="25" t="s">
        <v>390</v>
      </c>
      <c r="D36" s="25">
        <v>30</v>
      </c>
      <c r="E36" s="25">
        <v>1.6</v>
      </c>
      <c r="F36" s="25">
        <v>12</v>
      </c>
      <c r="G36" s="25"/>
      <c r="H36" s="25">
        <v>60</v>
      </c>
      <c r="I36" s="25"/>
      <c r="J36" s="25"/>
      <c r="K36">
        <f t="shared" si="21"/>
        <v>70</v>
      </c>
      <c r="N36" s="25">
        <v>93.1</v>
      </c>
      <c r="O36" s="25">
        <v>97.1</v>
      </c>
      <c r="P36" s="25">
        <v>97</v>
      </c>
      <c r="Q36" s="25">
        <v>92.2</v>
      </c>
      <c r="S36">
        <f t="shared" si="12"/>
        <v>27929.999999999996</v>
      </c>
      <c r="T36">
        <f t="shared" si="18"/>
        <v>11652</v>
      </c>
      <c r="U36">
        <f t="shared" si="13"/>
        <v>15520.000000000002</v>
      </c>
      <c r="V36">
        <f t="shared" si="14"/>
        <v>1475.2000000000003</v>
      </c>
      <c r="X36">
        <f t="shared" si="15"/>
        <v>69.000000000000114</v>
      </c>
      <c r="Y36">
        <f t="shared" si="19"/>
        <v>11.600000000000023</v>
      </c>
      <c r="Z36">
        <f t="shared" si="16"/>
        <v>16</v>
      </c>
      <c r="AA36">
        <f t="shared" si="17"/>
        <v>4.1599999999999966</v>
      </c>
    </row>
    <row r="37" spans="1:41" x14ac:dyDescent="0.25">
      <c r="A37">
        <v>100</v>
      </c>
      <c r="C37" s="25" t="s">
        <v>391</v>
      </c>
      <c r="D37" s="25">
        <v>30</v>
      </c>
      <c r="E37" s="25">
        <v>1.6</v>
      </c>
      <c r="F37" s="25">
        <v>12</v>
      </c>
      <c r="G37" s="25"/>
      <c r="H37" s="25">
        <v>60</v>
      </c>
      <c r="I37" s="25"/>
      <c r="J37" s="25"/>
      <c r="K37">
        <f t="shared" si="21"/>
        <v>70</v>
      </c>
      <c r="N37" s="25">
        <v>93.1</v>
      </c>
      <c r="O37" s="25">
        <v>97.1</v>
      </c>
      <c r="P37" s="25">
        <v>97</v>
      </c>
      <c r="Q37" s="25">
        <v>92.2</v>
      </c>
      <c r="S37">
        <f t="shared" si="12"/>
        <v>27929.999999999996</v>
      </c>
      <c r="T37">
        <f t="shared" si="18"/>
        <v>11652</v>
      </c>
      <c r="U37">
        <f t="shared" si="13"/>
        <v>15520.000000000002</v>
      </c>
      <c r="V37">
        <f t="shared" si="14"/>
        <v>1475.2000000000003</v>
      </c>
      <c r="X37">
        <f t="shared" si="15"/>
        <v>69.000000000000114</v>
      </c>
      <c r="Y37">
        <f t="shared" si="19"/>
        <v>11.600000000000023</v>
      </c>
      <c r="Z37">
        <f t="shared" si="16"/>
        <v>16</v>
      </c>
      <c r="AA37">
        <f t="shared" si="17"/>
        <v>4.1599999999999966</v>
      </c>
    </row>
    <row r="38" spans="1:41" x14ac:dyDescent="0.25">
      <c r="C38" s="25" t="s">
        <v>392</v>
      </c>
      <c r="D38" s="25">
        <v>30</v>
      </c>
      <c r="E38" s="25">
        <v>1.6</v>
      </c>
      <c r="F38" s="25">
        <v>12</v>
      </c>
      <c r="G38" s="25"/>
      <c r="H38" s="25">
        <v>60</v>
      </c>
      <c r="K38">
        <f t="shared" si="21"/>
        <v>70</v>
      </c>
      <c r="N38" s="25">
        <v>93.1</v>
      </c>
      <c r="O38" s="25">
        <v>97.1</v>
      </c>
      <c r="P38" s="25">
        <v>97</v>
      </c>
      <c r="Q38" s="25">
        <v>92.2</v>
      </c>
      <c r="S38">
        <f t="shared" si="12"/>
        <v>27929.999999999996</v>
      </c>
      <c r="T38">
        <f t="shared" si="18"/>
        <v>11652</v>
      </c>
      <c r="U38">
        <f t="shared" si="13"/>
        <v>15520.000000000002</v>
      </c>
      <c r="V38">
        <f t="shared" si="14"/>
        <v>1475.2000000000003</v>
      </c>
      <c r="X38">
        <f t="shared" si="15"/>
        <v>69.000000000000114</v>
      </c>
      <c r="Y38">
        <f t="shared" si="19"/>
        <v>11.600000000000023</v>
      </c>
      <c r="Z38">
        <f t="shared" si="16"/>
        <v>16</v>
      </c>
      <c r="AA38">
        <f t="shared" si="17"/>
        <v>4.1599999999999966</v>
      </c>
    </row>
    <row r="39" spans="1:41" x14ac:dyDescent="0.25">
      <c r="C39" s="25" t="s">
        <v>393</v>
      </c>
      <c r="D39" s="25">
        <v>37.5</v>
      </c>
      <c r="E39" s="25">
        <v>2</v>
      </c>
      <c r="F39" s="25">
        <v>15</v>
      </c>
      <c r="H39" s="25">
        <v>60</v>
      </c>
      <c r="K39">
        <f t="shared" si="21"/>
        <v>87.5</v>
      </c>
      <c r="N39" s="25">
        <v>93.1</v>
      </c>
      <c r="O39" s="25">
        <v>97.1</v>
      </c>
      <c r="P39" s="25">
        <v>97</v>
      </c>
      <c r="Q39" s="25">
        <v>92.2</v>
      </c>
      <c r="S39">
        <f t="shared" si="12"/>
        <v>34912.499999999993</v>
      </c>
      <c r="T39">
        <f t="shared" si="18"/>
        <v>14565</v>
      </c>
      <c r="U39">
        <f t="shared" si="13"/>
        <v>19400</v>
      </c>
      <c r="V39">
        <f t="shared" si="14"/>
        <v>1844.0000000000002</v>
      </c>
      <c r="X39">
        <f t="shared" si="15"/>
        <v>69.000000000000114</v>
      </c>
      <c r="Y39">
        <f t="shared" si="19"/>
        <v>11.600000000000023</v>
      </c>
      <c r="Z39">
        <f t="shared" si="16"/>
        <v>16</v>
      </c>
      <c r="AA39">
        <f t="shared" si="17"/>
        <v>4.1599999999999966</v>
      </c>
    </row>
    <row r="40" spans="1:41" x14ac:dyDescent="0.25">
      <c r="C40" s="25" t="s">
        <v>394</v>
      </c>
      <c r="D40" s="25">
        <v>45</v>
      </c>
      <c r="E40" s="25">
        <v>2.4</v>
      </c>
      <c r="F40" s="25">
        <v>18</v>
      </c>
      <c r="H40" s="25">
        <v>60</v>
      </c>
      <c r="K40">
        <f t="shared" si="21"/>
        <v>105</v>
      </c>
      <c r="N40" s="25">
        <v>93.1</v>
      </c>
      <c r="O40" s="25">
        <v>97.1</v>
      </c>
      <c r="P40" s="25">
        <v>97</v>
      </c>
      <c r="Q40" s="25">
        <v>92.2</v>
      </c>
      <c r="S40">
        <f t="shared" si="12"/>
        <v>41894.999999999993</v>
      </c>
      <c r="T40">
        <f t="shared" si="18"/>
        <v>17478</v>
      </c>
      <c r="U40">
        <f t="shared" si="13"/>
        <v>23280</v>
      </c>
      <c r="V40">
        <f t="shared" si="14"/>
        <v>2212.8000000000002</v>
      </c>
      <c r="X40">
        <f t="shared" si="15"/>
        <v>69.000000000000114</v>
      </c>
      <c r="Y40">
        <f t="shared" si="19"/>
        <v>11.600000000000023</v>
      </c>
      <c r="Z40">
        <f t="shared" si="16"/>
        <v>16</v>
      </c>
      <c r="AA40">
        <f t="shared" si="17"/>
        <v>4.1599999999999966</v>
      </c>
    </row>
    <row r="41" spans="1:41" x14ac:dyDescent="0.25">
      <c r="AH41" t="s">
        <v>388</v>
      </c>
      <c r="AM41" t="s">
        <v>449</v>
      </c>
      <c r="AO41" t="s">
        <v>450</v>
      </c>
    </row>
    <row r="42" spans="1:41" x14ac:dyDescent="0.25">
      <c r="D42" s="25" t="s">
        <v>336</v>
      </c>
      <c r="E42" s="25" t="s">
        <v>329</v>
      </c>
      <c r="F42" s="25" t="s">
        <v>330</v>
      </c>
      <c r="G42" s="25"/>
      <c r="H42" s="25" t="s">
        <v>337</v>
      </c>
      <c r="I42" s="25" t="s">
        <v>389</v>
      </c>
      <c r="J42" s="25" t="s">
        <v>419</v>
      </c>
      <c r="AC42" s="25" t="s">
        <v>371</v>
      </c>
      <c r="AD42" s="25" t="s">
        <v>373</v>
      </c>
      <c r="AE42" s="25" t="s">
        <v>374</v>
      </c>
      <c r="AF42" s="25" t="s">
        <v>375</v>
      </c>
      <c r="AH42" s="25" t="s">
        <v>371</v>
      </c>
      <c r="AI42" s="25" t="s">
        <v>373</v>
      </c>
      <c r="AJ42" s="25" t="s">
        <v>374</v>
      </c>
      <c r="AK42" s="25" t="s">
        <v>375</v>
      </c>
      <c r="AM42" s="25" t="s">
        <v>156</v>
      </c>
      <c r="AN42" s="25"/>
      <c r="AO42" s="25" t="s">
        <v>375</v>
      </c>
    </row>
    <row r="43" spans="1:41" x14ac:dyDescent="0.25">
      <c r="C43" s="25" t="s">
        <v>420</v>
      </c>
      <c r="D43" s="25">
        <v>1.2</v>
      </c>
      <c r="E43" t="s">
        <v>369</v>
      </c>
      <c r="F43" s="25">
        <v>0.36</v>
      </c>
      <c r="H43" s="25">
        <v>180</v>
      </c>
      <c r="I43">
        <f>((1500/2)^2)*PI()*2118/10^9</f>
        <v>3.7428149476705395</v>
      </c>
      <c r="J43">
        <v>60</v>
      </c>
      <c r="K43">
        <v>1.4</v>
      </c>
      <c r="N43" s="25">
        <v>91.4</v>
      </c>
      <c r="O43" s="25">
        <v>96.2</v>
      </c>
      <c r="P43" s="25">
        <v>95.5</v>
      </c>
      <c r="Q43" s="25">
        <v>83.3</v>
      </c>
      <c r="X43">
        <v>56</v>
      </c>
      <c r="Y43">
        <v>11</v>
      </c>
      <c r="Z43">
        <v>16</v>
      </c>
      <c r="AA43">
        <v>5.9</v>
      </c>
      <c r="AD43">
        <v>20</v>
      </c>
      <c r="AE43">
        <v>30</v>
      </c>
      <c r="AF43">
        <v>20</v>
      </c>
      <c r="AI43">
        <f>(D43*$AJ$30-D43*$AD$43)/I43</f>
        <v>57.710574265616444</v>
      </c>
      <c r="AJ43">
        <f t="shared" ref="AJ43:AJ50" si="27">(D43*$AJ$29-D43*$AE$43)/I43</f>
        <v>75.878718015903104</v>
      </c>
      <c r="AK43">
        <f>(D43*$AJ$31-D43*$AF$43)/I43</f>
        <v>1.6030715073782347</v>
      </c>
      <c r="AO43">
        <f>(AK43*I43)/(AJ31-15)</f>
        <v>0.6</v>
      </c>
    </row>
    <row r="44" spans="1:41" x14ac:dyDescent="0.25">
      <c r="C44" s="25" t="s">
        <v>436</v>
      </c>
      <c r="D44" s="25">
        <v>1.8</v>
      </c>
      <c r="E44" t="s">
        <v>369</v>
      </c>
      <c r="F44" s="25">
        <v>0.54</v>
      </c>
      <c r="H44" s="25">
        <v>180</v>
      </c>
      <c r="I44">
        <f>((1700/2)^2)*PI()*2118/10^9</f>
        <v>4.8074378661190487</v>
      </c>
      <c r="J44">
        <v>60</v>
      </c>
      <c r="N44" s="25">
        <v>91.4</v>
      </c>
      <c r="O44" s="25">
        <v>96.2</v>
      </c>
      <c r="P44" s="25">
        <v>95.5</v>
      </c>
      <c r="Q44" s="25">
        <v>83.3</v>
      </c>
      <c r="X44">
        <v>56</v>
      </c>
      <c r="Y44">
        <v>11</v>
      </c>
      <c r="Z44">
        <v>16</v>
      </c>
      <c r="AA44">
        <v>5.9</v>
      </c>
      <c r="AD44">
        <v>20</v>
      </c>
      <c r="AE44">
        <v>30</v>
      </c>
      <c r="AF44">
        <v>20</v>
      </c>
      <c r="AI44">
        <f t="shared" ref="AI44:AI59" si="28">(D44*$AJ$30-D44*$AD$43)/I44</f>
        <v>67.395566832683556</v>
      </c>
      <c r="AJ44">
        <f t="shared" si="27"/>
        <v>88.612689724454327</v>
      </c>
      <c r="AK44">
        <f t="shared" ref="AK44:AK59" si="29">(D44*$AJ$31-D44*$AF$43)/I44</f>
        <v>1.8720990786856546</v>
      </c>
      <c r="AO44">
        <f t="shared" ref="AO44:AO60" si="30">(AK44*I44)/($AJ$31-15)</f>
        <v>0.9</v>
      </c>
    </row>
    <row r="45" spans="1:41" x14ac:dyDescent="0.25">
      <c r="C45" s="25" t="s">
        <v>421</v>
      </c>
      <c r="D45" s="25">
        <v>2.4</v>
      </c>
      <c r="E45" t="s">
        <v>369</v>
      </c>
      <c r="F45" s="25">
        <v>0.72</v>
      </c>
      <c r="H45" s="25">
        <v>180</v>
      </c>
      <c r="I45">
        <f>((1900/2)^2)*PI()*2118/10^9</f>
        <v>6.0051386493736221</v>
      </c>
      <c r="J45">
        <v>80</v>
      </c>
      <c r="N45" s="25">
        <v>91.4</v>
      </c>
      <c r="O45" s="25">
        <v>96.2</v>
      </c>
      <c r="P45" s="25">
        <v>95.5</v>
      </c>
      <c r="Q45" s="25">
        <v>83.3</v>
      </c>
      <c r="X45">
        <v>56</v>
      </c>
      <c r="Y45">
        <v>11</v>
      </c>
      <c r="Z45">
        <v>16</v>
      </c>
      <c r="AA45">
        <v>5.9</v>
      </c>
      <c r="AD45">
        <v>20</v>
      </c>
      <c r="AE45">
        <v>30</v>
      </c>
      <c r="AF45">
        <v>20</v>
      </c>
      <c r="AI45">
        <f t="shared" si="28"/>
        <v>71.938388973760098</v>
      </c>
      <c r="AJ45">
        <f t="shared" si="27"/>
        <v>94.58565957661051</v>
      </c>
      <c r="AK45">
        <f t="shared" si="29"/>
        <v>1.9982885826044472</v>
      </c>
      <c r="AO45">
        <f t="shared" si="30"/>
        <v>1.2</v>
      </c>
    </row>
    <row r="46" spans="1:41" x14ac:dyDescent="0.25">
      <c r="A46">
        <v>5</v>
      </c>
      <c r="C46" s="25" t="s">
        <v>422</v>
      </c>
      <c r="D46" s="25">
        <v>3.6</v>
      </c>
      <c r="E46" t="s">
        <v>369</v>
      </c>
      <c r="F46" s="25">
        <v>1.08</v>
      </c>
      <c r="H46" s="25">
        <v>180</v>
      </c>
      <c r="I46">
        <f>((2500/2)^2)*PI()*2174/10^9</f>
        <v>10.671597545162829</v>
      </c>
      <c r="J46">
        <v>120</v>
      </c>
      <c r="N46" s="25">
        <v>91.4</v>
      </c>
      <c r="O46" s="25">
        <v>96.2</v>
      </c>
      <c r="P46" s="25">
        <v>95.5</v>
      </c>
      <c r="Q46" s="25">
        <v>83.3</v>
      </c>
      <c r="X46">
        <v>56</v>
      </c>
      <c r="Y46">
        <v>11</v>
      </c>
      <c r="Z46">
        <v>16</v>
      </c>
      <c r="AA46">
        <v>5.9</v>
      </c>
      <c r="AD46">
        <v>20</v>
      </c>
      <c r="AE46">
        <v>30</v>
      </c>
      <c r="AF46">
        <v>20</v>
      </c>
      <c r="AI46">
        <f t="shared" si="28"/>
        <v>60.721930081941892</v>
      </c>
      <c r="AJ46">
        <f t="shared" si="27"/>
        <v>79.838093255886562</v>
      </c>
      <c r="AK46">
        <f t="shared" si="29"/>
        <v>1.6867202800539414</v>
      </c>
      <c r="AM46">
        <v>5</v>
      </c>
      <c r="AO46">
        <f t="shared" si="30"/>
        <v>1.8</v>
      </c>
    </row>
    <row r="47" spans="1:41" x14ac:dyDescent="0.25">
      <c r="C47" s="25" t="s">
        <v>423</v>
      </c>
      <c r="D47" s="25">
        <v>5</v>
      </c>
      <c r="E47" t="s">
        <v>369</v>
      </c>
      <c r="F47" s="25">
        <v>1.5</v>
      </c>
      <c r="H47" s="25">
        <v>180</v>
      </c>
      <c r="I47">
        <f>(4700*1600*2174)/10^9</f>
        <v>16.348479999999999</v>
      </c>
      <c r="J47">
        <v>120</v>
      </c>
      <c r="N47" s="25">
        <v>91.4</v>
      </c>
      <c r="O47" s="25">
        <v>96.2</v>
      </c>
      <c r="P47" s="25">
        <v>95.5</v>
      </c>
      <c r="Q47" s="25">
        <v>83.3</v>
      </c>
      <c r="X47">
        <v>56</v>
      </c>
      <c r="Y47">
        <v>11</v>
      </c>
      <c r="Z47">
        <v>16</v>
      </c>
      <c r="AA47">
        <v>5.9</v>
      </c>
      <c r="AD47">
        <v>20</v>
      </c>
      <c r="AE47">
        <v>30</v>
      </c>
      <c r="AF47">
        <v>20</v>
      </c>
      <c r="AI47">
        <f t="shared" si="28"/>
        <v>55.050989449783714</v>
      </c>
      <c r="AJ47">
        <f t="shared" si="27"/>
        <v>72.381856498789716</v>
      </c>
      <c r="AK47">
        <f t="shared" si="29"/>
        <v>1.5291941513828811</v>
      </c>
      <c r="AO47">
        <f t="shared" si="30"/>
        <v>2.5</v>
      </c>
    </row>
    <row r="48" spans="1:41" x14ac:dyDescent="0.25">
      <c r="A48">
        <v>10</v>
      </c>
      <c r="C48" s="25" t="s">
        <v>424</v>
      </c>
      <c r="D48" s="25">
        <v>6</v>
      </c>
      <c r="E48" s="25" t="s">
        <v>369</v>
      </c>
      <c r="F48" s="25">
        <v>1.8</v>
      </c>
      <c r="H48" s="25">
        <v>180</v>
      </c>
      <c r="I48">
        <f>(4010*2174*2174)/10^9</f>
        <v>18.95236676</v>
      </c>
      <c r="J48">
        <v>370</v>
      </c>
      <c r="N48" s="25">
        <v>91.4</v>
      </c>
      <c r="O48" s="25">
        <v>96.2</v>
      </c>
      <c r="P48" s="25">
        <v>95.5</v>
      </c>
      <c r="Q48" s="25">
        <v>83.3</v>
      </c>
      <c r="X48">
        <v>56</v>
      </c>
      <c r="Y48">
        <v>11</v>
      </c>
      <c r="Z48">
        <v>16</v>
      </c>
      <c r="AA48">
        <v>5.9</v>
      </c>
      <c r="AD48">
        <v>20</v>
      </c>
      <c r="AE48">
        <v>30</v>
      </c>
      <c r="AF48">
        <v>20</v>
      </c>
      <c r="AI48">
        <f t="shared" si="28"/>
        <v>56.984967295979025</v>
      </c>
      <c r="AJ48">
        <f t="shared" si="27"/>
        <v>74.924679222490937</v>
      </c>
      <c r="AK48">
        <f t="shared" si="29"/>
        <v>1.5829157582216395</v>
      </c>
      <c r="AM48">
        <v>10</v>
      </c>
      <c r="AO48" s="5">
        <f t="shared" si="30"/>
        <v>3</v>
      </c>
    </row>
    <row r="49" spans="1:41" x14ac:dyDescent="0.25">
      <c r="C49" s="25" t="s">
        <v>425</v>
      </c>
      <c r="D49" s="25">
        <v>8</v>
      </c>
      <c r="E49" t="s">
        <v>369</v>
      </c>
      <c r="F49" s="25">
        <v>2.4</v>
      </c>
      <c r="H49" s="25">
        <v>180</v>
      </c>
      <c r="I49">
        <f>(5060*2174*2174)/10^9</f>
        <v>23.91495656</v>
      </c>
      <c r="J49">
        <v>370</v>
      </c>
      <c r="N49" s="25">
        <v>91.4</v>
      </c>
      <c r="O49" s="25">
        <v>96.2</v>
      </c>
      <c r="P49" s="25">
        <v>95.5</v>
      </c>
      <c r="Q49" s="25">
        <v>83.3</v>
      </c>
      <c r="X49">
        <v>56</v>
      </c>
      <c r="Y49">
        <v>11</v>
      </c>
      <c r="Z49">
        <v>16</v>
      </c>
      <c r="AA49">
        <v>5.9</v>
      </c>
      <c r="AD49">
        <v>20</v>
      </c>
      <c r="AE49">
        <v>30</v>
      </c>
      <c r="AF49">
        <v>20</v>
      </c>
      <c r="AI49">
        <f t="shared" si="28"/>
        <v>60.213364652668218</v>
      </c>
      <c r="AJ49">
        <f t="shared" si="27"/>
        <v>79.169423895174887</v>
      </c>
      <c r="AK49">
        <f t="shared" si="29"/>
        <v>1.6725934625741172</v>
      </c>
      <c r="AO49" s="5">
        <f t="shared" si="30"/>
        <v>4</v>
      </c>
    </row>
    <row r="50" spans="1:41" x14ac:dyDescent="0.25">
      <c r="C50" s="25" t="s">
        <v>426</v>
      </c>
      <c r="D50" s="25">
        <v>10</v>
      </c>
      <c r="E50" t="s">
        <v>369</v>
      </c>
      <c r="F50" s="25">
        <v>3</v>
      </c>
      <c r="H50" s="25">
        <v>180</v>
      </c>
      <c r="I50">
        <f>(5610*2174*2174)/10^9</f>
        <v>26.514408360000001</v>
      </c>
      <c r="J50">
        <v>370</v>
      </c>
      <c r="N50" s="25">
        <v>91.4</v>
      </c>
      <c r="O50" s="25">
        <v>96.2</v>
      </c>
      <c r="P50" s="25">
        <v>95.5</v>
      </c>
      <c r="Q50" s="25">
        <v>83.3</v>
      </c>
      <c r="X50">
        <v>56</v>
      </c>
      <c r="Y50">
        <v>11</v>
      </c>
      <c r="Z50">
        <v>16</v>
      </c>
      <c r="AA50">
        <v>5.9</v>
      </c>
      <c r="AD50">
        <v>20</v>
      </c>
      <c r="AE50">
        <v>30</v>
      </c>
      <c r="AF50">
        <v>20</v>
      </c>
      <c r="AI50">
        <f t="shared" si="28"/>
        <v>67.887617010361225</v>
      </c>
      <c r="AJ50">
        <f t="shared" si="27"/>
        <v>89.259644587697181</v>
      </c>
      <c r="AK50">
        <f t="shared" si="29"/>
        <v>1.8857671391767008</v>
      </c>
      <c r="AO50" s="5">
        <f t="shared" si="30"/>
        <v>5</v>
      </c>
    </row>
    <row r="51" spans="1:41" x14ac:dyDescent="0.25">
      <c r="A51">
        <v>20</v>
      </c>
      <c r="C51" s="25" t="s">
        <v>427</v>
      </c>
      <c r="D51" s="25">
        <v>12</v>
      </c>
      <c r="E51" t="s">
        <v>369</v>
      </c>
      <c r="F51" s="25">
        <v>3.6</v>
      </c>
      <c r="H51" s="25">
        <v>120</v>
      </c>
      <c r="I51">
        <f>(6010*2174*2174)/10^9</f>
        <v>28.404918760000001</v>
      </c>
      <c r="J51">
        <v>750</v>
      </c>
      <c r="N51" s="25">
        <v>91.4</v>
      </c>
      <c r="O51" s="25">
        <v>96.2</v>
      </c>
      <c r="P51" s="25">
        <v>95.5</v>
      </c>
      <c r="Q51" s="25">
        <v>83.3</v>
      </c>
      <c r="X51">
        <v>56</v>
      </c>
      <c r="Y51">
        <v>11</v>
      </c>
      <c r="Z51">
        <v>16</v>
      </c>
      <c r="AA51">
        <v>5.9</v>
      </c>
      <c r="AD51">
        <v>20</v>
      </c>
      <c r="AE51">
        <v>30</v>
      </c>
      <c r="AF51">
        <v>20</v>
      </c>
      <c r="AI51">
        <f t="shared" si="28"/>
        <v>76.043167672837228</v>
      </c>
      <c r="AJ51">
        <f t="shared" ref="AJ51:AJ59" si="31">(D51*$AJ$29-D51*$AE$43)/I51</f>
        <v>99.982683421693395</v>
      </c>
      <c r="AK51">
        <f>(D51*$AJ$31-D51*$AF$43)/I51</f>
        <v>2.1123102131343678</v>
      </c>
      <c r="AM51">
        <v>20</v>
      </c>
      <c r="AO51" s="5">
        <f t="shared" si="30"/>
        <v>6.0000000000000009</v>
      </c>
    </row>
    <row r="52" spans="1:41" x14ac:dyDescent="0.25">
      <c r="C52" s="25" t="s">
        <v>428</v>
      </c>
      <c r="D52" s="25">
        <v>14</v>
      </c>
      <c r="E52" t="s">
        <v>369</v>
      </c>
      <c r="F52" s="25">
        <v>4.2</v>
      </c>
      <c r="H52" s="25">
        <v>120</v>
      </c>
      <c r="I52">
        <f>(6810*2174*2174)/10^9</f>
        <v>32.185939560000001</v>
      </c>
      <c r="J52">
        <v>750</v>
      </c>
      <c r="N52" s="25">
        <v>91.4</v>
      </c>
      <c r="O52" s="25">
        <v>96.2</v>
      </c>
      <c r="P52" s="25">
        <v>95.5</v>
      </c>
      <c r="Q52" s="25">
        <v>83.3</v>
      </c>
      <c r="X52">
        <v>56</v>
      </c>
      <c r="Y52">
        <v>11</v>
      </c>
      <c r="Z52">
        <v>16</v>
      </c>
      <c r="AA52">
        <v>5.9</v>
      </c>
      <c r="AD52">
        <v>20</v>
      </c>
      <c r="AE52">
        <v>30</v>
      </c>
      <c r="AF52">
        <v>20</v>
      </c>
      <c r="AI52">
        <f t="shared" si="28"/>
        <v>78.295057856002501</v>
      </c>
      <c r="AJ52">
        <f t="shared" si="31"/>
        <v>102.94350199585516</v>
      </c>
      <c r="AK52">
        <f t="shared" si="29"/>
        <v>2.1748627182222919</v>
      </c>
      <c r="AO52" s="5">
        <f t="shared" si="30"/>
        <v>7</v>
      </c>
    </row>
    <row r="53" spans="1:41" x14ac:dyDescent="0.25">
      <c r="C53" s="25" t="s">
        <v>429</v>
      </c>
      <c r="D53" s="25">
        <v>16</v>
      </c>
      <c r="E53" t="s">
        <v>369</v>
      </c>
      <c r="F53" s="25">
        <v>4.8</v>
      </c>
      <c r="H53" s="25">
        <v>120</v>
      </c>
      <c r="I53">
        <f>(6760*2524*2174)/10^9</f>
        <v>37.093309759999997</v>
      </c>
      <c r="J53">
        <v>750</v>
      </c>
      <c r="N53" s="25">
        <v>91.4</v>
      </c>
      <c r="O53" s="25">
        <v>96.2</v>
      </c>
      <c r="P53" s="25">
        <v>95.5</v>
      </c>
      <c r="Q53" s="25">
        <v>83.3</v>
      </c>
      <c r="X53">
        <v>56</v>
      </c>
      <c r="Y53">
        <v>11</v>
      </c>
      <c r="Z53">
        <v>16</v>
      </c>
      <c r="AA53">
        <v>5.9</v>
      </c>
      <c r="AD53">
        <v>20</v>
      </c>
      <c r="AE53">
        <v>30</v>
      </c>
      <c r="AF53">
        <v>20</v>
      </c>
      <c r="AI53">
        <f t="shared" si="28"/>
        <v>77.642033526641015</v>
      </c>
      <c r="AJ53">
        <f t="shared" si="31"/>
        <v>102.08489593317616</v>
      </c>
      <c r="AK53">
        <f t="shared" si="29"/>
        <v>2.156723153517806</v>
      </c>
      <c r="AO53" s="5">
        <f t="shared" si="30"/>
        <v>8</v>
      </c>
    </row>
    <row r="54" spans="1:41" x14ac:dyDescent="0.25">
      <c r="A54">
        <v>30</v>
      </c>
      <c r="C54" s="25" t="s">
        <v>430</v>
      </c>
      <c r="D54" s="25">
        <v>18</v>
      </c>
      <c r="E54" t="s">
        <v>369</v>
      </c>
      <c r="F54" s="25">
        <v>5.4</v>
      </c>
      <c r="H54" s="25">
        <v>120</v>
      </c>
      <c r="I54">
        <f>(7360*2524*2174)/10^9</f>
        <v>40.385615360000003</v>
      </c>
      <c r="J54">
        <v>750</v>
      </c>
      <c r="N54" s="25">
        <v>91.4</v>
      </c>
      <c r="O54" s="25">
        <v>96.2</v>
      </c>
      <c r="P54" s="25">
        <v>95.5</v>
      </c>
      <c r="Q54" s="25">
        <v>83.3</v>
      </c>
      <c r="X54">
        <v>56</v>
      </c>
      <c r="Y54">
        <v>11</v>
      </c>
      <c r="Z54">
        <v>16</v>
      </c>
      <c r="AA54">
        <v>5.9</v>
      </c>
      <c r="AD54">
        <v>20</v>
      </c>
      <c r="AE54">
        <v>30</v>
      </c>
      <c r="AF54">
        <v>20</v>
      </c>
      <c r="AI54">
        <f t="shared" si="28"/>
        <v>80.226584914416406</v>
      </c>
      <c r="AJ54">
        <f t="shared" si="31"/>
        <v>105.48310238747344</v>
      </c>
      <c r="AK54">
        <f t="shared" si="29"/>
        <v>2.2285162476226783</v>
      </c>
      <c r="AM54">
        <v>30</v>
      </c>
      <c r="AO54" s="5">
        <f t="shared" si="30"/>
        <v>9</v>
      </c>
    </row>
    <row r="55" spans="1:41" x14ac:dyDescent="0.25">
      <c r="C55" s="25" t="s">
        <v>431</v>
      </c>
      <c r="D55" s="25">
        <v>20</v>
      </c>
      <c r="E55" t="s">
        <v>369</v>
      </c>
      <c r="F55" s="25">
        <v>6</v>
      </c>
      <c r="H55" s="25">
        <v>120</v>
      </c>
      <c r="I55">
        <f>(7760*2524*2174)/10^9</f>
        <v>42.580485760000002</v>
      </c>
      <c r="J55">
        <v>750</v>
      </c>
      <c r="N55" s="25">
        <v>91.4</v>
      </c>
      <c r="O55" s="25">
        <v>96.2</v>
      </c>
      <c r="P55" s="25">
        <v>95.5</v>
      </c>
      <c r="Q55" s="25">
        <v>83.3</v>
      </c>
      <c r="X55">
        <v>56</v>
      </c>
      <c r="Y55">
        <v>11</v>
      </c>
      <c r="Z55">
        <v>16</v>
      </c>
      <c r="AA55">
        <v>5.9</v>
      </c>
      <c r="AD55">
        <v>20</v>
      </c>
      <c r="AE55">
        <v>30</v>
      </c>
      <c r="AF55">
        <v>20</v>
      </c>
      <c r="AI55">
        <f t="shared" si="28"/>
        <v>84.545771043829447</v>
      </c>
      <c r="AJ55">
        <f t="shared" si="31"/>
        <v>111.16203229836836</v>
      </c>
      <c r="AK55">
        <f t="shared" si="29"/>
        <v>2.3484936401063732</v>
      </c>
      <c r="AO55" s="5">
        <f t="shared" si="30"/>
        <v>9.9999999999999982</v>
      </c>
    </row>
    <row r="56" spans="1:41" x14ac:dyDescent="0.25">
      <c r="C56" s="25" t="s">
        <v>432</v>
      </c>
      <c r="D56" s="25">
        <v>25</v>
      </c>
      <c r="E56" t="s">
        <v>369</v>
      </c>
      <c r="F56" s="25">
        <v>7.5</v>
      </c>
      <c r="H56" s="25">
        <v>120</v>
      </c>
      <c r="I56">
        <f>(9100*2524*2174)/10^9</f>
        <v>49.9333016</v>
      </c>
      <c r="J56">
        <v>750</v>
      </c>
      <c r="N56" s="25">
        <v>91.4</v>
      </c>
      <c r="O56" s="25">
        <v>96.2</v>
      </c>
      <c r="P56" s="25">
        <v>95.5</v>
      </c>
      <c r="Q56" s="25">
        <v>83.3</v>
      </c>
      <c r="X56">
        <v>56</v>
      </c>
      <c r="Y56">
        <v>11</v>
      </c>
      <c r="Z56">
        <v>16</v>
      </c>
      <c r="AA56">
        <v>5.9</v>
      </c>
      <c r="AD56">
        <v>20</v>
      </c>
      <c r="AE56">
        <v>30</v>
      </c>
      <c r="AF56">
        <v>20</v>
      </c>
      <c r="AI56">
        <f t="shared" si="28"/>
        <v>90.120217486279742</v>
      </c>
      <c r="AJ56">
        <f t="shared" si="31"/>
        <v>118.49139706529374</v>
      </c>
      <c r="AK56">
        <f t="shared" si="29"/>
        <v>2.5033393746188817</v>
      </c>
      <c r="AO56" s="5">
        <f t="shared" si="30"/>
        <v>12.5</v>
      </c>
    </row>
    <row r="57" spans="1:41" x14ac:dyDescent="0.25">
      <c r="A57">
        <v>50</v>
      </c>
      <c r="C57" s="25" t="s">
        <v>433</v>
      </c>
      <c r="D57" s="25">
        <v>30</v>
      </c>
      <c r="E57" t="s">
        <v>369</v>
      </c>
      <c r="F57" s="25">
        <v>9</v>
      </c>
      <c r="H57" s="25">
        <v>120</v>
      </c>
      <c r="I57">
        <f>(10600*2524*2174)/10^9</f>
        <v>58.164065600000001</v>
      </c>
      <c r="J57">
        <v>1100</v>
      </c>
      <c r="N57" s="25">
        <v>91.4</v>
      </c>
      <c r="O57" s="25">
        <v>96.2</v>
      </c>
      <c r="P57" s="25">
        <v>95.5</v>
      </c>
      <c r="Q57" s="25">
        <v>83.3</v>
      </c>
      <c r="X57">
        <v>56</v>
      </c>
      <c r="Y57">
        <v>11</v>
      </c>
      <c r="Z57">
        <v>16</v>
      </c>
      <c r="AA57">
        <v>5.9</v>
      </c>
      <c r="AD57">
        <v>20</v>
      </c>
      <c r="AE57">
        <v>30</v>
      </c>
      <c r="AF57">
        <v>20</v>
      </c>
      <c r="AI57">
        <f t="shared" si="28"/>
        <v>92.840827825488176</v>
      </c>
      <c r="AJ57">
        <f t="shared" si="31"/>
        <v>122.06849584462337</v>
      </c>
      <c r="AK57">
        <f t="shared" si="29"/>
        <v>2.5789118840413385</v>
      </c>
      <c r="AM57">
        <v>50</v>
      </c>
      <c r="AO57" s="5">
        <f>(AK57*I57)/($AJ$31-15)</f>
        <v>15</v>
      </c>
    </row>
    <row r="58" spans="1:41" x14ac:dyDescent="0.25">
      <c r="C58" s="25" t="s">
        <v>434</v>
      </c>
      <c r="D58" s="25">
        <v>40</v>
      </c>
      <c r="E58" t="s">
        <v>369</v>
      </c>
      <c r="F58" s="25">
        <v>12</v>
      </c>
      <c r="H58" s="25">
        <v>120</v>
      </c>
      <c r="I58">
        <f>(12000*2524*2174)/10^9</f>
        <v>65.846112000000005</v>
      </c>
      <c r="J58">
        <v>1100</v>
      </c>
      <c r="N58" s="25">
        <v>91.4</v>
      </c>
      <c r="O58" s="25">
        <v>96.2</v>
      </c>
      <c r="P58" s="25">
        <v>95.5</v>
      </c>
      <c r="Q58" s="25">
        <v>83.3</v>
      </c>
      <c r="X58">
        <v>56</v>
      </c>
      <c r="Y58">
        <v>11</v>
      </c>
      <c r="Z58">
        <v>16</v>
      </c>
      <c r="AA58">
        <v>5.9</v>
      </c>
      <c r="AD58">
        <v>20</v>
      </c>
      <c r="AE58">
        <v>30</v>
      </c>
      <c r="AF58">
        <v>20</v>
      </c>
      <c r="AI58">
        <f t="shared" si="28"/>
        <v>109.34586388335273</v>
      </c>
      <c r="AJ58">
        <f t="shared" si="31"/>
        <v>143.76956177255639</v>
      </c>
      <c r="AK58">
        <f t="shared" si="29"/>
        <v>3.0373851078709095</v>
      </c>
      <c r="AO58" s="5">
        <f t="shared" si="30"/>
        <v>20</v>
      </c>
    </row>
    <row r="59" spans="1:41" x14ac:dyDescent="0.25">
      <c r="A59">
        <v>75</v>
      </c>
      <c r="C59" s="25" t="s">
        <v>435</v>
      </c>
      <c r="D59" s="25">
        <v>50</v>
      </c>
      <c r="E59" t="s">
        <v>369</v>
      </c>
      <c r="F59" s="25">
        <v>15</v>
      </c>
      <c r="H59" s="25">
        <v>120</v>
      </c>
      <c r="I59">
        <f>(12000*2524*2674)/10^9</f>
        <v>80.990111999999996</v>
      </c>
      <c r="J59">
        <v>1500</v>
      </c>
      <c r="N59" s="25">
        <v>91.4</v>
      </c>
      <c r="O59" s="25">
        <v>96.2</v>
      </c>
      <c r="P59" s="25">
        <v>95.5</v>
      </c>
      <c r="Q59" s="25">
        <v>83.3</v>
      </c>
      <c r="X59">
        <v>56</v>
      </c>
      <c r="Y59">
        <v>11</v>
      </c>
      <c r="Z59">
        <v>16</v>
      </c>
      <c r="AA59">
        <v>5.9</v>
      </c>
      <c r="AD59">
        <v>20</v>
      </c>
      <c r="AE59">
        <v>30</v>
      </c>
      <c r="AF59">
        <v>20</v>
      </c>
      <c r="AI59">
        <f t="shared" si="28"/>
        <v>111.12467655310812</v>
      </c>
      <c r="AJ59">
        <f t="shared" si="31"/>
        <v>146.10837102353105</v>
      </c>
      <c r="AK59">
        <f t="shared" si="29"/>
        <v>3.0867965709196699</v>
      </c>
      <c r="AM59">
        <v>75</v>
      </c>
      <c r="AO59" s="5">
        <f t="shared" si="30"/>
        <v>25</v>
      </c>
    </row>
    <row r="60" spans="1:41" x14ac:dyDescent="0.25">
      <c r="A60">
        <v>100</v>
      </c>
      <c r="C60" s="25" t="s">
        <v>451</v>
      </c>
      <c r="D60" s="25">
        <v>60</v>
      </c>
      <c r="F60" s="25">
        <v>18</v>
      </c>
      <c r="H60" s="25">
        <v>90</v>
      </c>
      <c r="I60">
        <f>(12000*2524*2712)/10^9</f>
        <v>82.141056000000006</v>
      </c>
      <c r="J60">
        <v>2000</v>
      </c>
      <c r="AD60">
        <v>20</v>
      </c>
      <c r="AE60">
        <v>30</v>
      </c>
      <c r="AF60">
        <v>20</v>
      </c>
      <c r="AI60">
        <f t="shared" ref="AI60" si="32">(D60*$AJ$30-D60*$AD$43)/I60</f>
        <v>131.48114385088985</v>
      </c>
      <c r="AJ60">
        <f t="shared" ref="AJ60" si="33">(D60*$AJ$29-D60*$AE$43)/I60</f>
        <v>172.87335580394779</v>
      </c>
      <c r="AK60">
        <f t="shared" ref="AK60" si="34">(D60*$AJ$31-D60*$AF$43)/I60</f>
        <v>3.6522539958580515</v>
      </c>
      <c r="AM60">
        <v>100</v>
      </c>
      <c r="AO60" s="5">
        <f t="shared" si="30"/>
        <v>30</v>
      </c>
    </row>
    <row r="61" spans="1:41" x14ac:dyDescent="0.25">
      <c r="C61" s="25"/>
    </row>
    <row r="63" spans="1:41" x14ac:dyDescent="0.25">
      <c r="C63" s="25" t="s">
        <v>103</v>
      </c>
    </row>
    <row r="65" spans="2:11" x14ac:dyDescent="0.25">
      <c r="D65" s="25" t="s">
        <v>336</v>
      </c>
      <c r="E65" s="25" t="s">
        <v>330</v>
      </c>
      <c r="F65" s="25" t="s">
        <v>337</v>
      </c>
      <c r="G65" s="25" t="s">
        <v>149</v>
      </c>
      <c r="H65" s="25" t="s">
        <v>526</v>
      </c>
    </row>
    <row r="66" spans="2:11" x14ac:dyDescent="0.25">
      <c r="C66" s="25" t="s">
        <v>430</v>
      </c>
      <c r="D66" s="25">
        <v>18</v>
      </c>
      <c r="E66" s="25">
        <v>5.4</v>
      </c>
      <c r="F66" s="25">
        <v>120</v>
      </c>
      <c r="H66" s="25">
        <v>9</v>
      </c>
      <c r="J66">
        <f>(D66/H66)*F66</f>
        <v>240</v>
      </c>
    </row>
    <row r="67" spans="2:11" x14ac:dyDescent="0.25">
      <c r="C67" s="25" t="s">
        <v>433</v>
      </c>
      <c r="D67" s="25">
        <v>30</v>
      </c>
      <c r="E67" s="25">
        <v>9</v>
      </c>
      <c r="F67" s="25">
        <v>120</v>
      </c>
      <c r="H67" s="25">
        <v>15</v>
      </c>
      <c r="J67">
        <f>(D67/H67)*F67</f>
        <v>240</v>
      </c>
    </row>
    <row r="70" spans="2:11" x14ac:dyDescent="0.25">
      <c r="C70" s="25" t="s">
        <v>355</v>
      </c>
      <c r="D70" s="25">
        <v>22.5</v>
      </c>
      <c r="E70" s="25">
        <v>9</v>
      </c>
      <c r="F70" s="25">
        <v>90</v>
      </c>
      <c r="H70">
        <v>22.5</v>
      </c>
      <c r="J70" s="25">
        <v>90</v>
      </c>
    </row>
    <row r="71" spans="2:11" x14ac:dyDescent="0.25">
      <c r="C71" s="25" t="s">
        <v>391</v>
      </c>
      <c r="D71" s="25">
        <v>30</v>
      </c>
      <c r="E71" s="25">
        <v>12</v>
      </c>
      <c r="F71" s="25">
        <v>60</v>
      </c>
      <c r="H71">
        <v>30</v>
      </c>
      <c r="J71" s="25">
        <v>60</v>
      </c>
    </row>
    <row r="74" spans="2:11" x14ac:dyDescent="0.25">
      <c r="B74" t="s">
        <v>953</v>
      </c>
    </row>
    <row r="76" spans="2:11" x14ac:dyDescent="0.25">
      <c r="B76" t="s">
        <v>918</v>
      </c>
      <c r="C76">
        <v>28</v>
      </c>
      <c r="D76" t="s">
        <v>954</v>
      </c>
      <c r="E76" t="s">
        <v>955</v>
      </c>
    </row>
    <row r="78" spans="2:11" x14ac:dyDescent="0.25">
      <c r="B78" t="s">
        <v>956</v>
      </c>
      <c r="H78" t="s">
        <v>962</v>
      </c>
      <c r="I78" t="s">
        <v>794</v>
      </c>
      <c r="K78" t="s">
        <v>968</v>
      </c>
    </row>
    <row r="79" spans="2:11" x14ac:dyDescent="0.25">
      <c r="C79" t="s">
        <v>960</v>
      </c>
      <c r="D79" t="s">
        <v>958</v>
      </c>
      <c r="H79" t="s">
        <v>963</v>
      </c>
      <c r="I79">
        <v>50.4</v>
      </c>
      <c r="K79">
        <v>55</v>
      </c>
    </row>
    <row r="80" spans="2:11" x14ac:dyDescent="0.25">
      <c r="C80" t="s">
        <v>961</v>
      </c>
      <c r="D80" t="s">
        <v>958</v>
      </c>
      <c r="H80" t="s">
        <v>964</v>
      </c>
      <c r="I80">
        <v>50.4</v>
      </c>
      <c r="K80">
        <v>85</v>
      </c>
    </row>
    <row r="81" spans="3:11" x14ac:dyDescent="0.25">
      <c r="C81" t="s">
        <v>957</v>
      </c>
      <c r="D81" t="s">
        <v>959</v>
      </c>
      <c r="H81" t="s">
        <v>965</v>
      </c>
      <c r="I81">
        <v>50.4</v>
      </c>
      <c r="K81">
        <v>105</v>
      </c>
    </row>
    <row r="82" spans="3:11" x14ac:dyDescent="0.25">
      <c r="H82" t="s">
        <v>966</v>
      </c>
      <c r="I82">
        <v>50.4</v>
      </c>
      <c r="K82">
        <v>125</v>
      </c>
    </row>
    <row r="84" spans="3:11" x14ac:dyDescent="0.25">
      <c r="H84" t="s">
        <v>967</v>
      </c>
      <c r="I84">
        <v>73.2</v>
      </c>
      <c r="K84">
        <v>160</v>
      </c>
    </row>
    <row r="85" spans="3:11" x14ac:dyDescent="0.25">
      <c r="H85" t="s">
        <v>970</v>
      </c>
      <c r="I85">
        <v>73.2</v>
      </c>
      <c r="K85">
        <v>230</v>
      </c>
    </row>
    <row r="93" spans="3:11" x14ac:dyDescent="0.25">
      <c r="E93" t="s">
        <v>971</v>
      </c>
    </row>
    <row r="94" spans="3:11" x14ac:dyDescent="0.25">
      <c r="D94" t="s">
        <v>969</v>
      </c>
      <c r="E94" t="s">
        <v>934</v>
      </c>
      <c r="F94" t="s">
        <v>935</v>
      </c>
    </row>
    <row r="95" spans="3:11" x14ac:dyDescent="0.25">
      <c r="C95">
        <v>86</v>
      </c>
      <c r="D95" t="str">
        <f>H79</f>
        <v>ET-60</v>
      </c>
      <c r="E95">
        <f>I82</f>
        <v>50.4</v>
      </c>
      <c r="F95">
        <v>28.212511818239999</v>
      </c>
      <c r="H95">
        <f>E95+F95</f>
        <v>78.612511818239994</v>
      </c>
    </row>
    <row r="96" spans="3:11" x14ac:dyDescent="0.25">
      <c r="C96">
        <v>215</v>
      </c>
      <c r="D96" t="str">
        <f>H85</f>
        <v>ET-200</v>
      </c>
      <c r="E96">
        <f>I82</f>
        <v>50.4</v>
      </c>
      <c r="F96">
        <v>28.212511818239999</v>
      </c>
      <c r="H96">
        <f t="shared" ref="H96:H101" si="35">E96+F96</f>
        <v>78.612511818239994</v>
      </c>
    </row>
    <row r="97" spans="1:28" x14ac:dyDescent="0.25">
      <c r="C97">
        <v>450</v>
      </c>
      <c r="D97" t="str">
        <f>H85</f>
        <v>ET-200</v>
      </c>
      <c r="E97">
        <f>I85</f>
        <v>73.2</v>
      </c>
      <c r="F97">
        <v>28.212511818239999</v>
      </c>
      <c r="H97">
        <f t="shared" si="35"/>
        <v>101.41251181824001</v>
      </c>
    </row>
    <row r="98" spans="1:28" x14ac:dyDescent="0.25">
      <c r="C98">
        <v>700</v>
      </c>
      <c r="D98" t="s">
        <v>955</v>
      </c>
      <c r="E98">
        <v>293.93333333333328</v>
      </c>
      <c r="F98">
        <v>58.776066287999996</v>
      </c>
      <c r="H98">
        <f t="shared" si="35"/>
        <v>352.70939962133326</v>
      </c>
    </row>
    <row r="99" spans="1:28" x14ac:dyDescent="0.25">
      <c r="C99">
        <v>1100</v>
      </c>
      <c r="D99" t="s">
        <v>955</v>
      </c>
      <c r="E99">
        <v>293.93333333333328</v>
      </c>
      <c r="F99">
        <v>58.776066287999996</v>
      </c>
      <c r="H99">
        <f t="shared" si="35"/>
        <v>352.70939962133326</v>
      </c>
    </row>
    <row r="100" spans="1:28" x14ac:dyDescent="0.25">
      <c r="C100">
        <v>1.7</v>
      </c>
      <c r="D100" t="s">
        <v>955</v>
      </c>
      <c r="E100">
        <v>293.93333333333328</v>
      </c>
      <c r="F100">
        <v>58.776066287999996</v>
      </c>
      <c r="H100">
        <f t="shared" si="35"/>
        <v>352.70939962133326</v>
      </c>
    </row>
    <row r="101" spans="1:28" x14ac:dyDescent="0.25">
      <c r="C101">
        <v>3.59</v>
      </c>
      <c r="D101" t="s">
        <v>955</v>
      </c>
      <c r="E101">
        <v>293.93333333333328</v>
      </c>
      <c r="F101">
        <v>58.776066287999996</v>
      </c>
      <c r="H101">
        <f t="shared" si="35"/>
        <v>352.70939962133326</v>
      </c>
    </row>
    <row r="102" spans="1:28" ht="15.75" thickBot="1" x14ac:dyDescent="0.3"/>
    <row r="103" spans="1:28" s="88" customFormat="1" ht="21.75" thickBot="1" x14ac:dyDescent="0.4">
      <c r="A103" s="86"/>
      <c r="B103" s="87" t="s">
        <v>1159</v>
      </c>
    </row>
    <row r="105" spans="1:28" x14ac:dyDescent="0.25">
      <c r="C105" t="s">
        <v>1161</v>
      </c>
    </row>
    <row r="106" spans="1:28" x14ac:dyDescent="0.25">
      <c r="D106" t="s">
        <v>1162</v>
      </c>
    </row>
    <row r="107" spans="1:28" x14ac:dyDescent="0.25">
      <c r="C107" t="s">
        <v>1163</v>
      </c>
      <c r="D107">
        <v>1</v>
      </c>
    </row>
    <row r="108" spans="1:28" x14ac:dyDescent="0.25">
      <c r="C108" t="s">
        <v>1164</v>
      </c>
      <c r="D108">
        <v>2</v>
      </c>
    </row>
    <row r="109" spans="1:28" x14ac:dyDescent="0.25">
      <c r="D109" t="s">
        <v>1166</v>
      </c>
    </row>
    <row r="110" spans="1:28" x14ac:dyDescent="0.25">
      <c r="C110" t="s">
        <v>1165</v>
      </c>
      <c r="D110">
        <v>90</v>
      </c>
      <c r="Y110" t="s">
        <v>1219</v>
      </c>
    </row>
    <row r="111" spans="1:28" x14ac:dyDescent="0.25">
      <c r="Y111" t="s">
        <v>1220</v>
      </c>
      <c r="Z111">
        <v>1</v>
      </c>
      <c r="AA111" t="s">
        <v>1222</v>
      </c>
      <c r="AB111" t="s">
        <v>1235</v>
      </c>
    </row>
    <row r="112" spans="1:28" x14ac:dyDescent="0.25">
      <c r="C112" t="s">
        <v>1167</v>
      </c>
      <c r="Y112" t="s">
        <v>1221</v>
      </c>
      <c r="Z112">
        <v>2</v>
      </c>
      <c r="AA112" t="s">
        <v>1222</v>
      </c>
    </row>
    <row r="114" spans="3:33" x14ac:dyDescent="0.25">
      <c r="C114" t="s">
        <v>1168</v>
      </c>
      <c r="D114" t="s">
        <v>1169</v>
      </c>
      <c r="Y114" t="s">
        <v>1223</v>
      </c>
      <c r="Z114">
        <v>1.8</v>
      </c>
      <c r="AA114" t="s">
        <v>1180</v>
      </c>
    </row>
    <row r="115" spans="3:33" x14ac:dyDescent="0.25">
      <c r="C115" t="s">
        <v>588</v>
      </c>
      <c r="D115" t="s">
        <v>589</v>
      </c>
      <c r="F115" t="s">
        <v>3</v>
      </c>
    </row>
    <row r="116" spans="3:33" x14ac:dyDescent="0.25">
      <c r="C116">
        <v>1</v>
      </c>
      <c r="D116">
        <v>2</v>
      </c>
      <c r="F116" s="4" t="s">
        <v>1170</v>
      </c>
      <c r="Y116" t="s">
        <v>1224</v>
      </c>
      <c r="Z116">
        <v>1.5</v>
      </c>
      <c r="AA116" t="s">
        <v>1225</v>
      </c>
    </row>
    <row r="117" spans="3:33" x14ac:dyDescent="0.25">
      <c r="Y117" t="s">
        <v>1226</v>
      </c>
      <c r="Z117">
        <v>3</v>
      </c>
      <c r="AA117" t="s">
        <v>191</v>
      </c>
    </row>
    <row r="120" spans="3:33" x14ac:dyDescent="0.25">
      <c r="C120" t="s">
        <v>1171</v>
      </c>
      <c r="F120" t="s">
        <v>1209</v>
      </c>
    </row>
    <row r="121" spans="3:33" x14ac:dyDescent="0.25">
      <c r="Y121" t="s">
        <v>1262</v>
      </c>
    </row>
    <row r="122" spans="3:33" x14ac:dyDescent="0.25">
      <c r="C122" t="s">
        <v>1172</v>
      </c>
      <c r="G122">
        <v>0.75</v>
      </c>
      <c r="H122" t="s">
        <v>1258</v>
      </c>
      <c r="J122" t="s">
        <v>1259</v>
      </c>
    </row>
    <row r="123" spans="3:33" x14ac:dyDescent="0.25">
      <c r="Y123" t="s">
        <v>156</v>
      </c>
      <c r="Z123">
        <v>150</v>
      </c>
      <c r="AA123">
        <v>200</v>
      </c>
      <c r="AB123">
        <v>300</v>
      </c>
      <c r="AC123">
        <v>400</v>
      </c>
      <c r="AD123">
        <v>500</v>
      </c>
      <c r="AE123">
        <v>600</v>
      </c>
      <c r="AF123">
        <v>800</v>
      </c>
      <c r="AG123">
        <v>1000</v>
      </c>
    </row>
    <row r="124" spans="3:33" x14ac:dyDescent="0.25">
      <c r="C124" t="s">
        <v>1173</v>
      </c>
      <c r="D124" t="s">
        <v>1174</v>
      </c>
    </row>
    <row r="125" spans="3:33" x14ac:dyDescent="0.25">
      <c r="X125" t="s">
        <v>587</v>
      </c>
      <c r="Y125" t="s">
        <v>1229</v>
      </c>
      <c r="Z125">
        <f>'Flow and Constent'!O6</f>
        <v>56.25</v>
      </c>
      <c r="AA125">
        <f>'Flow and Constent'!P6</f>
        <v>75</v>
      </c>
      <c r="AB125">
        <f>'Flow and Constent'!Q6</f>
        <v>112.5</v>
      </c>
      <c r="AC125">
        <f>'Flow and Constent'!R6</f>
        <v>150</v>
      </c>
      <c r="AD125">
        <f>'Flow and Constent'!S6</f>
        <v>187.5</v>
      </c>
      <c r="AE125">
        <f>'Flow and Constent'!T6</f>
        <v>225</v>
      </c>
      <c r="AF125">
        <f>'Flow and Constent'!U6</f>
        <v>300</v>
      </c>
      <c r="AG125">
        <f>'Flow and Constent'!V6</f>
        <v>375</v>
      </c>
    </row>
    <row r="126" spans="3:33" x14ac:dyDescent="0.25">
      <c r="C126" t="s">
        <v>1018</v>
      </c>
      <c r="D126" t="s">
        <v>1175</v>
      </c>
      <c r="Y126" t="s">
        <v>1233</v>
      </c>
      <c r="Z126">
        <f>Z125/24</f>
        <v>2.34375</v>
      </c>
      <c r="AA126">
        <f t="shared" ref="AA126:AG126" si="36">AA125/24</f>
        <v>3.125</v>
      </c>
      <c r="AB126">
        <f t="shared" si="36"/>
        <v>4.6875</v>
      </c>
      <c r="AC126">
        <f t="shared" si="36"/>
        <v>6.25</v>
      </c>
      <c r="AD126">
        <f t="shared" si="36"/>
        <v>7.8125</v>
      </c>
      <c r="AE126">
        <f t="shared" si="36"/>
        <v>9.375</v>
      </c>
      <c r="AF126">
        <f t="shared" si="36"/>
        <v>12.5</v>
      </c>
      <c r="AG126">
        <f t="shared" si="36"/>
        <v>15.625</v>
      </c>
    </row>
    <row r="128" spans="3:33" x14ac:dyDescent="0.25">
      <c r="X128" t="s">
        <v>1234</v>
      </c>
      <c r="Y128" t="s">
        <v>1229</v>
      </c>
      <c r="Z128">
        <f>'Flow and Constent'!O7</f>
        <v>90</v>
      </c>
      <c r="AA128">
        <f>'Flow and Constent'!P7</f>
        <v>120</v>
      </c>
      <c r="AB128">
        <f>'Flow and Constent'!Q7</f>
        <v>180</v>
      </c>
      <c r="AC128">
        <f>'Flow and Constent'!R7</f>
        <v>240</v>
      </c>
      <c r="AD128">
        <f>'Flow and Constent'!S7</f>
        <v>300</v>
      </c>
      <c r="AE128">
        <f>'Flow and Constent'!T7</f>
        <v>360</v>
      </c>
      <c r="AF128">
        <f>'Flow and Constent'!U7</f>
        <v>480</v>
      </c>
      <c r="AG128">
        <f>'Flow and Constent'!V7</f>
        <v>600</v>
      </c>
    </row>
    <row r="129" spans="2:33" x14ac:dyDescent="0.25">
      <c r="Y129" t="s">
        <v>1233</v>
      </c>
      <c r="Z129">
        <f>Z128/24</f>
        <v>3.75</v>
      </c>
      <c r="AA129">
        <f t="shared" ref="AA129" si="37">AA128/24</f>
        <v>5</v>
      </c>
      <c r="AB129">
        <f t="shared" ref="AB129" si="38">AB128/24</f>
        <v>7.5</v>
      </c>
      <c r="AC129">
        <f t="shared" ref="AC129" si="39">AC128/24</f>
        <v>10</v>
      </c>
      <c r="AD129">
        <f t="shared" ref="AD129" si="40">AD128/24</f>
        <v>12.5</v>
      </c>
      <c r="AE129">
        <f t="shared" ref="AE129" si="41">AE128/24</f>
        <v>15</v>
      </c>
      <c r="AF129">
        <f t="shared" ref="AF129" si="42">AF128/24</f>
        <v>20</v>
      </c>
      <c r="AG129">
        <f t="shared" ref="AG129" si="43">AG128/24</f>
        <v>25</v>
      </c>
    </row>
    <row r="131" spans="2:33" x14ac:dyDescent="0.25">
      <c r="C131" s="6" t="s">
        <v>1176</v>
      </c>
      <c r="D131" s="6"/>
      <c r="E131" s="6"/>
      <c r="F131" s="6"/>
    </row>
    <row r="132" spans="2:33" x14ac:dyDescent="0.25">
      <c r="C132" s="6"/>
      <c r="D132" s="6"/>
      <c r="E132" s="6"/>
      <c r="F132" s="6"/>
      <c r="Y132" t="s">
        <v>1236</v>
      </c>
      <c r="Z132">
        <f>ROUNDUP(Z129/$Z$111,1)</f>
        <v>3.8000000000000003</v>
      </c>
      <c r="AA132">
        <f t="shared" ref="AA132:AG132" si="44">ROUNDUP(AA129/$Z$111,1)</f>
        <v>5</v>
      </c>
      <c r="AB132">
        <f t="shared" si="44"/>
        <v>7.5</v>
      </c>
      <c r="AC132">
        <f t="shared" si="44"/>
        <v>10</v>
      </c>
      <c r="AD132">
        <f t="shared" si="44"/>
        <v>12.5</v>
      </c>
      <c r="AE132">
        <f t="shared" si="44"/>
        <v>15</v>
      </c>
      <c r="AF132">
        <f t="shared" si="44"/>
        <v>20</v>
      </c>
      <c r="AG132">
        <f t="shared" si="44"/>
        <v>25</v>
      </c>
    </row>
    <row r="133" spans="2:33" x14ac:dyDescent="0.25">
      <c r="C133" s="6" t="s">
        <v>1177</v>
      </c>
      <c r="D133" s="101" t="s">
        <v>1178</v>
      </c>
      <c r="E133" s="6"/>
      <c r="F133" s="6"/>
      <c r="Y133" t="s">
        <v>1237</v>
      </c>
      <c r="Z133">
        <f>ROUNDUP(Z129*$Z$112,1)</f>
        <v>7.5</v>
      </c>
      <c r="AA133">
        <f t="shared" ref="AA133:AG133" si="45">ROUNDUP(AA129*$Z$112,1)</f>
        <v>10</v>
      </c>
      <c r="AB133">
        <f t="shared" si="45"/>
        <v>15</v>
      </c>
      <c r="AC133">
        <f t="shared" si="45"/>
        <v>20</v>
      </c>
      <c r="AD133">
        <f t="shared" si="45"/>
        <v>25</v>
      </c>
      <c r="AE133">
        <f t="shared" si="45"/>
        <v>30</v>
      </c>
      <c r="AF133">
        <f t="shared" si="45"/>
        <v>40</v>
      </c>
      <c r="AG133">
        <f t="shared" si="45"/>
        <v>50</v>
      </c>
    </row>
    <row r="134" spans="2:33" x14ac:dyDescent="0.25">
      <c r="C134" s="6"/>
      <c r="D134" s="6"/>
      <c r="E134" s="6"/>
      <c r="F134" s="6"/>
      <c r="I134" s="6" t="s">
        <v>1192</v>
      </c>
      <c r="J134" s="6"/>
      <c r="K134" s="6"/>
      <c r="L134" s="6"/>
      <c r="N134" s="6" t="s">
        <v>1209</v>
      </c>
      <c r="O134" s="6"/>
      <c r="P134" s="6"/>
      <c r="Q134" s="6"/>
      <c r="R134" s="6"/>
      <c r="T134" s="6" t="s">
        <v>1214</v>
      </c>
      <c r="U134" s="6"/>
    </row>
    <row r="135" spans="2:33" x14ac:dyDescent="0.25">
      <c r="C135" s="6" t="s">
        <v>365</v>
      </c>
      <c r="D135" s="6"/>
      <c r="E135" s="6" t="s">
        <v>1182</v>
      </c>
      <c r="F135" s="6"/>
      <c r="I135" s="6"/>
      <c r="J135" s="6"/>
      <c r="K135" s="6"/>
      <c r="L135" s="6"/>
      <c r="N135" s="6"/>
      <c r="O135" s="6"/>
      <c r="P135" s="6"/>
      <c r="Q135" s="6"/>
      <c r="R135" s="6"/>
      <c r="T135" s="6"/>
      <c r="U135" s="6"/>
      <c r="Y135" t="s">
        <v>1251</v>
      </c>
    </row>
    <row r="136" spans="2:33" x14ac:dyDescent="0.25">
      <c r="C136" s="6" t="s">
        <v>1179</v>
      </c>
      <c r="D136" s="6" t="s">
        <v>1180</v>
      </c>
      <c r="E136" s="6" t="s">
        <v>1181</v>
      </c>
      <c r="F136" s="6"/>
      <c r="I136" s="6" t="s">
        <v>1193</v>
      </c>
      <c r="J136" s="6" t="s">
        <v>1194</v>
      </c>
      <c r="K136" s="6"/>
      <c r="L136" s="6"/>
      <c r="N136" s="6" t="s">
        <v>1210</v>
      </c>
      <c r="O136" s="6"/>
      <c r="P136" s="6"/>
      <c r="Q136" s="6"/>
      <c r="R136" s="6"/>
      <c r="T136" s="6" t="s">
        <v>1215</v>
      </c>
      <c r="U136" s="6"/>
      <c r="Y136" t="s">
        <v>1220</v>
      </c>
      <c r="Z136" s="7">
        <f>Z132/Z126</f>
        <v>1.6213333333333335</v>
      </c>
      <c r="AA136">
        <f t="shared" ref="AA136:AG136" si="46">AA132/AA126</f>
        <v>1.6</v>
      </c>
      <c r="AB136">
        <f t="shared" si="46"/>
        <v>1.6</v>
      </c>
      <c r="AC136">
        <f t="shared" si="46"/>
        <v>1.6</v>
      </c>
      <c r="AD136">
        <f t="shared" si="46"/>
        <v>1.6</v>
      </c>
      <c r="AE136">
        <f t="shared" si="46"/>
        <v>1.6</v>
      </c>
      <c r="AF136">
        <f t="shared" si="46"/>
        <v>1.6</v>
      </c>
      <c r="AG136">
        <f t="shared" si="46"/>
        <v>1.6</v>
      </c>
    </row>
    <row r="137" spans="2:33" x14ac:dyDescent="0.25">
      <c r="C137" s="6"/>
      <c r="D137" s="6"/>
      <c r="E137" s="6"/>
      <c r="F137" s="6"/>
      <c r="I137" s="6"/>
      <c r="J137" s="6"/>
      <c r="K137" s="6"/>
      <c r="L137" s="6"/>
      <c r="N137" s="6"/>
      <c r="O137" s="6"/>
      <c r="P137" s="6"/>
      <c r="Q137" s="6"/>
      <c r="R137" s="6"/>
      <c r="T137" s="6" t="s">
        <v>1216</v>
      </c>
      <c r="U137" s="6"/>
      <c r="Y137" t="s">
        <v>1221</v>
      </c>
      <c r="Z137">
        <f>Z133/Z126</f>
        <v>3.2</v>
      </c>
      <c r="AA137">
        <f t="shared" ref="AA137:AG137" si="47">AA133/AA126</f>
        <v>3.2</v>
      </c>
      <c r="AB137">
        <f t="shared" si="47"/>
        <v>3.2</v>
      </c>
      <c r="AC137">
        <f t="shared" si="47"/>
        <v>3.2</v>
      </c>
      <c r="AD137">
        <f t="shared" si="47"/>
        <v>3.2</v>
      </c>
      <c r="AE137">
        <f t="shared" si="47"/>
        <v>3.2</v>
      </c>
      <c r="AF137">
        <f t="shared" si="47"/>
        <v>3.2</v>
      </c>
      <c r="AG137">
        <f t="shared" si="47"/>
        <v>3.2</v>
      </c>
    </row>
    <row r="138" spans="2:33" x14ac:dyDescent="0.25">
      <c r="B138" t="s">
        <v>1217</v>
      </c>
      <c r="C138" s="6">
        <v>1</v>
      </c>
      <c r="D138" s="6" t="s">
        <v>1180</v>
      </c>
      <c r="E138" s="6"/>
      <c r="F138" s="6"/>
      <c r="I138" s="6" t="s">
        <v>1195</v>
      </c>
      <c r="J138" s="6"/>
      <c r="K138" s="6"/>
      <c r="L138" s="6"/>
      <c r="N138" s="6"/>
      <c r="O138" s="6"/>
      <c r="P138" s="6"/>
      <c r="Q138" s="6"/>
      <c r="R138" s="6"/>
      <c r="T138" s="6"/>
      <c r="U138" s="6"/>
    </row>
    <row r="139" spans="2:33" x14ac:dyDescent="0.25">
      <c r="C139" s="6"/>
      <c r="D139" s="6"/>
      <c r="E139" s="6"/>
      <c r="F139" s="6"/>
      <c r="I139" s="6">
        <v>5</v>
      </c>
      <c r="J139" s="6" t="s">
        <v>1196</v>
      </c>
      <c r="K139" s="6"/>
      <c r="L139" s="6"/>
      <c r="N139" s="6" t="s">
        <v>1211</v>
      </c>
      <c r="O139" s="6"/>
      <c r="P139" s="6"/>
      <c r="Q139" s="6"/>
      <c r="R139" s="6"/>
      <c r="Y139" t="s">
        <v>1252</v>
      </c>
    </row>
    <row r="140" spans="2:33" x14ac:dyDescent="0.25">
      <c r="C140" s="6"/>
      <c r="D140" s="6"/>
      <c r="E140" s="6"/>
      <c r="F140" s="6"/>
      <c r="I140" s="6"/>
      <c r="J140" s="6"/>
      <c r="K140" s="6"/>
      <c r="L140" s="6"/>
      <c r="N140" s="6" t="s">
        <v>1212</v>
      </c>
      <c r="O140" s="6" t="s">
        <v>1213</v>
      </c>
      <c r="P140" s="6"/>
      <c r="Q140" s="6"/>
      <c r="R140" s="6"/>
      <c r="Y140" t="s">
        <v>399</v>
      </c>
      <c r="Z140" s="7">
        <f>(1-($D$155/100))*'Flow and Constent'!H12</f>
        <v>0.15375000000000003</v>
      </c>
      <c r="AA140" s="7">
        <f>(1-($D$155/100))*'Flow and Constent'!I12</f>
        <v>0.30750000000000005</v>
      </c>
      <c r="AB140" s="7">
        <f>(1-($D$155/100))*'Flow and Constent'!J12</f>
        <v>0.6150000000000001</v>
      </c>
      <c r="AC140" s="7">
        <f>(1-($D$155/100))*'Flow and Constent'!K12</f>
        <v>0.9225000000000001</v>
      </c>
      <c r="AD140" s="7">
        <f>(1-($D$155/100))*'Flow and Constent'!L12</f>
        <v>1.5375000000000003</v>
      </c>
      <c r="AE140" s="7">
        <f>(1-($D$155/100))*'Flow and Constent'!M12</f>
        <v>2.3062500000000004</v>
      </c>
      <c r="AF140" s="7">
        <f>(1-($D$155/100))*'Flow and Constent'!N12</f>
        <v>3.0750000000000006</v>
      </c>
      <c r="AG140" s="7">
        <f>(1-($D$155/100))*'Flow and Constent'!O12</f>
        <v>4.6125000000000007</v>
      </c>
    </row>
    <row r="141" spans="2:33" x14ac:dyDescent="0.25">
      <c r="C141" s="6" t="s">
        <v>1183</v>
      </c>
      <c r="D141" s="6"/>
      <c r="E141" s="6"/>
      <c r="F141" s="6"/>
      <c r="I141" s="6"/>
      <c r="J141" s="6"/>
      <c r="K141" s="6"/>
      <c r="L141" s="6"/>
      <c r="N141" s="6"/>
      <c r="O141" s="6"/>
      <c r="P141" s="6"/>
      <c r="Q141" s="6"/>
      <c r="R141" s="6"/>
      <c r="Y141" t="s">
        <v>358</v>
      </c>
      <c r="Z141" s="7">
        <f>(1-($D$156/100))*'Flow and Constent'!O10</f>
        <v>6.0491803278688518</v>
      </c>
      <c r="AA141" s="7">
        <f>(1-($D$156/100))*'Flow and Constent'!P10</f>
        <v>8.0655737704918025</v>
      </c>
      <c r="AB141" s="7">
        <f>(1-($D$156/100))*'Flow and Constent'!Q10</f>
        <v>12.098360655737704</v>
      </c>
      <c r="AC141" s="7">
        <f>(1-($D$156/100))*'Flow and Constent'!R10</f>
        <v>16.131147540983605</v>
      </c>
      <c r="AD141" s="7">
        <f>(1-($D$156/100))*'Flow and Constent'!S10</f>
        <v>20.163934426229506</v>
      </c>
      <c r="AE141" s="7">
        <f>(1-($D$156/100))*'Flow and Constent'!T10</f>
        <v>24.196721311475407</v>
      </c>
      <c r="AF141" s="7">
        <f>(1-($D$156/100))*'Flow and Constent'!U10</f>
        <v>32.26229508196721</v>
      </c>
      <c r="AG141" s="7">
        <f>(1-($D$156/100))*'Flow and Constent'!V10</f>
        <v>40.327868852459012</v>
      </c>
    </row>
    <row r="142" spans="2:33" x14ac:dyDescent="0.25">
      <c r="C142" s="6" t="s">
        <v>1184</v>
      </c>
      <c r="D142" s="6"/>
      <c r="E142" s="6"/>
      <c r="F142" s="6"/>
      <c r="I142" s="6" t="s">
        <v>1197</v>
      </c>
      <c r="J142" s="6"/>
      <c r="K142" s="6" t="s">
        <v>1198</v>
      </c>
      <c r="L142" s="6"/>
      <c r="N142" s="6"/>
      <c r="O142" s="6"/>
      <c r="P142" s="6"/>
      <c r="Q142" s="6"/>
      <c r="R142" s="6"/>
      <c r="Y142" t="s">
        <v>600</v>
      </c>
      <c r="Z142" s="7">
        <f>'Flow and Constent'!O11</f>
        <v>1.1924999999999999</v>
      </c>
      <c r="AA142" s="7">
        <f>'Flow and Constent'!P11</f>
        <v>1.59</v>
      </c>
      <c r="AB142" s="7">
        <f>'Flow and Constent'!Q11</f>
        <v>2.3849999999999998</v>
      </c>
      <c r="AC142" s="7">
        <f>'Flow and Constent'!R11</f>
        <v>3.18</v>
      </c>
      <c r="AD142" s="7">
        <f>'Flow and Constent'!S11</f>
        <v>3.9750000000000001</v>
      </c>
      <c r="AE142" s="7">
        <f>'Flow and Constent'!T11</f>
        <v>4.7699999999999996</v>
      </c>
      <c r="AF142" s="7">
        <f>'Flow and Constent'!U11</f>
        <v>6.36</v>
      </c>
      <c r="AG142" s="7">
        <f>'Flow and Constent'!V11</f>
        <v>7.95</v>
      </c>
    </row>
    <row r="143" spans="2:33" x14ac:dyDescent="0.25">
      <c r="C143" s="6"/>
      <c r="D143" s="6"/>
      <c r="E143" s="6"/>
      <c r="F143" s="6"/>
      <c r="I143" s="6"/>
      <c r="J143" s="6"/>
      <c r="K143" s="6"/>
      <c r="L143" s="6"/>
      <c r="N143" s="6"/>
      <c r="O143" s="6"/>
      <c r="P143" s="6"/>
      <c r="Q143" s="6"/>
      <c r="R143" s="6"/>
      <c r="Y143" t="s">
        <v>371</v>
      </c>
    </row>
    <row r="144" spans="2:33" x14ac:dyDescent="0.25">
      <c r="C144" s="6" t="s">
        <v>1185</v>
      </c>
      <c r="D144" s="6" t="s">
        <v>365</v>
      </c>
      <c r="E144" s="6" t="s">
        <v>1182</v>
      </c>
      <c r="F144" s="6"/>
      <c r="I144" s="101" t="s">
        <v>1199</v>
      </c>
      <c r="J144" s="6"/>
      <c r="K144" s="6"/>
      <c r="L144" s="6"/>
      <c r="N144" s="6"/>
      <c r="O144" s="6"/>
      <c r="P144" s="6"/>
      <c r="Q144" s="6"/>
      <c r="R144" s="6"/>
    </row>
    <row r="145" spans="3:33" x14ac:dyDescent="0.25">
      <c r="C145" s="6" t="s">
        <v>1186</v>
      </c>
      <c r="D145" s="6" t="s">
        <v>1187</v>
      </c>
      <c r="E145" s="6" t="s">
        <v>1181</v>
      </c>
      <c r="F145" s="6"/>
      <c r="I145" s="6"/>
      <c r="J145" s="6"/>
      <c r="K145" s="6"/>
      <c r="L145" s="6"/>
      <c r="N145" s="6"/>
      <c r="O145" s="6"/>
      <c r="P145" s="6"/>
      <c r="Q145" s="6"/>
      <c r="R145" s="6"/>
      <c r="Y145" t="s">
        <v>1218</v>
      </c>
    </row>
    <row r="146" spans="3:33" x14ac:dyDescent="0.25">
      <c r="C146" s="6"/>
      <c r="D146" s="6"/>
      <c r="E146" s="6"/>
      <c r="F146" s="6"/>
      <c r="I146" s="6" t="s">
        <v>1200</v>
      </c>
      <c r="J146" s="6"/>
      <c r="K146" s="6"/>
      <c r="L146" s="6"/>
      <c r="N146" s="6"/>
      <c r="O146" s="6"/>
      <c r="P146" s="6"/>
      <c r="Q146" s="6"/>
      <c r="R146" s="6"/>
      <c r="Y146" t="s">
        <v>149</v>
      </c>
      <c r="Z146">
        <f>ROUNDUP(Z141/$Z$114,1)</f>
        <v>3.4</v>
      </c>
      <c r="AA146">
        <f t="shared" ref="AA146:AG146" si="48">ROUNDUP(AA141/$Z$114,1)</f>
        <v>4.5</v>
      </c>
      <c r="AB146">
        <f t="shared" si="48"/>
        <v>6.8</v>
      </c>
      <c r="AC146">
        <f t="shared" si="48"/>
        <v>9</v>
      </c>
      <c r="AD146">
        <f t="shared" si="48"/>
        <v>11.299999999999999</v>
      </c>
      <c r="AE146">
        <f t="shared" si="48"/>
        <v>13.5</v>
      </c>
      <c r="AF146">
        <f t="shared" si="48"/>
        <v>18</v>
      </c>
      <c r="AG146">
        <f t="shared" si="48"/>
        <v>22.5</v>
      </c>
    </row>
    <row r="147" spans="3:33" x14ac:dyDescent="0.25">
      <c r="C147" s="6"/>
      <c r="D147" s="6"/>
      <c r="E147" s="6"/>
      <c r="F147" s="6"/>
      <c r="I147" s="6" t="s">
        <v>1201</v>
      </c>
      <c r="J147" s="6" t="s">
        <v>1205</v>
      </c>
      <c r="K147" s="6"/>
      <c r="L147" s="6"/>
      <c r="N147" s="6" t="s">
        <v>1255</v>
      </c>
      <c r="O147" s="6"/>
      <c r="P147" s="6"/>
      <c r="Q147" s="6"/>
      <c r="R147" s="6"/>
    </row>
    <row r="148" spans="3:33" x14ac:dyDescent="0.25">
      <c r="C148" s="6" t="s">
        <v>1188</v>
      </c>
      <c r="D148" s="6" t="s">
        <v>1189</v>
      </c>
      <c r="E148" s="6" t="s">
        <v>1191</v>
      </c>
      <c r="F148" s="6"/>
      <c r="I148" s="6" t="s">
        <v>1202</v>
      </c>
      <c r="J148" s="6" t="s">
        <v>1206</v>
      </c>
      <c r="K148" s="6"/>
      <c r="L148" s="6"/>
      <c r="N148" s="6"/>
      <c r="O148" s="6"/>
      <c r="P148" s="6"/>
      <c r="Q148" s="6"/>
      <c r="R148" s="6"/>
      <c r="Y148" t="s">
        <v>1253</v>
      </c>
    </row>
    <row r="149" spans="3:33" x14ac:dyDescent="0.25">
      <c r="C149" s="6"/>
      <c r="D149" s="6" t="s">
        <v>1190</v>
      </c>
      <c r="E149" s="6"/>
      <c r="F149" s="6"/>
      <c r="I149" s="6" t="s">
        <v>1203</v>
      </c>
      <c r="J149" s="6" t="s">
        <v>1207</v>
      </c>
      <c r="K149" s="6"/>
      <c r="L149" s="6"/>
      <c r="N149" s="6" t="s">
        <v>1256</v>
      </c>
      <c r="O149" s="6"/>
      <c r="P149" s="6"/>
      <c r="Q149" s="6"/>
      <c r="R149" s="6"/>
      <c r="Y149" t="s">
        <v>399</v>
      </c>
      <c r="Z149">
        <f>Z140+$G$122*Z141</f>
        <v>4.6906352459016381</v>
      </c>
      <c r="AA149">
        <f t="shared" ref="AA149:AF149" si="49">AA140+$G$122*AA141</f>
        <v>6.356680327868852</v>
      </c>
      <c r="AB149">
        <f t="shared" si="49"/>
        <v>9.6887704918032771</v>
      </c>
      <c r="AC149">
        <f>AC140+$G$122*AC141</f>
        <v>13.020860655737703</v>
      </c>
      <c r="AD149">
        <f t="shared" si="49"/>
        <v>16.660450819672132</v>
      </c>
      <c r="AE149">
        <f t="shared" si="49"/>
        <v>20.453790983606552</v>
      </c>
      <c r="AF149">
        <f t="shared" si="49"/>
        <v>27.271721311475407</v>
      </c>
      <c r="AG149">
        <f>AG140+$G$122*AG141</f>
        <v>34.858401639344265</v>
      </c>
    </row>
    <row r="150" spans="3:33" x14ac:dyDescent="0.25">
      <c r="C150" s="6"/>
      <c r="D150" s="6"/>
      <c r="E150" s="6"/>
      <c r="F150" s="6"/>
      <c r="I150" s="6" t="s">
        <v>1204</v>
      </c>
      <c r="J150" s="6" t="s">
        <v>1208</v>
      </c>
      <c r="K150" s="6"/>
      <c r="L150" s="6"/>
      <c r="N150" s="6"/>
      <c r="O150" s="6"/>
      <c r="P150" s="6"/>
      <c r="Q150" s="6"/>
      <c r="R150" s="6"/>
      <c r="Y150" t="s">
        <v>358</v>
      </c>
      <c r="Z150">
        <f>Z141*(1-($D$162/100))</f>
        <v>0.90737704918032791</v>
      </c>
      <c r="AA150">
        <f t="shared" ref="AA150:AG150" si="50">AA141*(1-($D$162/100))</f>
        <v>1.2098360655737705</v>
      </c>
      <c r="AB150">
        <f t="shared" si="50"/>
        <v>1.8147540983606558</v>
      </c>
      <c r="AC150">
        <f t="shared" si="50"/>
        <v>2.4196721311475411</v>
      </c>
      <c r="AD150">
        <f t="shared" si="50"/>
        <v>3.0245901639344264</v>
      </c>
      <c r="AE150">
        <f t="shared" si="50"/>
        <v>3.6295081967213116</v>
      </c>
      <c r="AF150">
        <f t="shared" si="50"/>
        <v>4.8393442622950822</v>
      </c>
      <c r="AG150">
        <f t="shared" si="50"/>
        <v>6.0491803278688527</v>
      </c>
    </row>
    <row r="151" spans="3:33" x14ac:dyDescent="0.25">
      <c r="I151" s="6"/>
      <c r="J151" s="6"/>
      <c r="K151" s="6"/>
      <c r="L151" s="6"/>
      <c r="N151" s="6" t="s">
        <v>1257</v>
      </c>
      <c r="O151" s="6"/>
      <c r="P151" s="6"/>
      <c r="Q151" s="6"/>
      <c r="R151" s="6"/>
      <c r="Y151" t="s">
        <v>600</v>
      </c>
      <c r="Z151">
        <f>Z142*(1-($D$163/100))</f>
        <v>0.17887500000000001</v>
      </c>
      <c r="AA151">
        <f t="shared" ref="AA151:AG151" si="51">AA142*(1-($D$163/100))</f>
        <v>0.23850000000000005</v>
      </c>
      <c r="AB151">
        <f t="shared" si="51"/>
        <v>0.35775000000000001</v>
      </c>
      <c r="AC151">
        <f t="shared" si="51"/>
        <v>0.47700000000000009</v>
      </c>
      <c r="AD151">
        <f t="shared" si="51"/>
        <v>0.59625000000000006</v>
      </c>
      <c r="AE151">
        <f t="shared" si="51"/>
        <v>0.71550000000000002</v>
      </c>
      <c r="AF151">
        <f t="shared" si="51"/>
        <v>0.95400000000000018</v>
      </c>
      <c r="AG151">
        <f t="shared" si="51"/>
        <v>1.1925000000000001</v>
      </c>
    </row>
    <row r="153" spans="3:33" x14ac:dyDescent="0.25">
      <c r="Y153" t="s">
        <v>1254</v>
      </c>
    </row>
    <row r="154" spans="3:33" x14ac:dyDescent="0.25">
      <c r="C154" t="s">
        <v>1230</v>
      </c>
      <c r="H154" t="s">
        <v>1244</v>
      </c>
    </row>
    <row r="155" spans="3:33" x14ac:dyDescent="0.25">
      <c r="C155" t="s">
        <v>1238</v>
      </c>
      <c r="D155" s="7">
        <f>I166/(I162+J162*I166)</f>
        <v>61.538461538461533</v>
      </c>
      <c r="E155" t="s">
        <v>1241</v>
      </c>
      <c r="H155" t="s">
        <v>1245</v>
      </c>
      <c r="Y155" t="s">
        <v>399</v>
      </c>
      <c r="Z155">
        <f>(Z149/Z125)*1000</f>
        <v>83.389071038251345</v>
      </c>
      <c r="AA155">
        <f t="shared" ref="AA155:AG155" si="52">(AA149/AA125)*1000</f>
        <v>84.755737704918019</v>
      </c>
      <c r="AB155">
        <f t="shared" si="52"/>
        <v>86.122404371584679</v>
      </c>
      <c r="AC155">
        <f>(AC149/AC125)*1000</f>
        <v>86.805737704918016</v>
      </c>
      <c r="AD155">
        <f t="shared" si="52"/>
        <v>88.855737704918027</v>
      </c>
      <c r="AE155">
        <f t="shared" si="52"/>
        <v>90.90573770491801</v>
      </c>
      <c r="AF155">
        <f t="shared" si="52"/>
        <v>90.905737704918025</v>
      </c>
      <c r="AG155">
        <f t="shared" si="52"/>
        <v>92.955737704918036</v>
      </c>
    </row>
    <row r="156" spans="3:33" x14ac:dyDescent="0.25">
      <c r="C156" t="s">
        <v>1239</v>
      </c>
      <c r="D156" s="7">
        <f>I166/(I161+J161*I166)</f>
        <v>32.786885245901644</v>
      </c>
      <c r="E156" t="s">
        <v>1241</v>
      </c>
      <c r="Y156" t="s">
        <v>358</v>
      </c>
      <c r="Z156" s="7">
        <f>(Z150/Z125)*1000</f>
        <v>16.131147540983608</v>
      </c>
      <c r="AA156" s="7">
        <f t="shared" ref="AA156:AG156" si="53">(AA150/AA125)*1000</f>
        <v>16.131147540983608</v>
      </c>
      <c r="AB156" s="7">
        <f t="shared" si="53"/>
        <v>16.131147540983608</v>
      </c>
      <c r="AC156" s="7">
        <f t="shared" si="53"/>
        <v>16.131147540983608</v>
      </c>
      <c r="AD156" s="7">
        <f t="shared" si="53"/>
        <v>16.131147540983608</v>
      </c>
      <c r="AE156" s="7">
        <f t="shared" si="53"/>
        <v>16.131147540983608</v>
      </c>
      <c r="AF156" s="7">
        <f t="shared" si="53"/>
        <v>16.131147540983608</v>
      </c>
      <c r="AG156" s="7">
        <f t="shared" si="53"/>
        <v>16.131147540983608</v>
      </c>
    </row>
    <row r="157" spans="3:33" x14ac:dyDescent="0.25">
      <c r="C157" t="s">
        <v>1240</v>
      </c>
      <c r="D157">
        <v>0</v>
      </c>
      <c r="E157" t="s">
        <v>1241</v>
      </c>
      <c r="H157" t="s">
        <v>1246</v>
      </c>
      <c r="K157" t="s">
        <v>1247</v>
      </c>
      <c r="Y157" t="s">
        <v>600</v>
      </c>
      <c r="Z157" s="7">
        <f>(Z151/Z125)*1000</f>
        <v>3.18</v>
      </c>
      <c r="AA157" s="7">
        <f t="shared" ref="AA157:AG157" si="54">(AA151/AA125)*1000</f>
        <v>3.1800000000000006</v>
      </c>
      <c r="AB157" s="7">
        <f t="shared" si="54"/>
        <v>3.18</v>
      </c>
      <c r="AC157" s="7">
        <f t="shared" si="54"/>
        <v>3.1800000000000006</v>
      </c>
      <c r="AD157" s="7">
        <f t="shared" si="54"/>
        <v>3.18</v>
      </c>
      <c r="AE157" s="7">
        <f t="shared" si="54"/>
        <v>3.18</v>
      </c>
      <c r="AF157" s="7">
        <f t="shared" si="54"/>
        <v>3.1800000000000006</v>
      </c>
      <c r="AG157" s="7">
        <f t="shared" si="54"/>
        <v>3.18</v>
      </c>
    </row>
    <row r="159" spans="3:33" x14ac:dyDescent="0.25">
      <c r="H159" t="s">
        <v>631</v>
      </c>
      <c r="Y159" t="s">
        <v>1260</v>
      </c>
    </row>
    <row r="160" spans="3:33" x14ac:dyDescent="0.25">
      <c r="C160" t="s">
        <v>1231</v>
      </c>
      <c r="I160" t="s">
        <v>1248</v>
      </c>
      <c r="J160" t="s">
        <v>1249</v>
      </c>
    </row>
    <row r="161" spans="3:59" x14ac:dyDescent="0.25">
      <c r="C161" t="s">
        <v>1238</v>
      </c>
      <c r="E161" t="s">
        <v>1241</v>
      </c>
      <c r="H161" t="s">
        <v>358</v>
      </c>
      <c r="I161">
        <v>0.02</v>
      </c>
      <c r="J161">
        <v>1.7999999999999999E-2</v>
      </c>
      <c r="Y161" t="s">
        <v>399</v>
      </c>
      <c r="Z161">
        <f>Z155*(1-$D$168/100)</f>
        <v>13.166695427092312</v>
      </c>
      <c r="AA161">
        <f t="shared" ref="AA161:AG161" si="55">AA155*(1-$D$168/100)</f>
        <v>13.382484900776523</v>
      </c>
      <c r="AB161">
        <f t="shared" si="55"/>
        <v>13.598274374460733</v>
      </c>
      <c r="AC161">
        <f t="shared" si="55"/>
        <v>13.70616911130284</v>
      </c>
      <c r="AD161">
        <f t="shared" si="55"/>
        <v>14.029853321829156</v>
      </c>
      <c r="AE161">
        <f t="shared" si="55"/>
        <v>14.353537532355469</v>
      </c>
      <c r="AF161">
        <f t="shared" si="55"/>
        <v>14.353537532355471</v>
      </c>
      <c r="AG161">
        <f t="shared" si="55"/>
        <v>14.677221742881789</v>
      </c>
    </row>
    <row r="162" spans="3:59" x14ac:dyDescent="0.25">
      <c r="C162" t="s">
        <v>1239</v>
      </c>
      <c r="D162">
        <v>85</v>
      </c>
      <c r="E162" t="s">
        <v>1241</v>
      </c>
      <c r="H162" t="s">
        <v>399</v>
      </c>
      <c r="I162">
        <v>1.4E-2</v>
      </c>
      <c r="J162">
        <v>7.4999999999999997E-3</v>
      </c>
      <c r="Y162" t="s">
        <v>358</v>
      </c>
      <c r="Z162" s="7">
        <f>Z156</f>
        <v>16.131147540983608</v>
      </c>
      <c r="AA162" s="7">
        <f t="shared" ref="AA162:AG162" si="56">AA156</f>
        <v>16.131147540983608</v>
      </c>
      <c r="AB162" s="7">
        <f t="shared" si="56"/>
        <v>16.131147540983608</v>
      </c>
      <c r="AC162" s="7">
        <f t="shared" si="56"/>
        <v>16.131147540983608</v>
      </c>
      <c r="AD162" s="7">
        <f t="shared" si="56"/>
        <v>16.131147540983608</v>
      </c>
      <c r="AE162" s="7">
        <f t="shared" si="56"/>
        <v>16.131147540983608</v>
      </c>
      <c r="AF162" s="7">
        <f t="shared" si="56"/>
        <v>16.131147540983608</v>
      </c>
      <c r="AG162" s="7">
        <f t="shared" si="56"/>
        <v>16.131147540983608</v>
      </c>
    </row>
    <row r="163" spans="3:59" x14ac:dyDescent="0.25">
      <c r="C163" t="s">
        <v>1240</v>
      </c>
      <c r="D163">
        <v>85</v>
      </c>
      <c r="E163" t="s">
        <v>1241</v>
      </c>
      <c r="Y163" t="s">
        <v>600</v>
      </c>
      <c r="Z163" s="7">
        <f>Z157</f>
        <v>3.18</v>
      </c>
      <c r="AA163" s="7">
        <f t="shared" ref="AA163:AG163" si="57">AA157</f>
        <v>3.1800000000000006</v>
      </c>
      <c r="AB163" s="7">
        <f t="shared" si="57"/>
        <v>3.18</v>
      </c>
      <c r="AC163" s="7">
        <f t="shared" si="57"/>
        <v>3.1800000000000006</v>
      </c>
      <c r="AD163" s="7">
        <f t="shared" si="57"/>
        <v>3.18</v>
      </c>
      <c r="AE163" s="7">
        <f t="shared" si="57"/>
        <v>3.18</v>
      </c>
      <c r="AF163" s="7">
        <f t="shared" si="57"/>
        <v>3.1800000000000006</v>
      </c>
      <c r="AG163" s="7">
        <f t="shared" si="57"/>
        <v>3.18</v>
      </c>
    </row>
    <row r="164" spans="3:59" x14ac:dyDescent="0.25">
      <c r="H164" t="s">
        <v>1250</v>
      </c>
    </row>
    <row r="165" spans="3:59" x14ac:dyDescent="0.25">
      <c r="Z165">
        <f>Z171/Z123</f>
        <v>2.4762295081967212</v>
      </c>
      <c r="AA165">
        <f t="shared" ref="AA165:AG165" si="58">AA171/AA123</f>
        <v>2.4762295081967212</v>
      </c>
      <c r="AB165">
        <f t="shared" si="58"/>
        <v>2.4762295081967212</v>
      </c>
      <c r="AC165">
        <f t="shared" si="58"/>
        <v>2.4762295081967212</v>
      </c>
      <c r="AD165">
        <f t="shared" si="58"/>
        <v>2.4762295081967212</v>
      </c>
      <c r="AE165">
        <f t="shared" si="58"/>
        <v>2.4762295081967212</v>
      </c>
      <c r="AF165">
        <f t="shared" si="58"/>
        <v>2.4762295081967212</v>
      </c>
      <c r="AG165">
        <f t="shared" si="58"/>
        <v>2.4762295081967212</v>
      </c>
      <c r="AJ165" t="s">
        <v>1248</v>
      </c>
      <c r="AK165">
        <v>0.9</v>
      </c>
    </row>
    <row r="166" spans="3:59" x14ac:dyDescent="0.25">
      <c r="H166" t="s">
        <v>1220</v>
      </c>
      <c r="I166">
        <v>1.6</v>
      </c>
      <c r="Y166" s="6" t="s">
        <v>1265</v>
      </c>
      <c r="Z166" s="6"/>
      <c r="AA166" s="6"/>
      <c r="AB166" s="6"/>
      <c r="AC166" s="6"/>
      <c r="AD166" s="6"/>
      <c r="AE166" s="6"/>
      <c r="AF166" s="6"/>
      <c r="AG166" s="6"/>
      <c r="AJ166" t="s">
        <v>1249</v>
      </c>
      <c r="AK166">
        <v>0.9</v>
      </c>
      <c r="AN166" t="str">
        <f>Y166</f>
        <v>Aeration Requirements (kg O2 /d)</v>
      </c>
    </row>
    <row r="167" spans="3:59" x14ac:dyDescent="0.25">
      <c r="C167" t="s">
        <v>1232</v>
      </c>
      <c r="H167" t="s">
        <v>1221</v>
      </c>
      <c r="I167">
        <v>3.2</v>
      </c>
      <c r="Y167" s="6" t="s">
        <v>1266</v>
      </c>
      <c r="Z167" s="6">
        <f>(Z141/Z125)*1000</f>
        <v>107.54098360655736</v>
      </c>
      <c r="AA167" s="6">
        <f t="shared" ref="AA167:AG167" si="59">(AA141/AA125)*1000</f>
        <v>107.54098360655736</v>
      </c>
      <c r="AB167" s="6">
        <f t="shared" si="59"/>
        <v>107.54098360655736</v>
      </c>
      <c r="AC167" s="6">
        <f t="shared" si="59"/>
        <v>107.54098360655736</v>
      </c>
      <c r="AD167" s="6">
        <f t="shared" si="59"/>
        <v>107.54098360655736</v>
      </c>
      <c r="AE167" s="6">
        <f t="shared" si="59"/>
        <v>107.54098360655736</v>
      </c>
      <c r="AF167" s="6">
        <f t="shared" si="59"/>
        <v>107.54098360655736</v>
      </c>
      <c r="AG167" s="6">
        <f t="shared" si="59"/>
        <v>107.54098360655736</v>
      </c>
      <c r="AJ167" t="s">
        <v>636</v>
      </c>
      <c r="AK167">
        <v>0.6</v>
      </c>
      <c r="AN167" t="s">
        <v>1397</v>
      </c>
      <c r="AO167">
        <f>('Flow and Constent'!O10)*(1-$D$156/100)</f>
        <v>6.0491803278688518</v>
      </c>
      <c r="AP167">
        <f>('Flow and Constent'!P10)*(1-$D$156/100)</f>
        <v>8.0655737704918025</v>
      </c>
      <c r="AQ167">
        <f>('Flow and Constent'!Q10)*(1-$D$156/100)</f>
        <v>12.098360655737704</v>
      </c>
      <c r="AR167">
        <f>('Flow and Constent'!R10)*(1-$D$156/100)</f>
        <v>16.131147540983605</v>
      </c>
      <c r="AS167">
        <f>('Flow and Constent'!S10)*(1-$D$156/100)</f>
        <v>20.163934426229506</v>
      </c>
      <c r="AT167">
        <f>('Flow and Constent'!T10)*(1-$D$156/100)</f>
        <v>24.196721311475407</v>
      </c>
      <c r="AU167">
        <f>('Flow and Constent'!U10)*(1-$D$156/100)</f>
        <v>32.26229508196721</v>
      </c>
      <c r="AV167">
        <f>('Flow and Constent'!V10)*(1-$D$156/100)</f>
        <v>40.327868852459012</v>
      </c>
      <c r="AY167" t="s">
        <v>1290</v>
      </c>
    </row>
    <row r="168" spans="3:59" x14ac:dyDescent="0.25">
      <c r="C168" t="s">
        <v>1238</v>
      </c>
      <c r="D168" s="7">
        <f>I167/(I162+J162*I167)</f>
        <v>84.21052631578948</v>
      </c>
      <c r="E168" t="s">
        <v>1241</v>
      </c>
      <c r="Y168" s="6" t="s">
        <v>1267</v>
      </c>
      <c r="Z168" s="68">
        <f>Z167-25</f>
        <v>82.540983606557361</v>
      </c>
      <c r="AA168" s="68">
        <f t="shared" ref="AA168:AG168" si="60">AA167-25</f>
        <v>82.540983606557361</v>
      </c>
      <c r="AB168" s="68">
        <f t="shared" si="60"/>
        <v>82.540983606557361</v>
      </c>
      <c r="AC168" s="68">
        <f t="shared" si="60"/>
        <v>82.540983606557361</v>
      </c>
      <c r="AD168" s="68">
        <f t="shared" si="60"/>
        <v>82.540983606557361</v>
      </c>
      <c r="AE168" s="68">
        <f t="shared" si="60"/>
        <v>82.540983606557361</v>
      </c>
      <c r="AF168" s="68">
        <f t="shared" si="60"/>
        <v>82.540983606557361</v>
      </c>
      <c r="AG168" s="68">
        <f t="shared" si="60"/>
        <v>82.540983606557361</v>
      </c>
      <c r="AN168" t="s">
        <v>1398</v>
      </c>
      <c r="AO168">
        <f>'Flow and Constent'!O11</f>
        <v>1.1924999999999999</v>
      </c>
      <c r="AP168">
        <f>'Flow and Constent'!P11</f>
        <v>1.59</v>
      </c>
      <c r="AQ168">
        <f>'Flow and Constent'!Q11</f>
        <v>2.3849999999999998</v>
      </c>
      <c r="AR168">
        <f>'Flow and Constent'!R11</f>
        <v>3.18</v>
      </c>
      <c r="AS168">
        <f>'Flow and Constent'!S11</f>
        <v>3.9750000000000001</v>
      </c>
      <c r="AT168">
        <f>'Flow and Constent'!T11</f>
        <v>4.7699999999999996</v>
      </c>
      <c r="AU168">
        <f>'Flow and Constent'!U11</f>
        <v>6.36</v>
      </c>
      <c r="AV168">
        <f>'Flow and Constent'!V11</f>
        <v>7.95</v>
      </c>
      <c r="AY168" t="s">
        <v>1291</v>
      </c>
    </row>
    <row r="169" spans="3:59" x14ac:dyDescent="0.25">
      <c r="C169" t="s">
        <v>1239</v>
      </c>
      <c r="D169" s="7">
        <f>I167/(I161+J161*I167)</f>
        <v>41.237113402061858</v>
      </c>
      <c r="E169" t="s">
        <v>1241</v>
      </c>
      <c r="Y169" s="6" t="s">
        <v>1268</v>
      </c>
      <c r="Z169" s="6">
        <f>Z128/Z125</f>
        <v>1.6</v>
      </c>
      <c r="AA169" s="6">
        <f t="shared" ref="AA169:AG169" si="61">AA128/AA125</f>
        <v>1.6</v>
      </c>
      <c r="AB169" s="6">
        <f t="shared" si="61"/>
        <v>1.6</v>
      </c>
      <c r="AC169" s="6">
        <f t="shared" si="61"/>
        <v>1.6</v>
      </c>
      <c r="AD169" s="6">
        <f t="shared" si="61"/>
        <v>1.6</v>
      </c>
      <c r="AE169" s="6">
        <f t="shared" si="61"/>
        <v>1.6</v>
      </c>
      <c r="AF169" s="6">
        <f t="shared" si="61"/>
        <v>1.6</v>
      </c>
      <c r="AG169" s="6">
        <f t="shared" si="61"/>
        <v>1.6</v>
      </c>
      <c r="AY169" t="str">
        <f t="shared" ref="AY169:BG169" si="62">Y123</f>
        <v>PE</v>
      </c>
      <c r="AZ169">
        <f t="shared" si="62"/>
        <v>150</v>
      </c>
      <c r="BA169">
        <f t="shared" si="62"/>
        <v>200</v>
      </c>
      <c r="BB169">
        <f t="shared" si="62"/>
        <v>300</v>
      </c>
      <c r="BC169">
        <f t="shared" si="62"/>
        <v>400</v>
      </c>
      <c r="BD169">
        <f t="shared" si="62"/>
        <v>500</v>
      </c>
      <c r="BE169">
        <f t="shared" si="62"/>
        <v>600</v>
      </c>
      <c r="BF169">
        <f t="shared" si="62"/>
        <v>800</v>
      </c>
      <c r="BG169">
        <f t="shared" si="62"/>
        <v>1000</v>
      </c>
    </row>
    <row r="170" spans="3:59" x14ac:dyDescent="0.25">
      <c r="C170" t="s">
        <v>1240</v>
      </c>
      <c r="D170">
        <v>0</v>
      </c>
      <c r="E170" t="s">
        <v>1241</v>
      </c>
      <c r="Y170" s="6"/>
      <c r="Z170" s="6"/>
      <c r="AA170" s="6"/>
      <c r="AB170" s="6"/>
      <c r="AC170" s="6"/>
      <c r="AD170" s="6"/>
      <c r="AE170" s="6"/>
      <c r="AF170" s="6"/>
      <c r="AG170" s="6"/>
      <c r="AN170" t="s">
        <v>1399</v>
      </c>
      <c r="AO170">
        <f>(1+0.2)*(AO167+4.34*AO168)</f>
        <v>13.469556393442621</v>
      </c>
      <c r="AP170">
        <f t="shared" ref="AP170:AU170" si="63">(1+0.2)*(AP167+4.34*AP168)</f>
        <v>17.959408524590163</v>
      </c>
      <c r="AQ170">
        <f t="shared" si="63"/>
        <v>26.939112786885243</v>
      </c>
      <c r="AR170">
        <f t="shared" si="63"/>
        <v>35.918817049180326</v>
      </c>
      <c r="AS170">
        <f t="shared" si="63"/>
        <v>44.898521311475413</v>
      </c>
      <c r="AT170">
        <f t="shared" si="63"/>
        <v>53.878225573770486</v>
      </c>
      <c r="AU170">
        <f t="shared" si="63"/>
        <v>71.837634098360653</v>
      </c>
      <c r="AV170">
        <f>(1+0.2)*(AV167+4.34*AV168)</f>
        <v>89.797042622950826</v>
      </c>
    </row>
    <row r="171" spans="3:59" x14ac:dyDescent="0.25">
      <c r="Y171" s="6" t="s">
        <v>1269</v>
      </c>
      <c r="Z171" s="6">
        <f>0.8*Z126*Z168*Z169*1.5</f>
        <v>371.43442622950818</v>
      </c>
      <c r="AA171" s="6">
        <f t="shared" ref="AA171:AG171" si="64">0.8*AA126*AA168*AA169*1.5</f>
        <v>495.2459016393442</v>
      </c>
      <c r="AB171" s="6">
        <f t="shared" si="64"/>
        <v>742.86885245901635</v>
      </c>
      <c r="AC171" s="6">
        <f t="shared" si="64"/>
        <v>990.49180327868839</v>
      </c>
      <c r="AD171" s="6">
        <f t="shared" si="64"/>
        <v>1238.1147540983607</v>
      </c>
      <c r="AE171" s="6">
        <f t="shared" si="64"/>
        <v>1485.7377049180327</v>
      </c>
      <c r="AF171" s="6">
        <f t="shared" si="64"/>
        <v>1980.9836065573768</v>
      </c>
      <c r="AG171" s="6">
        <f t="shared" si="64"/>
        <v>2476.2295081967213</v>
      </c>
      <c r="AI171" t="s">
        <v>1262</v>
      </c>
      <c r="AY171" t="s">
        <v>145</v>
      </c>
      <c r="AZ171">
        <v>3</v>
      </c>
      <c r="BA171">
        <v>3</v>
      </c>
      <c r="BB171">
        <v>3</v>
      </c>
      <c r="BC171">
        <v>3</v>
      </c>
      <c r="BD171">
        <v>3</v>
      </c>
      <c r="BE171">
        <v>3</v>
      </c>
      <c r="BF171">
        <v>3</v>
      </c>
      <c r="BG171">
        <v>3</v>
      </c>
    </row>
    <row r="172" spans="3:59" x14ac:dyDescent="0.25">
      <c r="Y172" s="6" t="s">
        <v>638</v>
      </c>
      <c r="Z172" s="6">
        <f>(Z171/(0.6*0.9^2))/24</f>
        <v>31.844515280307629</v>
      </c>
      <c r="AA172" s="6">
        <f t="shared" ref="AA172:AG172" si="65">(AA171/(0.6*0.9^2))/24</f>
        <v>42.459353707076836</v>
      </c>
      <c r="AB172" s="6">
        <f t="shared" si="65"/>
        <v>63.689030560615258</v>
      </c>
      <c r="AC172" s="6">
        <f t="shared" si="65"/>
        <v>84.918707414153673</v>
      </c>
      <c r="AD172" s="6">
        <f t="shared" si="65"/>
        <v>106.14838426769211</v>
      </c>
      <c r="AE172" s="6">
        <f t="shared" si="65"/>
        <v>127.37806112123052</v>
      </c>
      <c r="AF172" s="6">
        <f t="shared" si="65"/>
        <v>169.83741482830735</v>
      </c>
      <c r="AG172" s="6">
        <f t="shared" si="65"/>
        <v>212.29676853538422</v>
      </c>
      <c r="AI172" t="s">
        <v>637</v>
      </c>
      <c r="AJ172">
        <v>5</v>
      </c>
      <c r="AK172" t="s">
        <v>1241</v>
      </c>
      <c r="AN172" t="s">
        <v>1400</v>
      </c>
      <c r="AO172">
        <f>AO170/($AK$165*$AK$166*$AK$167)</f>
        <v>27.715136612021855</v>
      </c>
      <c r="AP172">
        <f t="shared" ref="AP172:AV172" si="66">AP170/($AK$165*$AK$166*$AK$167)</f>
        <v>36.953515482695806</v>
      </c>
      <c r="AQ172">
        <f t="shared" si="66"/>
        <v>55.430273224043709</v>
      </c>
      <c r="AR172">
        <f t="shared" si="66"/>
        <v>73.907030965391613</v>
      </c>
      <c r="AS172">
        <f t="shared" si="66"/>
        <v>92.383788706739537</v>
      </c>
      <c r="AT172">
        <f t="shared" si="66"/>
        <v>110.86054644808742</v>
      </c>
      <c r="AU172">
        <f t="shared" si="66"/>
        <v>147.81406193078323</v>
      </c>
      <c r="AV172">
        <f t="shared" si="66"/>
        <v>184.76757741347907</v>
      </c>
      <c r="AY172" t="s">
        <v>1296</v>
      </c>
      <c r="AZ172">
        <v>0.5</v>
      </c>
      <c r="BA172">
        <v>0.5</v>
      </c>
      <c r="BB172">
        <v>0.5</v>
      </c>
      <c r="BC172">
        <v>0.5</v>
      </c>
      <c r="BD172">
        <v>0.5</v>
      </c>
      <c r="BE172">
        <v>0.5</v>
      </c>
      <c r="BF172">
        <v>0.5</v>
      </c>
      <c r="BG172">
        <v>0.5</v>
      </c>
    </row>
    <row r="173" spans="3:59" x14ac:dyDescent="0.25">
      <c r="Y173" s="6" t="s">
        <v>640</v>
      </c>
      <c r="Z173" s="6">
        <f>Z172/(0.269*$AJ$173)</f>
        <v>2367.6219539262174</v>
      </c>
      <c r="AA173" s="6">
        <f t="shared" ref="AA173:AG173" si="67">AA172/(0.269*$AJ$173)</f>
        <v>3156.8292719016231</v>
      </c>
      <c r="AB173" s="6">
        <f t="shared" si="67"/>
        <v>4735.2439078524349</v>
      </c>
      <c r="AC173" s="6">
        <f t="shared" si="67"/>
        <v>6313.6585438032462</v>
      </c>
      <c r="AD173" s="6">
        <f t="shared" si="67"/>
        <v>7892.0731797540593</v>
      </c>
      <c r="AE173" s="6">
        <f t="shared" si="67"/>
        <v>9470.4878157048697</v>
      </c>
      <c r="AF173" s="6">
        <f t="shared" si="67"/>
        <v>12627.317087606492</v>
      </c>
      <c r="AG173" s="6">
        <f t="shared" si="67"/>
        <v>15784.146359508119</v>
      </c>
      <c r="AJ173">
        <v>0.05</v>
      </c>
      <c r="AN173" t="s">
        <v>1401</v>
      </c>
      <c r="AO173">
        <f>AO172/24</f>
        <v>1.1547973588342439</v>
      </c>
      <c r="AP173">
        <f t="shared" ref="AP173:AV173" si="68">AP172/24</f>
        <v>1.5397298117789919</v>
      </c>
      <c r="AQ173">
        <f t="shared" si="68"/>
        <v>2.3095947176684879</v>
      </c>
      <c r="AR173">
        <f t="shared" si="68"/>
        <v>3.0794596235579839</v>
      </c>
      <c r="AS173">
        <f t="shared" si="68"/>
        <v>3.8493245294474807</v>
      </c>
      <c r="AT173">
        <f t="shared" si="68"/>
        <v>4.6191894353369758</v>
      </c>
      <c r="AU173">
        <f t="shared" si="68"/>
        <v>6.1589192471159677</v>
      </c>
      <c r="AV173">
        <f t="shared" si="68"/>
        <v>7.6986490588949614</v>
      </c>
    </row>
    <row r="174" spans="3:59" x14ac:dyDescent="0.25">
      <c r="Y174" s="6"/>
      <c r="Z174" s="6"/>
      <c r="AA174" s="6"/>
      <c r="AB174" s="6"/>
      <c r="AC174" s="6"/>
      <c r="AD174" s="6"/>
      <c r="AE174" s="6"/>
      <c r="AF174" s="6"/>
      <c r="AG174" s="6"/>
      <c r="AY174" t="s">
        <v>150</v>
      </c>
      <c r="AZ174">
        <f>AZ175+Z215+Z220</f>
        <v>4.5399999999999991</v>
      </c>
      <c r="BA174">
        <f t="shared" ref="BA174:BG174" si="69">BA175+AA215+AA220</f>
        <v>5.16</v>
      </c>
      <c r="BB174">
        <f t="shared" si="69"/>
        <v>6.3</v>
      </c>
      <c r="BC174">
        <f t="shared" si="69"/>
        <v>7.37</v>
      </c>
      <c r="BD174">
        <f t="shared" si="69"/>
        <v>8.26</v>
      </c>
      <c r="BE174">
        <f t="shared" si="69"/>
        <v>9.0300000000000011</v>
      </c>
      <c r="BF174">
        <f t="shared" si="69"/>
        <v>10.51</v>
      </c>
      <c r="BG174">
        <f t="shared" si="69"/>
        <v>11.74</v>
      </c>
    </row>
    <row r="175" spans="3:59" x14ac:dyDescent="0.25">
      <c r="C175" t="s">
        <v>1261</v>
      </c>
      <c r="Y175" s="6" t="s">
        <v>1273</v>
      </c>
      <c r="Z175" s="6">
        <f>ROUNDUP(Z173/318,0)</f>
        <v>8</v>
      </c>
      <c r="AA175" s="6">
        <f t="shared" ref="AA175:AG175" si="70">ROUNDUP(AA173/318,0)</f>
        <v>10</v>
      </c>
      <c r="AB175" s="6">
        <f t="shared" si="70"/>
        <v>15</v>
      </c>
      <c r="AC175" s="6">
        <f t="shared" si="70"/>
        <v>20</v>
      </c>
      <c r="AD175" s="6">
        <f t="shared" si="70"/>
        <v>25</v>
      </c>
      <c r="AE175" s="6">
        <f t="shared" si="70"/>
        <v>30</v>
      </c>
      <c r="AF175" s="6">
        <f t="shared" si="70"/>
        <v>40</v>
      </c>
      <c r="AG175" s="6">
        <f t="shared" si="70"/>
        <v>50</v>
      </c>
      <c r="AN175" t="s">
        <v>640</v>
      </c>
      <c r="AO175">
        <f>AO173/($AJ$173*0.267)</f>
        <v>86.501674819044482</v>
      </c>
      <c r="AP175">
        <f t="shared" ref="AP175:AV175" si="71">AP173/($AJ$173*0.267)</f>
        <v>115.33556642539264</v>
      </c>
      <c r="AQ175">
        <f t="shared" si="71"/>
        <v>173.00334963808896</v>
      </c>
      <c r="AR175">
        <f t="shared" si="71"/>
        <v>230.67113285078528</v>
      </c>
      <c r="AS175">
        <f t="shared" si="71"/>
        <v>288.33891606348169</v>
      </c>
      <c r="AT175">
        <f t="shared" si="71"/>
        <v>346.00669927617793</v>
      </c>
      <c r="AU175">
        <f t="shared" si="71"/>
        <v>461.34226570157057</v>
      </c>
      <c r="AV175">
        <f t="shared" si="71"/>
        <v>576.67783212696338</v>
      </c>
      <c r="AY175" t="s">
        <v>116</v>
      </c>
      <c r="AZ175">
        <f>Z186</f>
        <v>1.1000000000000001</v>
      </c>
      <c r="BA175">
        <f t="shared" ref="BA175:BG175" si="72">AA186</f>
        <v>1.3</v>
      </c>
      <c r="BB175">
        <f t="shared" si="72"/>
        <v>1.6</v>
      </c>
      <c r="BC175">
        <f t="shared" si="72"/>
        <v>1.8</v>
      </c>
      <c r="BD175">
        <f t="shared" si="72"/>
        <v>2</v>
      </c>
      <c r="BE175">
        <f t="shared" si="72"/>
        <v>2.2000000000000002</v>
      </c>
      <c r="BF175">
        <f t="shared" si="72"/>
        <v>2.5</v>
      </c>
      <c r="BG175">
        <f t="shared" si="72"/>
        <v>2.8000000000000003</v>
      </c>
    </row>
    <row r="176" spans="3:59" x14ac:dyDescent="0.25">
      <c r="Y176" s="6" t="s">
        <v>1274</v>
      </c>
      <c r="Z176" s="6">
        <f>Z175*2.2</f>
        <v>17.600000000000001</v>
      </c>
      <c r="AA176" s="6">
        <f t="shared" ref="AA176:AG176" si="73">AA175*2.2</f>
        <v>22</v>
      </c>
      <c r="AB176" s="6">
        <f t="shared" si="73"/>
        <v>33</v>
      </c>
      <c r="AC176" s="6">
        <f t="shared" si="73"/>
        <v>44</v>
      </c>
      <c r="AD176" s="6">
        <f t="shared" si="73"/>
        <v>55.000000000000007</v>
      </c>
      <c r="AE176" s="6">
        <f t="shared" si="73"/>
        <v>66</v>
      </c>
      <c r="AF176" s="6">
        <f t="shared" si="73"/>
        <v>88</v>
      </c>
      <c r="AG176" s="6">
        <f t="shared" si="73"/>
        <v>110.00000000000001</v>
      </c>
      <c r="AT176">
        <f>AT175/2</f>
        <v>173.00334963808896</v>
      </c>
      <c r="AU176">
        <f t="shared" ref="AU176:AV176" si="74">AU175/2</f>
        <v>230.67113285078528</v>
      </c>
      <c r="AV176">
        <f t="shared" si="74"/>
        <v>288.33891606348169</v>
      </c>
    </row>
    <row r="177" spans="3:59" x14ac:dyDescent="0.25">
      <c r="D177" s="2" t="s">
        <v>1263</v>
      </c>
      <c r="F177" t="s">
        <v>1606</v>
      </c>
      <c r="AN177" t="s">
        <v>622</v>
      </c>
      <c r="AO177" t="s">
        <v>786</v>
      </c>
      <c r="AP177" t="s">
        <v>810</v>
      </c>
      <c r="AQ177" t="s">
        <v>788</v>
      </c>
      <c r="AR177" t="s">
        <v>790</v>
      </c>
      <c r="AS177" t="s">
        <v>1097</v>
      </c>
      <c r="AT177" t="s">
        <v>788</v>
      </c>
      <c r="AU177" t="s">
        <v>790</v>
      </c>
      <c r="AV177" t="s">
        <v>1097</v>
      </c>
      <c r="AY177" t="s">
        <v>680</v>
      </c>
      <c r="AZ177">
        <f>(AZ171+AZ172)*AZ174*AZ175</f>
        <v>17.478999999999999</v>
      </c>
      <c r="BA177">
        <f t="shared" ref="BA177:BG177" si="75">(BA171+BA172)*BA174*BA175</f>
        <v>23.478000000000005</v>
      </c>
      <c r="BB177">
        <f t="shared" si="75"/>
        <v>35.28</v>
      </c>
      <c r="BC177">
        <f t="shared" si="75"/>
        <v>46.431000000000004</v>
      </c>
      <c r="BD177">
        <f t="shared" si="75"/>
        <v>57.82</v>
      </c>
      <c r="BE177">
        <f t="shared" si="75"/>
        <v>69.53100000000002</v>
      </c>
      <c r="BF177">
        <f t="shared" si="75"/>
        <v>91.962499999999991</v>
      </c>
      <c r="BG177">
        <f t="shared" si="75"/>
        <v>115.05200000000002</v>
      </c>
    </row>
    <row r="178" spans="3:59" x14ac:dyDescent="0.25">
      <c r="F178" t="s">
        <v>1607</v>
      </c>
      <c r="L178" s="6"/>
      <c r="M178" s="6"/>
      <c r="N178" s="6"/>
      <c r="O178" s="6"/>
      <c r="Z178">
        <v>39.544351710567554</v>
      </c>
      <c r="AA178">
        <v>52.725802280756753</v>
      </c>
      <c r="AB178">
        <v>79.088703421135108</v>
      </c>
      <c r="AC178">
        <v>105.45160456151351</v>
      </c>
      <c r="AD178">
        <v>131.81450570189185</v>
      </c>
      <c r="AE178">
        <v>158.17740684227022</v>
      </c>
      <c r="AF178">
        <v>210.90320912302701</v>
      </c>
      <c r="AG178">
        <v>263.62901140378369</v>
      </c>
    </row>
    <row r="179" spans="3:59" x14ac:dyDescent="0.25">
      <c r="D179" t="s">
        <v>1264</v>
      </c>
      <c r="L179" s="6" t="s">
        <v>1197</v>
      </c>
      <c r="M179" s="6"/>
      <c r="N179" s="6" t="s">
        <v>1198</v>
      </c>
      <c r="O179" s="6"/>
    </row>
    <row r="180" spans="3:59" x14ac:dyDescent="0.25">
      <c r="L180" s="6"/>
      <c r="M180" s="6"/>
      <c r="N180" s="6"/>
      <c r="O180" s="6"/>
      <c r="Y180" t="s">
        <v>994</v>
      </c>
      <c r="AN180" t="s">
        <v>1383</v>
      </c>
      <c r="AO180">
        <v>1</v>
      </c>
      <c r="AP180">
        <v>1</v>
      </c>
      <c r="AQ180">
        <v>1</v>
      </c>
      <c r="AR180">
        <v>1</v>
      </c>
      <c r="AS180">
        <v>1</v>
      </c>
      <c r="AT180">
        <v>2</v>
      </c>
      <c r="AU180">
        <v>2</v>
      </c>
      <c r="AV180">
        <v>2</v>
      </c>
      <c r="AY180" t="s">
        <v>1293</v>
      </c>
      <c r="AZ180">
        <f>Z204</f>
        <v>1</v>
      </c>
      <c r="BA180">
        <f t="shared" ref="BA180:BF180" si="76">AA204</f>
        <v>1.3</v>
      </c>
      <c r="BB180">
        <f t="shared" si="76"/>
        <v>1.9000000000000001</v>
      </c>
      <c r="BC180">
        <f t="shared" si="76"/>
        <v>2.6</v>
      </c>
      <c r="BD180">
        <f t="shared" si="76"/>
        <v>3.2</v>
      </c>
      <c r="BE180">
        <f t="shared" si="76"/>
        <v>3.9</v>
      </c>
      <c r="BF180">
        <f t="shared" si="76"/>
        <v>5.0999999999999996</v>
      </c>
      <c r="BG180">
        <f>AG204</f>
        <v>6.5</v>
      </c>
    </row>
    <row r="181" spans="3:59" x14ac:dyDescent="0.25">
      <c r="L181" s="101" t="s">
        <v>1199</v>
      </c>
      <c r="M181" s="6"/>
      <c r="N181" s="6"/>
      <c r="O181" s="6"/>
      <c r="Y181" t="s">
        <v>1270</v>
      </c>
    </row>
    <row r="182" spans="3:59" x14ac:dyDescent="0.25">
      <c r="C182" t="s">
        <v>1271</v>
      </c>
      <c r="L182" s="6"/>
      <c r="M182" s="6"/>
      <c r="N182" s="6"/>
      <c r="O182" s="6"/>
      <c r="Z182">
        <v>3.5</v>
      </c>
      <c r="AA182">
        <v>3.5</v>
      </c>
      <c r="AB182">
        <v>3.5</v>
      </c>
      <c r="AC182">
        <v>3.5</v>
      </c>
      <c r="AD182">
        <v>3.5</v>
      </c>
      <c r="AE182">
        <v>3.5</v>
      </c>
      <c r="AF182">
        <v>3.5</v>
      </c>
      <c r="AG182">
        <v>3.5</v>
      </c>
      <c r="AY182" t="s">
        <v>1292</v>
      </c>
      <c r="AZ182">
        <f>(AZ171-1)*Z184</f>
        <v>2.2666666666666666</v>
      </c>
      <c r="BA182">
        <f t="shared" ref="BA182:BG182" si="77">(BA171-1)*AA184</f>
        <v>3</v>
      </c>
      <c r="BB182">
        <f t="shared" si="77"/>
        <v>4.5333333333333332</v>
      </c>
      <c r="BC182">
        <f t="shared" si="77"/>
        <v>6</v>
      </c>
      <c r="BD182">
        <f t="shared" si="77"/>
        <v>7.5333333333333323</v>
      </c>
      <c r="BE182">
        <f t="shared" si="77"/>
        <v>9</v>
      </c>
      <c r="BF182">
        <f t="shared" si="77"/>
        <v>12</v>
      </c>
      <c r="BG182">
        <f t="shared" si="77"/>
        <v>15</v>
      </c>
    </row>
    <row r="183" spans="3:59" x14ac:dyDescent="0.25">
      <c r="C183">
        <v>10</v>
      </c>
      <c r="D183" t="s">
        <v>1272</v>
      </c>
      <c r="L183" s="6" t="s">
        <v>1200</v>
      </c>
      <c r="M183" s="6"/>
      <c r="N183" s="6"/>
      <c r="O183" s="6"/>
      <c r="Y183" t="s">
        <v>1270</v>
      </c>
      <c r="Z183">
        <v>3</v>
      </c>
      <c r="AA183">
        <v>3</v>
      </c>
      <c r="AB183">
        <v>3</v>
      </c>
      <c r="AC183">
        <v>3</v>
      </c>
      <c r="AD183">
        <v>3</v>
      </c>
      <c r="AE183">
        <v>3</v>
      </c>
      <c r="AF183">
        <v>3</v>
      </c>
      <c r="AG183">
        <v>3</v>
      </c>
      <c r="AN183" t="s">
        <v>1295</v>
      </c>
      <c r="AO183">
        <v>1.1000000000000001</v>
      </c>
      <c r="AP183">
        <v>1.2</v>
      </c>
      <c r="AQ183">
        <v>1.3</v>
      </c>
      <c r="AR183">
        <v>1.6</v>
      </c>
      <c r="AS183">
        <v>2.2000000000000002</v>
      </c>
      <c r="AT183">
        <f>AQ183*AT180</f>
        <v>2.6</v>
      </c>
      <c r="AU183">
        <f>AR183*AU180</f>
        <v>3.2</v>
      </c>
      <c r="AV183">
        <f>AS183*AV180</f>
        <v>4.4000000000000004</v>
      </c>
    </row>
    <row r="184" spans="3:59" x14ac:dyDescent="0.25">
      <c r="C184">
        <v>45</v>
      </c>
      <c r="D184" t="s">
        <v>1272</v>
      </c>
      <c r="L184" s="6" t="s">
        <v>1201</v>
      </c>
      <c r="M184" s="6" t="s">
        <v>1205</v>
      </c>
      <c r="N184" s="6"/>
      <c r="O184" s="6"/>
      <c r="Q184" t="s">
        <v>1403</v>
      </c>
      <c r="Y184" t="s">
        <v>690</v>
      </c>
      <c r="Z184">
        <f>Z146/Z183</f>
        <v>1.1333333333333333</v>
      </c>
      <c r="AA184">
        <f t="shared" ref="AA184:AG184" si="78">AA146/AA183</f>
        <v>1.5</v>
      </c>
      <c r="AB184">
        <f t="shared" si="78"/>
        <v>2.2666666666666666</v>
      </c>
      <c r="AC184">
        <f t="shared" si="78"/>
        <v>3</v>
      </c>
      <c r="AD184">
        <f t="shared" si="78"/>
        <v>3.7666666666666662</v>
      </c>
      <c r="AE184">
        <f t="shared" si="78"/>
        <v>4.5</v>
      </c>
      <c r="AF184">
        <f t="shared" si="78"/>
        <v>6</v>
      </c>
      <c r="AG184">
        <f t="shared" si="78"/>
        <v>7.5</v>
      </c>
      <c r="AY184" t="s">
        <v>1294</v>
      </c>
      <c r="AZ184">
        <f t="shared" ref="AZ184:BG184" si="79">Z175</f>
        <v>8</v>
      </c>
      <c r="BA184">
        <f t="shared" si="79"/>
        <v>10</v>
      </c>
      <c r="BB184">
        <f t="shared" si="79"/>
        <v>15</v>
      </c>
      <c r="BC184">
        <f t="shared" si="79"/>
        <v>20</v>
      </c>
      <c r="BD184">
        <f t="shared" si="79"/>
        <v>25</v>
      </c>
      <c r="BE184">
        <f t="shared" si="79"/>
        <v>30</v>
      </c>
      <c r="BF184">
        <f t="shared" si="79"/>
        <v>40</v>
      </c>
      <c r="BG184">
        <f t="shared" si="79"/>
        <v>50</v>
      </c>
    </row>
    <row r="185" spans="3:59" x14ac:dyDescent="0.25">
      <c r="L185" s="6" t="s">
        <v>1202</v>
      </c>
      <c r="M185" s="6" t="s">
        <v>1206</v>
      </c>
      <c r="N185" s="6"/>
      <c r="O185" s="6"/>
      <c r="Q185" t="s">
        <v>1202</v>
      </c>
      <c r="Z185">
        <f>Z184^0.5</f>
        <v>1.0645812948447542</v>
      </c>
      <c r="AA185">
        <f t="shared" ref="AA185:AG185" si="80">AA184^0.5</f>
        <v>1.2247448713915889</v>
      </c>
      <c r="AB185">
        <f t="shared" si="80"/>
        <v>1.505545305418162</v>
      </c>
      <c r="AC185">
        <f t="shared" si="80"/>
        <v>1.7320508075688772</v>
      </c>
      <c r="AD185">
        <f t="shared" si="80"/>
        <v>1.9407902170679514</v>
      </c>
      <c r="AE185">
        <f t="shared" si="80"/>
        <v>2.1213203435596424</v>
      </c>
      <c r="AF185">
        <f t="shared" si="80"/>
        <v>2.4494897427831779</v>
      </c>
      <c r="AG185">
        <f t="shared" si="80"/>
        <v>2.7386127875258306</v>
      </c>
      <c r="AM185" t="s">
        <v>1402</v>
      </c>
      <c r="AN185">
        <f>365.25*24</f>
        <v>8766</v>
      </c>
      <c r="AY185" t="s">
        <v>1097</v>
      </c>
    </row>
    <row r="186" spans="3:59" x14ac:dyDescent="0.25">
      <c r="L186" s="6" t="s">
        <v>1203</v>
      </c>
      <c r="M186" s="6" t="s">
        <v>1207</v>
      </c>
      <c r="N186" s="6"/>
      <c r="O186" s="6"/>
      <c r="Q186" t="s">
        <v>1404</v>
      </c>
      <c r="Y186" t="s">
        <v>994</v>
      </c>
      <c r="Z186">
        <f>ROUNDUP(Z185,1)</f>
        <v>1.1000000000000001</v>
      </c>
      <c r="AA186">
        <f t="shared" ref="AA186:AG186" si="81">ROUNDUP(AA185,1)</f>
        <v>1.3</v>
      </c>
      <c r="AB186">
        <f t="shared" si="81"/>
        <v>1.6</v>
      </c>
      <c r="AC186">
        <f t="shared" si="81"/>
        <v>1.8</v>
      </c>
      <c r="AD186">
        <f t="shared" si="81"/>
        <v>2</v>
      </c>
      <c r="AE186">
        <f t="shared" si="81"/>
        <v>2.2000000000000002</v>
      </c>
      <c r="AF186">
        <f t="shared" si="81"/>
        <v>2.5</v>
      </c>
      <c r="AG186">
        <f t="shared" si="81"/>
        <v>2.8000000000000003</v>
      </c>
      <c r="AY186" t="s">
        <v>1295</v>
      </c>
      <c r="AZ186">
        <f t="shared" ref="AZ186:BG186" si="82">Z176</f>
        <v>17.600000000000001</v>
      </c>
      <c r="BA186">
        <f t="shared" si="82"/>
        <v>22</v>
      </c>
      <c r="BB186">
        <f t="shared" si="82"/>
        <v>33</v>
      </c>
      <c r="BC186">
        <f t="shared" si="82"/>
        <v>44</v>
      </c>
      <c r="BD186">
        <f t="shared" si="82"/>
        <v>55.000000000000007</v>
      </c>
      <c r="BE186">
        <f t="shared" si="82"/>
        <v>66</v>
      </c>
      <c r="BF186">
        <f t="shared" si="82"/>
        <v>88</v>
      </c>
      <c r="BG186">
        <f t="shared" si="82"/>
        <v>110.00000000000001</v>
      </c>
    </row>
    <row r="187" spans="3:59" x14ac:dyDescent="0.25">
      <c r="L187" s="6" t="s">
        <v>1204</v>
      </c>
      <c r="M187" s="6" t="s">
        <v>1208</v>
      </c>
      <c r="N187" s="6"/>
      <c r="O187" s="6"/>
      <c r="Q187" t="s">
        <v>1204</v>
      </c>
      <c r="AO187">
        <f>AO183*$AN$185</f>
        <v>9642.6</v>
      </c>
      <c r="AP187">
        <f t="shared" ref="AP187:AV187" si="83">AP183*$AN$185</f>
        <v>10519.199999999999</v>
      </c>
      <c r="AQ187">
        <f t="shared" si="83"/>
        <v>11395.800000000001</v>
      </c>
      <c r="AR187">
        <f t="shared" si="83"/>
        <v>14025.6</v>
      </c>
      <c r="AS187">
        <f t="shared" si="83"/>
        <v>19285.2</v>
      </c>
      <c r="AT187">
        <f t="shared" si="83"/>
        <v>22791.600000000002</v>
      </c>
      <c r="AU187">
        <f t="shared" si="83"/>
        <v>28051.200000000001</v>
      </c>
      <c r="AV187">
        <f t="shared" si="83"/>
        <v>38570.400000000001</v>
      </c>
    </row>
    <row r="189" spans="3:59" x14ac:dyDescent="0.25">
      <c r="AO189">
        <f>AO187/1000</f>
        <v>9.6425999999999998</v>
      </c>
      <c r="AP189">
        <f t="shared" ref="AP189:AV189" si="84">AP187/1000</f>
        <v>10.5192</v>
      </c>
      <c r="AQ189">
        <f t="shared" si="84"/>
        <v>11.395800000000001</v>
      </c>
      <c r="AR189">
        <f t="shared" si="84"/>
        <v>14.025600000000001</v>
      </c>
      <c r="AS189">
        <f t="shared" si="84"/>
        <v>19.2852</v>
      </c>
      <c r="AT189">
        <f t="shared" si="84"/>
        <v>22.791600000000003</v>
      </c>
      <c r="AU189">
        <f t="shared" si="84"/>
        <v>28.051200000000001</v>
      </c>
      <c r="AV189">
        <f t="shared" si="84"/>
        <v>38.570399999999999</v>
      </c>
    </row>
    <row r="190" spans="3:59" x14ac:dyDescent="0.25">
      <c r="Y190" t="s">
        <v>1275</v>
      </c>
    </row>
    <row r="191" spans="3:59" x14ac:dyDescent="0.25">
      <c r="D191" t="s">
        <v>1284</v>
      </c>
      <c r="Y191" s="25" t="s">
        <v>1277</v>
      </c>
      <c r="Z191" s="25">
        <f>('Flow and Constent'!O12)*($D$155/100)</f>
        <v>7.379999999999999</v>
      </c>
      <c r="AA191" s="25">
        <f>('Flow and Constent'!P12)*($D$155/100)</f>
        <v>9.8399999999999981</v>
      </c>
      <c r="AB191" s="25">
        <f>('Flow and Constent'!Q12)*($D$155/100)</f>
        <v>14.759999999999998</v>
      </c>
      <c r="AC191" s="25">
        <f>('Flow and Constent'!R12)*($D$155/100)</f>
        <v>19.679999999999996</v>
      </c>
      <c r="AD191" s="25">
        <f>('Flow and Constent'!S12)*($D$155/100)</f>
        <v>24.599999999999998</v>
      </c>
      <c r="AE191" s="25">
        <f>('Flow and Constent'!T12)*($D$155/100)</f>
        <v>29.519999999999996</v>
      </c>
      <c r="AF191" s="25">
        <f>('Flow and Constent'!U12)*($D$155/100)</f>
        <v>39.359999999999992</v>
      </c>
      <c r="AG191" s="25">
        <f>('Flow and Constent'!V12)*($D$155/100)</f>
        <v>49.199999999999996</v>
      </c>
      <c r="AY191" t="s">
        <v>1297</v>
      </c>
    </row>
    <row r="192" spans="3:59" x14ac:dyDescent="0.25">
      <c r="U192" t="s">
        <v>1276</v>
      </c>
      <c r="V192">
        <v>1100</v>
      </c>
      <c r="W192" t="s">
        <v>663</v>
      </c>
      <c r="Y192" s="25" t="s">
        <v>1278</v>
      </c>
      <c r="Z192" s="25">
        <f>Z149*($D$168/100)</f>
        <v>3.9500086281276956</v>
      </c>
      <c r="AA192" s="25">
        <f t="shared" ref="AA192:AG192" si="85">AA149*($D$168/100)</f>
        <v>5.3529939603106129</v>
      </c>
      <c r="AB192" s="25">
        <f t="shared" si="85"/>
        <v>8.1589646246764449</v>
      </c>
      <c r="AC192" s="25">
        <f t="shared" si="85"/>
        <v>10.964935289042277</v>
      </c>
      <c r="AD192" s="25">
        <f t="shared" si="85"/>
        <v>14.029853321829165</v>
      </c>
      <c r="AE192" s="25">
        <f t="shared" si="85"/>
        <v>17.22424503882657</v>
      </c>
      <c r="AF192" s="25">
        <f t="shared" si="85"/>
        <v>22.965660051768765</v>
      </c>
      <c r="AG192" s="25">
        <f t="shared" si="85"/>
        <v>29.354443485763593</v>
      </c>
      <c r="AO192">
        <f>AO175/Z123</f>
        <v>0.57667783212696322</v>
      </c>
      <c r="AP192">
        <f t="shared" ref="AP192:AV192" si="86">AP175/AA123</f>
        <v>0.57667783212696322</v>
      </c>
      <c r="AQ192">
        <f t="shared" si="86"/>
        <v>0.57667783212696322</v>
      </c>
      <c r="AR192">
        <f t="shared" si="86"/>
        <v>0.57667783212696322</v>
      </c>
      <c r="AS192">
        <f t="shared" si="86"/>
        <v>0.57667783212696333</v>
      </c>
      <c r="AT192">
        <f t="shared" si="86"/>
        <v>0.57667783212696322</v>
      </c>
      <c r="AU192">
        <f t="shared" si="86"/>
        <v>0.57667783212696322</v>
      </c>
      <c r="AV192">
        <f t="shared" si="86"/>
        <v>0.57667783212696333</v>
      </c>
      <c r="BD192" t="s">
        <v>156</v>
      </c>
      <c r="BE192" t="s">
        <v>1298</v>
      </c>
      <c r="BF192" t="s">
        <v>794</v>
      </c>
    </row>
    <row r="193" spans="4:60" x14ac:dyDescent="0.25">
      <c r="D193" t="s">
        <v>1285</v>
      </c>
      <c r="Y193" s="6"/>
      <c r="Z193" s="25"/>
      <c r="AA193" s="25"/>
      <c r="AB193" s="25"/>
      <c r="AC193" s="25"/>
      <c r="AD193" s="25"/>
      <c r="AE193" s="25"/>
      <c r="AF193" s="25"/>
      <c r="AG193" s="25"/>
      <c r="AY193" t="s">
        <v>999</v>
      </c>
      <c r="AZ193" t="s">
        <v>794</v>
      </c>
      <c r="BA193" t="s">
        <v>3</v>
      </c>
      <c r="BB193" t="s">
        <v>412</v>
      </c>
      <c r="BD193">
        <v>150</v>
      </c>
      <c r="BE193">
        <v>1.8</v>
      </c>
      <c r="BF193">
        <f>945.6+158.4</f>
        <v>1104</v>
      </c>
      <c r="BG193" t="s">
        <v>1318</v>
      </c>
      <c r="BH193" t="s">
        <v>1317</v>
      </c>
    </row>
    <row r="194" spans="4:60" x14ac:dyDescent="0.25">
      <c r="Y194" s="6"/>
      <c r="Z194" s="25"/>
      <c r="AA194" s="25"/>
      <c r="AB194" s="25"/>
      <c r="AC194" s="25"/>
      <c r="AD194" s="25"/>
      <c r="AE194" s="25"/>
      <c r="AF194" s="25"/>
      <c r="AG194" s="25"/>
      <c r="AY194">
        <v>1</v>
      </c>
      <c r="AZ194">
        <v>1386</v>
      </c>
      <c r="BA194" t="s">
        <v>1092</v>
      </c>
      <c r="BB194" s="35">
        <v>44508</v>
      </c>
      <c r="BD194">
        <v>200</v>
      </c>
      <c r="BE194">
        <v>1.8</v>
      </c>
      <c r="BF194">
        <f>945.6+158.4</f>
        <v>1104</v>
      </c>
      <c r="BG194" t="s">
        <v>1318</v>
      </c>
      <c r="BH194" t="s">
        <v>1317</v>
      </c>
    </row>
    <row r="195" spans="4:60" x14ac:dyDescent="0.25">
      <c r="D195" t="s">
        <v>1286</v>
      </c>
      <c r="Y195" s="25" t="s">
        <v>1279</v>
      </c>
      <c r="Z195" s="25">
        <f>Z191/$V$192</f>
        <v>6.7090909090909085E-3</v>
      </c>
      <c r="AA195" s="25">
        <f t="shared" ref="AA195:AF195" si="87">AA191/$V$192</f>
        <v>8.9454545454545429E-3</v>
      </c>
      <c r="AB195" s="25">
        <f t="shared" si="87"/>
        <v>1.3418181818181817E-2</v>
      </c>
      <c r="AC195" s="25">
        <f t="shared" si="87"/>
        <v>1.7890909090909086E-2</v>
      </c>
      <c r="AD195" s="25">
        <f t="shared" si="87"/>
        <v>2.2363636363636363E-2</v>
      </c>
      <c r="AE195" s="25">
        <f t="shared" si="87"/>
        <v>2.6836363636363634E-2</v>
      </c>
      <c r="AF195" s="25">
        <f t="shared" si="87"/>
        <v>3.5781818181818172E-2</v>
      </c>
      <c r="AG195" s="25">
        <f t="shared" ref="AG195" si="88">AG191/$V$192</f>
        <v>4.4727272727272727E-2</v>
      </c>
      <c r="AY195">
        <v>1.8</v>
      </c>
      <c r="AZ195">
        <v>945.6</v>
      </c>
      <c r="BA195" t="s">
        <v>1092</v>
      </c>
      <c r="BB195" s="35">
        <v>44508</v>
      </c>
      <c r="BD195">
        <v>300</v>
      </c>
      <c r="BE195">
        <v>2.8</v>
      </c>
      <c r="BF195">
        <f>819.6+262.8</f>
        <v>1082.4000000000001</v>
      </c>
      <c r="BG195" t="s">
        <v>1318</v>
      </c>
      <c r="BH195" s="4" t="s">
        <v>1439</v>
      </c>
    </row>
    <row r="196" spans="4:60" x14ac:dyDescent="0.25">
      <c r="Y196" s="25" t="s">
        <v>1280</v>
      </c>
      <c r="Z196" s="25">
        <f>Z192/$V$192</f>
        <v>3.5909169346615413E-3</v>
      </c>
      <c r="AA196" s="25">
        <f t="shared" ref="AA196:AF196" si="89">AA192/$V$192</f>
        <v>4.8663581457369211E-3</v>
      </c>
      <c r="AB196" s="25">
        <f t="shared" si="89"/>
        <v>7.4172405678876773E-3</v>
      </c>
      <c r="AC196" s="25">
        <f t="shared" si="89"/>
        <v>9.9681229900384343E-3</v>
      </c>
      <c r="AD196" s="25">
        <f t="shared" si="89"/>
        <v>1.2754412110753786E-2</v>
      </c>
      <c r="AE196" s="25">
        <f t="shared" si="89"/>
        <v>1.5658404580751427E-2</v>
      </c>
      <c r="AF196" s="25">
        <f t="shared" si="89"/>
        <v>2.087787277433524E-2</v>
      </c>
      <c r="AG196" s="25">
        <f t="shared" ref="AG196" si="90">AG192/$V$192</f>
        <v>2.6685857714330539E-2</v>
      </c>
      <c r="AY196">
        <v>2</v>
      </c>
      <c r="AZ196">
        <v>1674</v>
      </c>
      <c r="BA196" t="s">
        <v>1092</v>
      </c>
      <c r="BB196" s="35">
        <v>44508</v>
      </c>
      <c r="BD196">
        <v>400</v>
      </c>
      <c r="BE196">
        <v>2.8</v>
      </c>
      <c r="BF196">
        <f>819.6+262.8</f>
        <v>1082.4000000000001</v>
      </c>
      <c r="BG196" t="s">
        <v>1318</v>
      </c>
      <c r="BH196" t="s">
        <v>1316</v>
      </c>
    </row>
    <row r="197" spans="4:60" x14ac:dyDescent="0.25">
      <c r="D197" t="s">
        <v>1288</v>
      </c>
      <c r="Y197" s="6"/>
      <c r="Z197" s="25"/>
      <c r="AA197" s="25"/>
      <c r="AB197" s="25"/>
      <c r="AC197" s="25"/>
      <c r="AD197" s="25"/>
      <c r="AE197" s="25"/>
      <c r="AF197" s="25"/>
      <c r="AG197" s="25"/>
      <c r="AY197">
        <v>2.6</v>
      </c>
      <c r="AZ197">
        <v>1240.8</v>
      </c>
      <c r="BA197" t="s">
        <v>1092</v>
      </c>
      <c r="BB197" s="35">
        <v>44508</v>
      </c>
      <c r="BD197">
        <v>500</v>
      </c>
      <c r="BE197">
        <v>3.8</v>
      </c>
      <c r="BF197">
        <f>1036.8+262.8</f>
        <v>1299.5999999999999</v>
      </c>
      <c r="BG197" t="s">
        <v>1318</v>
      </c>
      <c r="BH197" s="4" t="s">
        <v>1455</v>
      </c>
    </row>
    <row r="198" spans="4:60" x14ac:dyDescent="0.25">
      <c r="Y198" s="25" t="s">
        <v>1281</v>
      </c>
      <c r="Z198" s="25">
        <f>Z195+Z196</f>
        <v>1.030000784375245E-2</v>
      </c>
      <c r="AA198" s="25">
        <f t="shared" ref="AA198:AG198" si="91">AA195+AA196</f>
        <v>1.3811812691191465E-2</v>
      </c>
      <c r="AB198" s="25">
        <f t="shared" si="91"/>
        <v>2.0835422386069495E-2</v>
      </c>
      <c r="AC198" s="25">
        <f t="shared" si="91"/>
        <v>2.7859032080947518E-2</v>
      </c>
      <c r="AD198" s="25">
        <f t="shared" si="91"/>
        <v>3.5118048474390151E-2</v>
      </c>
      <c r="AE198" s="25">
        <f t="shared" si="91"/>
        <v>4.2494768217115064E-2</v>
      </c>
      <c r="AF198" s="25">
        <f t="shared" si="91"/>
        <v>5.6659690956153412E-2</v>
      </c>
      <c r="AG198" s="25">
        <f t="shared" si="91"/>
        <v>7.1413130441603273E-2</v>
      </c>
      <c r="AY198">
        <v>2.8</v>
      </c>
      <c r="AZ198">
        <v>819.6</v>
      </c>
      <c r="BA198" s="4" t="s">
        <v>1092</v>
      </c>
      <c r="BB198" s="35">
        <v>44508</v>
      </c>
      <c r="BD198">
        <v>600</v>
      </c>
      <c r="BE198">
        <v>4.5999999999999996</v>
      </c>
      <c r="BF198">
        <f>1182+262.8</f>
        <v>1444.8</v>
      </c>
      <c r="BG198" t="s">
        <v>1318</v>
      </c>
      <c r="BH198" t="s">
        <v>1319</v>
      </c>
    </row>
    <row r="199" spans="4:60" x14ac:dyDescent="0.25">
      <c r="D199" t="s">
        <v>1289</v>
      </c>
      <c r="Z199" s="25"/>
      <c r="AA199" s="25"/>
      <c r="AB199" s="25"/>
      <c r="AC199" s="25"/>
      <c r="AD199" s="25"/>
      <c r="AE199" s="25"/>
      <c r="AF199" s="25"/>
      <c r="AG199" s="25"/>
      <c r="AY199">
        <v>2.8</v>
      </c>
      <c r="AZ199">
        <v>1140</v>
      </c>
      <c r="BA199" t="s">
        <v>1092</v>
      </c>
      <c r="BB199" s="35">
        <v>44508</v>
      </c>
      <c r="BD199">
        <v>800</v>
      </c>
      <c r="BE199">
        <v>5.2</v>
      </c>
      <c r="BF199">
        <f>2482.8+158.4</f>
        <v>2641.2000000000003</v>
      </c>
      <c r="BG199" t="s">
        <v>1318</v>
      </c>
      <c r="BH199" s="4" t="s">
        <v>1456</v>
      </c>
    </row>
    <row r="200" spans="4:60" x14ac:dyDescent="0.25">
      <c r="Y200" s="25" t="s">
        <v>1282</v>
      </c>
      <c r="Z200" s="25">
        <f>Z198*90</f>
        <v>0.92700070593772044</v>
      </c>
      <c r="AA200" s="25">
        <f t="shared" ref="AA200:AF200" si="92">AA198*90</f>
        <v>1.2430631422072318</v>
      </c>
      <c r="AB200" s="25">
        <f t="shared" si="92"/>
        <v>1.8751880147462545</v>
      </c>
      <c r="AC200" s="25">
        <f t="shared" si="92"/>
        <v>2.5073128872852766</v>
      </c>
      <c r="AD200" s="25">
        <f t="shared" si="92"/>
        <v>3.1606243626951134</v>
      </c>
      <c r="AE200" s="25">
        <f t="shared" si="92"/>
        <v>3.8245291395403558</v>
      </c>
      <c r="AF200" s="25">
        <f t="shared" si="92"/>
        <v>5.0993721860538068</v>
      </c>
      <c r="AG200" s="25">
        <f>AG198*90</f>
        <v>6.4271817397442943</v>
      </c>
      <c r="AY200">
        <v>3</v>
      </c>
      <c r="AZ200">
        <v>2014.8</v>
      </c>
      <c r="BA200" t="s">
        <v>1092</v>
      </c>
      <c r="BB200" s="35">
        <v>44508</v>
      </c>
      <c r="BD200">
        <v>1000</v>
      </c>
      <c r="BE200">
        <v>7.15</v>
      </c>
      <c r="BF200">
        <f>2868*1.2</f>
        <v>3441.6</v>
      </c>
      <c r="BG200" t="s">
        <v>1318</v>
      </c>
      <c r="BH200" s="4" t="s">
        <v>1457</v>
      </c>
    </row>
    <row r="201" spans="4:60" x14ac:dyDescent="0.25">
      <c r="L201" t="s">
        <v>1137</v>
      </c>
      <c r="Z201" s="25"/>
      <c r="AA201" s="25"/>
      <c r="AB201" s="25"/>
      <c r="AC201" s="25"/>
      <c r="AD201" s="25"/>
      <c r="AE201" s="25"/>
      <c r="AF201" s="25"/>
      <c r="AG201" s="25"/>
      <c r="AO201">
        <f>'Wet Well'!Y11</f>
        <v>1.3149</v>
      </c>
      <c r="AP201">
        <v>0.8</v>
      </c>
      <c r="AR201">
        <f>AO201+AP201</f>
        <v>2.1149</v>
      </c>
      <c r="AY201">
        <v>3.4</v>
      </c>
      <c r="AZ201">
        <v>1240.8</v>
      </c>
      <c r="BA201" t="s">
        <v>1092</v>
      </c>
      <c r="BB201" s="35">
        <v>44508</v>
      </c>
    </row>
    <row r="202" spans="4:60" x14ac:dyDescent="0.25">
      <c r="L202" t="s">
        <v>1137</v>
      </c>
      <c r="Y202" t="s">
        <v>1283</v>
      </c>
      <c r="AO202">
        <f>'Wet Well'!Y12</f>
        <v>1.3149</v>
      </c>
      <c r="AP202">
        <v>1.9</v>
      </c>
      <c r="AR202">
        <f t="shared" ref="AR202:AR215" si="93">AO202+AP202</f>
        <v>3.2149000000000001</v>
      </c>
      <c r="AY202">
        <v>3.8</v>
      </c>
      <c r="AZ202">
        <v>1036.8</v>
      </c>
      <c r="BA202" t="s">
        <v>1092</v>
      </c>
      <c r="BB202" s="35">
        <v>44508</v>
      </c>
    </row>
    <row r="203" spans="4:60" x14ac:dyDescent="0.25">
      <c r="L203" t="s">
        <v>1137</v>
      </c>
      <c r="AO203">
        <f>'Wet Well'!Y13</f>
        <v>1.3149</v>
      </c>
      <c r="AP203">
        <v>3.9</v>
      </c>
      <c r="AR203">
        <f t="shared" si="93"/>
        <v>5.2149000000000001</v>
      </c>
      <c r="AY203">
        <v>3.8</v>
      </c>
      <c r="AZ203">
        <v>1339.2</v>
      </c>
      <c r="BA203" t="s">
        <v>1092</v>
      </c>
      <c r="BB203" s="35">
        <v>44508</v>
      </c>
    </row>
    <row r="204" spans="4:60" x14ac:dyDescent="0.25">
      <c r="L204" t="s">
        <v>1137</v>
      </c>
      <c r="Y204" s="25" t="s">
        <v>1282</v>
      </c>
      <c r="Z204">
        <f>ROUNDUP(Z200,1)</f>
        <v>1</v>
      </c>
      <c r="AA204">
        <f t="shared" ref="AA204:AG204" si="94">ROUNDUP(AA200,1)</f>
        <v>1.3</v>
      </c>
      <c r="AB204">
        <f t="shared" si="94"/>
        <v>1.9000000000000001</v>
      </c>
      <c r="AC204">
        <f t="shared" si="94"/>
        <v>2.6</v>
      </c>
      <c r="AD204">
        <f t="shared" si="94"/>
        <v>3.2</v>
      </c>
      <c r="AE204">
        <f t="shared" si="94"/>
        <v>3.9</v>
      </c>
      <c r="AF204">
        <f t="shared" si="94"/>
        <v>5.0999999999999996</v>
      </c>
      <c r="AG204">
        <f t="shared" si="94"/>
        <v>6.5</v>
      </c>
      <c r="AO204">
        <f>'Wet Well'!Y14</f>
        <v>1.3149</v>
      </c>
      <c r="AP204">
        <v>6.1</v>
      </c>
      <c r="AR204">
        <f t="shared" si="93"/>
        <v>7.4148999999999994</v>
      </c>
      <c r="AY204">
        <v>4</v>
      </c>
      <c r="AZ204">
        <v>2203.1999999999998</v>
      </c>
      <c r="BA204" t="s">
        <v>1092</v>
      </c>
      <c r="BB204" s="35">
        <v>44508</v>
      </c>
    </row>
    <row r="205" spans="4:60" x14ac:dyDescent="0.25">
      <c r="L205" t="s">
        <v>1137</v>
      </c>
      <c r="AO205">
        <f>'Wet Well'!Y15</f>
        <v>1.3149</v>
      </c>
      <c r="AP205">
        <v>9.6</v>
      </c>
      <c r="AR205">
        <f t="shared" si="93"/>
        <v>10.914899999999999</v>
      </c>
      <c r="AY205">
        <v>4.4000000000000004</v>
      </c>
      <c r="AZ205">
        <v>1240.8</v>
      </c>
      <c r="BA205" t="s">
        <v>1092</v>
      </c>
      <c r="BB205" s="35">
        <v>44508</v>
      </c>
    </row>
    <row r="206" spans="4:60" x14ac:dyDescent="0.25">
      <c r="L206" t="s">
        <v>1137</v>
      </c>
      <c r="Y206" t="s">
        <v>1287</v>
      </c>
      <c r="AO206">
        <f>'Wet Well'!Y16</f>
        <v>1.3149</v>
      </c>
      <c r="AP206">
        <v>14.9</v>
      </c>
      <c r="AR206">
        <f t="shared" si="93"/>
        <v>16.2149</v>
      </c>
      <c r="AY206">
        <v>4.5999999999999996</v>
      </c>
      <c r="AZ206">
        <v>1182</v>
      </c>
      <c r="BA206" t="s">
        <v>1092</v>
      </c>
      <c r="BB206" s="35">
        <v>44508</v>
      </c>
    </row>
    <row r="207" spans="4:60" x14ac:dyDescent="0.25">
      <c r="L207" t="s">
        <v>1137</v>
      </c>
      <c r="AO207">
        <f>'Wet Well'!Y17</f>
        <v>1.3149</v>
      </c>
      <c r="AP207">
        <v>31.4</v>
      </c>
      <c r="AR207">
        <f t="shared" si="93"/>
        <v>32.7149</v>
      </c>
      <c r="AY207">
        <v>4.8</v>
      </c>
      <c r="AZ207">
        <v>1723.2</v>
      </c>
      <c r="BA207" t="s">
        <v>1092</v>
      </c>
      <c r="BB207" s="35">
        <v>44508</v>
      </c>
    </row>
    <row r="208" spans="4:60" x14ac:dyDescent="0.25">
      <c r="L208" t="s">
        <v>1137</v>
      </c>
      <c r="AO208">
        <f>'Wet Well'!Y18</f>
        <v>1.3149</v>
      </c>
      <c r="AP208">
        <v>9.6425999999999998</v>
      </c>
      <c r="AR208">
        <f t="shared" si="93"/>
        <v>10.9575</v>
      </c>
      <c r="AY208">
        <v>5.2</v>
      </c>
      <c r="AZ208">
        <v>2482.8000000000002</v>
      </c>
      <c r="BA208" t="s">
        <v>1092</v>
      </c>
      <c r="BB208" s="35">
        <v>44508</v>
      </c>
    </row>
    <row r="209" spans="12:54" x14ac:dyDescent="0.25">
      <c r="L209" t="s">
        <v>1137</v>
      </c>
      <c r="AO209">
        <f>'Wet Well'!Y19</f>
        <v>1.3149</v>
      </c>
      <c r="AP209">
        <v>10.5192</v>
      </c>
      <c r="AR209">
        <f t="shared" si="93"/>
        <v>11.834099999999999</v>
      </c>
      <c r="AY209">
        <v>5.7</v>
      </c>
      <c r="AZ209">
        <v>2107.1999999999998</v>
      </c>
      <c r="BA209" t="s">
        <v>1092</v>
      </c>
      <c r="BB209" s="35">
        <v>44508</v>
      </c>
    </row>
    <row r="210" spans="12:54" x14ac:dyDescent="0.25">
      <c r="L210" t="s">
        <v>1137</v>
      </c>
      <c r="Y210" t="str">
        <f t="shared" ref="Y210:AG210" si="95">Y132</f>
        <v>Primary Tank Size (m3)</v>
      </c>
      <c r="Z210">
        <f t="shared" si="95"/>
        <v>3.8000000000000003</v>
      </c>
      <c r="AA210">
        <f t="shared" si="95"/>
        <v>5</v>
      </c>
      <c r="AB210">
        <f t="shared" si="95"/>
        <v>7.5</v>
      </c>
      <c r="AC210">
        <f t="shared" si="95"/>
        <v>10</v>
      </c>
      <c r="AD210">
        <f t="shared" si="95"/>
        <v>12.5</v>
      </c>
      <c r="AE210">
        <f t="shared" si="95"/>
        <v>15</v>
      </c>
      <c r="AF210">
        <f t="shared" si="95"/>
        <v>20</v>
      </c>
      <c r="AG210">
        <f t="shared" si="95"/>
        <v>25</v>
      </c>
      <c r="AO210">
        <f>'Wet Well'!Y20</f>
        <v>1.3149</v>
      </c>
      <c r="AP210">
        <v>11.395800000000001</v>
      </c>
      <c r="AR210">
        <f t="shared" si="93"/>
        <v>12.710700000000001</v>
      </c>
      <c r="AY210">
        <v>6</v>
      </c>
      <c r="AZ210">
        <v>3057.6</v>
      </c>
      <c r="BA210" t="s">
        <v>1092</v>
      </c>
      <c r="BB210" s="35">
        <v>44508</v>
      </c>
    </row>
    <row r="211" spans="12:54" x14ac:dyDescent="0.25">
      <c r="Y211" t="str">
        <f t="shared" ref="Y211:AG211" si="96">Y133</f>
        <v>Hummus Tank Size (m3)</v>
      </c>
      <c r="Z211">
        <f t="shared" si="96"/>
        <v>7.5</v>
      </c>
      <c r="AA211">
        <f t="shared" si="96"/>
        <v>10</v>
      </c>
      <c r="AB211">
        <f t="shared" si="96"/>
        <v>15</v>
      </c>
      <c r="AC211">
        <f t="shared" si="96"/>
        <v>20</v>
      </c>
      <c r="AD211">
        <f t="shared" si="96"/>
        <v>25</v>
      </c>
      <c r="AE211">
        <f t="shared" si="96"/>
        <v>30</v>
      </c>
      <c r="AF211">
        <f t="shared" si="96"/>
        <v>40</v>
      </c>
      <c r="AG211">
        <f t="shared" si="96"/>
        <v>50</v>
      </c>
      <c r="AO211">
        <f>'Wet Well'!Y21</f>
        <v>1.3149</v>
      </c>
      <c r="AP211">
        <v>14.025600000000001</v>
      </c>
      <c r="AR211">
        <f t="shared" si="93"/>
        <v>15.3405</v>
      </c>
      <c r="AY211">
        <v>6.8</v>
      </c>
      <c r="AZ211">
        <v>3454.8</v>
      </c>
      <c r="BA211" t="s">
        <v>1092</v>
      </c>
      <c r="BB211" s="35">
        <v>44508</v>
      </c>
    </row>
    <row r="212" spans="12:54" x14ac:dyDescent="0.25">
      <c r="AO212">
        <f>'Wet Well'!Y22</f>
        <v>1.3149</v>
      </c>
      <c r="AP212">
        <v>19.2852</v>
      </c>
      <c r="AR212">
        <f t="shared" si="93"/>
        <v>20.600100000000001</v>
      </c>
    </row>
    <row r="213" spans="12:54" x14ac:dyDescent="0.25">
      <c r="Y213" t="s">
        <v>1220</v>
      </c>
      <c r="AO213">
        <f>'Wet Well'!Y23</f>
        <v>1.3149</v>
      </c>
      <c r="AP213">
        <v>22.791600000000003</v>
      </c>
      <c r="AR213">
        <f t="shared" si="93"/>
        <v>24.106500000000004</v>
      </c>
      <c r="AY213">
        <v>1</v>
      </c>
      <c r="AZ213">
        <f>1142*1.2</f>
        <v>1370.3999999999999</v>
      </c>
      <c r="BA213" t="s">
        <v>1299</v>
      </c>
      <c r="BB213" s="35">
        <v>44508</v>
      </c>
    </row>
    <row r="214" spans="12:54" x14ac:dyDescent="0.25">
      <c r="Y214" t="s">
        <v>150</v>
      </c>
      <c r="Z214">
        <f>Z210/(AZ171*AZ175)</f>
        <v>1.1515151515151516</v>
      </c>
      <c r="AA214">
        <f t="shared" ref="AA214:AG214" si="97">AA210/(BA171*BA175)</f>
        <v>1.2820512820512819</v>
      </c>
      <c r="AB214">
        <f t="shared" si="97"/>
        <v>1.5624999999999998</v>
      </c>
      <c r="AC214">
        <f t="shared" si="97"/>
        <v>1.8518518518518516</v>
      </c>
      <c r="AD214">
        <f t="shared" si="97"/>
        <v>2.0833333333333335</v>
      </c>
      <c r="AE214">
        <f t="shared" si="97"/>
        <v>2.2727272727272725</v>
      </c>
      <c r="AF214">
        <f t="shared" si="97"/>
        <v>2.6666666666666665</v>
      </c>
      <c r="AG214">
        <f t="shared" si="97"/>
        <v>2.9761904761904763</v>
      </c>
      <c r="AO214">
        <f>'Wet Well'!Y24</f>
        <v>5.8293900000000001</v>
      </c>
      <c r="AP214">
        <v>28.051200000000001</v>
      </c>
      <c r="AR214">
        <f t="shared" si="93"/>
        <v>33.880589999999998</v>
      </c>
      <c r="AY214">
        <v>2</v>
      </c>
      <c r="AZ214">
        <f>1370*1.2</f>
        <v>1644</v>
      </c>
      <c r="BA214" t="s">
        <v>1300</v>
      </c>
      <c r="BB214" s="35">
        <v>44508</v>
      </c>
    </row>
    <row r="215" spans="12:54" x14ac:dyDescent="0.25">
      <c r="Y215" t="s">
        <v>150</v>
      </c>
      <c r="Z215">
        <f>ROUNDUP(Z214,2)</f>
        <v>1.1599999999999999</v>
      </c>
      <c r="AA215">
        <f>ROUNDUP(AA214,2)</f>
        <v>1.29</v>
      </c>
      <c r="AB215">
        <f t="shared" ref="AB215:AG215" si="98">ROUNDUP(AB214,2)</f>
        <v>1.57</v>
      </c>
      <c r="AC215">
        <f t="shared" si="98"/>
        <v>1.86</v>
      </c>
      <c r="AD215">
        <f t="shared" si="98"/>
        <v>2.09</v>
      </c>
      <c r="AE215">
        <f t="shared" si="98"/>
        <v>2.2799999999999998</v>
      </c>
      <c r="AF215">
        <f t="shared" si="98"/>
        <v>2.67</v>
      </c>
      <c r="AG215">
        <f t="shared" si="98"/>
        <v>2.98</v>
      </c>
      <c r="AO215">
        <f>'Wet Well'!Y25</f>
        <v>5.8293900000000001</v>
      </c>
      <c r="AP215">
        <v>38.570399999999999</v>
      </c>
      <c r="AR215">
        <f t="shared" si="93"/>
        <v>44.399789999999996</v>
      </c>
      <c r="AY215">
        <v>2.8</v>
      </c>
      <c r="AZ215">
        <f>753*1.2</f>
        <v>903.6</v>
      </c>
      <c r="BA215" t="s">
        <v>1301</v>
      </c>
      <c r="BB215" s="35">
        <v>44508</v>
      </c>
    </row>
    <row r="216" spans="12:54" x14ac:dyDescent="0.25">
      <c r="AY216">
        <v>2.8</v>
      </c>
      <c r="AZ216">
        <f>1011*1.2</f>
        <v>1213.2</v>
      </c>
      <c r="BA216" t="s">
        <v>1302</v>
      </c>
      <c r="BB216" s="35">
        <v>44508</v>
      </c>
    </row>
    <row r="217" spans="12:54" x14ac:dyDescent="0.25">
      <c r="AY217">
        <v>3</v>
      </c>
      <c r="AZ217">
        <f>1179*1.2</f>
        <v>1414.8</v>
      </c>
      <c r="BA217" t="s">
        <v>1303</v>
      </c>
      <c r="BB217" s="35">
        <v>44508</v>
      </c>
    </row>
    <row r="218" spans="12:54" x14ac:dyDescent="0.25">
      <c r="Y218" t="s">
        <v>1221</v>
      </c>
      <c r="AY218">
        <v>3</v>
      </c>
      <c r="AZ218">
        <f>1632*1.2</f>
        <v>1958.3999999999999</v>
      </c>
      <c r="BA218" t="s">
        <v>1304</v>
      </c>
      <c r="BB218" s="35">
        <v>44508</v>
      </c>
    </row>
    <row r="219" spans="12:54" x14ac:dyDescent="0.25">
      <c r="Y219" t="s">
        <v>150</v>
      </c>
      <c r="Z219">
        <f>Z211/(AZ171*AZ175)</f>
        <v>2.2727272727272725</v>
      </c>
      <c r="AA219">
        <f t="shared" ref="AA219:AG219" si="99">AA211/(BA171*BA175)</f>
        <v>2.5641025641025639</v>
      </c>
      <c r="AB219">
        <f t="shared" si="99"/>
        <v>3.1249999999999996</v>
      </c>
      <c r="AC219">
        <f t="shared" si="99"/>
        <v>3.7037037037037033</v>
      </c>
      <c r="AD219">
        <f t="shared" si="99"/>
        <v>4.166666666666667</v>
      </c>
      <c r="AE219">
        <f t="shared" si="99"/>
        <v>4.545454545454545</v>
      </c>
      <c r="AF219">
        <f t="shared" si="99"/>
        <v>5.333333333333333</v>
      </c>
      <c r="AG219">
        <f t="shared" si="99"/>
        <v>5.9523809523809526</v>
      </c>
      <c r="AY219">
        <v>3.8</v>
      </c>
      <c r="AZ219">
        <f>956*1.2</f>
        <v>1147.2</v>
      </c>
      <c r="BA219" t="s">
        <v>1305</v>
      </c>
      <c r="BB219" s="35">
        <v>44508</v>
      </c>
    </row>
    <row r="220" spans="12:54" x14ac:dyDescent="0.25">
      <c r="Y220" t="s">
        <v>150</v>
      </c>
      <c r="Z220">
        <f>ROUNDUP(Z219,2)</f>
        <v>2.2799999999999998</v>
      </c>
      <c r="AA220">
        <f t="shared" ref="AA220" si="100">ROUNDUP(AA219,2)</f>
        <v>2.57</v>
      </c>
      <c r="AB220">
        <f t="shared" ref="AB220" si="101">ROUNDUP(AB219,2)</f>
        <v>3.13</v>
      </c>
      <c r="AC220">
        <f t="shared" ref="AC220" si="102">ROUNDUP(AC219,2)</f>
        <v>3.71</v>
      </c>
      <c r="AD220">
        <f t="shared" ref="AD220" si="103">ROUNDUP(AD219,2)</f>
        <v>4.17</v>
      </c>
      <c r="AE220">
        <f t="shared" ref="AE220" si="104">ROUNDUP(AE219,2)</f>
        <v>4.55</v>
      </c>
      <c r="AF220">
        <f t="shared" ref="AF220" si="105">ROUNDUP(AF219,2)</f>
        <v>5.34</v>
      </c>
      <c r="AG220">
        <f t="shared" ref="AG220" si="106">ROUNDUP(AG219,2)</f>
        <v>5.96</v>
      </c>
      <c r="AY220">
        <v>3.8</v>
      </c>
      <c r="AZ220">
        <f>1193*1.2</f>
        <v>1431.6</v>
      </c>
      <c r="BA220" t="s">
        <v>1306</v>
      </c>
      <c r="BB220" s="35">
        <v>44508</v>
      </c>
    </row>
    <row r="221" spans="12:54" x14ac:dyDescent="0.25">
      <c r="AY221">
        <v>4</v>
      </c>
      <c r="AZ221">
        <f>1383*1.2</f>
        <v>1659.6</v>
      </c>
      <c r="BA221" t="s">
        <v>1307</v>
      </c>
      <c r="BB221" s="35">
        <v>44508</v>
      </c>
    </row>
    <row r="222" spans="12:54" x14ac:dyDescent="0.25">
      <c r="AY222">
        <v>4</v>
      </c>
      <c r="AZ222">
        <f>1777*1.2</f>
        <v>2132.4</v>
      </c>
      <c r="BA222" t="s">
        <v>1308</v>
      </c>
      <c r="BB222" s="35">
        <v>44508</v>
      </c>
    </row>
    <row r="223" spans="12:54" x14ac:dyDescent="0.25">
      <c r="AY223">
        <v>4.5999999999999996</v>
      </c>
      <c r="AZ223">
        <f>1098*1.2</f>
        <v>1317.6</v>
      </c>
      <c r="BA223" t="s">
        <v>1309</v>
      </c>
      <c r="BB223" s="35">
        <v>44508</v>
      </c>
    </row>
    <row r="224" spans="12:54" x14ac:dyDescent="0.25">
      <c r="Y224" t="s">
        <v>836</v>
      </c>
      <c r="AY224">
        <v>4.8</v>
      </c>
      <c r="AZ224">
        <f>1513*1.2</f>
        <v>1815.6</v>
      </c>
      <c r="BA224" t="s">
        <v>1310</v>
      </c>
      <c r="BB224" s="35">
        <v>44508</v>
      </c>
    </row>
    <row r="225" spans="3:54" x14ac:dyDescent="0.25">
      <c r="E225" t="s">
        <v>1090</v>
      </c>
      <c r="Y225" t="s">
        <v>1452</v>
      </c>
      <c r="Z225">
        <f>Z186/0.1</f>
        <v>11</v>
      </c>
      <c r="AA225">
        <f t="shared" ref="AA225:AG225" si="107">AA186/0.1</f>
        <v>13</v>
      </c>
      <c r="AB225">
        <f t="shared" si="107"/>
        <v>16</v>
      </c>
      <c r="AC225">
        <f t="shared" si="107"/>
        <v>18</v>
      </c>
      <c r="AD225">
        <f t="shared" si="107"/>
        <v>20</v>
      </c>
      <c r="AE225">
        <f t="shared" si="107"/>
        <v>22</v>
      </c>
      <c r="AF225">
        <f t="shared" si="107"/>
        <v>25</v>
      </c>
      <c r="AG225">
        <f t="shared" si="107"/>
        <v>28</v>
      </c>
      <c r="AY225">
        <v>5</v>
      </c>
      <c r="AZ225">
        <f>1733*1.2</f>
        <v>2079.6</v>
      </c>
      <c r="BA225" t="s">
        <v>1311</v>
      </c>
      <c r="BB225" s="35">
        <v>44508</v>
      </c>
    </row>
    <row r="226" spans="3:54" x14ac:dyDescent="0.25">
      <c r="E226">
        <v>1800</v>
      </c>
      <c r="F226" t="s">
        <v>1423</v>
      </c>
      <c r="H226" t="s">
        <v>1425</v>
      </c>
      <c r="AY226">
        <v>5.7</v>
      </c>
      <c r="AZ226">
        <f>1822*1.2</f>
        <v>2186.4</v>
      </c>
      <c r="BA226" t="s">
        <v>1312</v>
      </c>
      <c r="BB226" s="35">
        <v>44508</v>
      </c>
    </row>
    <row r="227" spans="3:54" x14ac:dyDescent="0.25">
      <c r="E227">
        <v>2600</v>
      </c>
      <c r="F227" t="s">
        <v>1423</v>
      </c>
      <c r="H227" t="s">
        <v>1424</v>
      </c>
      <c r="Z227">
        <f>Z225*Z186</f>
        <v>12.100000000000001</v>
      </c>
      <c r="AA227">
        <f t="shared" ref="AA227:AG227" si="108">AA225*AA186</f>
        <v>16.900000000000002</v>
      </c>
      <c r="AB227">
        <f t="shared" si="108"/>
        <v>25.6</v>
      </c>
      <c r="AC227">
        <f t="shared" si="108"/>
        <v>32.4</v>
      </c>
      <c r="AD227">
        <f t="shared" si="108"/>
        <v>40</v>
      </c>
      <c r="AE227">
        <f t="shared" si="108"/>
        <v>48.400000000000006</v>
      </c>
      <c r="AF227">
        <f t="shared" si="108"/>
        <v>62.5</v>
      </c>
      <c r="AG227">
        <f t="shared" si="108"/>
        <v>78.400000000000006</v>
      </c>
      <c r="AY227">
        <v>6</v>
      </c>
      <c r="AZ227">
        <f>2139*1.2</f>
        <v>2566.7999999999997</v>
      </c>
      <c r="BA227" t="s">
        <v>1313</v>
      </c>
      <c r="BB227" s="35">
        <v>44508</v>
      </c>
    </row>
    <row r="228" spans="3:54" x14ac:dyDescent="0.25">
      <c r="AY228">
        <v>6</v>
      </c>
      <c r="AZ228">
        <f>2376*1.2</f>
        <v>2851.2</v>
      </c>
      <c r="BA228" t="s">
        <v>1314</v>
      </c>
      <c r="BB228" s="35">
        <v>44508</v>
      </c>
    </row>
    <row r="229" spans="3:54" x14ac:dyDescent="0.25">
      <c r="AY229">
        <v>7.15</v>
      </c>
      <c r="AZ229">
        <f>2265*1.2</f>
        <v>2718</v>
      </c>
      <c r="BA229" t="s">
        <v>1315</v>
      </c>
      <c r="BB229" s="35">
        <v>44508</v>
      </c>
    </row>
    <row r="232" spans="3:54" x14ac:dyDescent="0.25">
      <c r="AG232">
        <v>2367.6219539262174</v>
      </c>
      <c r="AH232">
        <v>3156.8292719016231</v>
      </c>
      <c r="AI232">
        <v>4735.2439078524349</v>
      </c>
      <c r="AJ232">
        <v>6313.6585438032462</v>
      </c>
      <c r="AK232">
        <v>7892.0731797540593</v>
      </c>
      <c r="AL232">
        <v>9470.4878157048697</v>
      </c>
      <c r="AM232">
        <v>12627.317087606492</v>
      </c>
      <c r="AN232">
        <v>15784.146359508119</v>
      </c>
    </row>
    <row r="233" spans="3:54" x14ac:dyDescent="0.25">
      <c r="Y233">
        <v>1.3181450570189184</v>
      </c>
      <c r="Z233">
        <v>2.6362901140378368</v>
      </c>
      <c r="AA233">
        <v>5.2725802280756735</v>
      </c>
      <c r="AB233">
        <v>7.908870342113512</v>
      </c>
      <c r="AC233">
        <v>13.181450570189188</v>
      </c>
      <c r="AD233">
        <v>19.772175855283777</v>
      </c>
      <c r="AE233">
        <v>26.362901140378376</v>
      </c>
      <c r="AF233">
        <v>39.544351710567554</v>
      </c>
      <c r="AG233">
        <v>52.725802280756753</v>
      </c>
      <c r="AH233">
        <v>79.088703421135108</v>
      </c>
      <c r="AI233">
        <v>105.45160456151351</v>
      </c>
      <c r="AJ233">
        <v>131.81450570189185</v>
      </c>
      <c r="AK233">
        <v>158.17740684227022</v>
      </c>
      <c r="AL233">
        <v>184.54030798264861</v>
      </c>
      <c r="AM233">
        <v>210.90320912302701</v>
      </c>
      <c r="AN233">
        <v>263.62901140378369</v>
      </c>
    </row>
    <row r="237" spans="3:54" x14ac:dyDescent="0.25">
      <c r="C237" t="s">
        <v>1550</v>
      </c>
    </row>
    <row r="239" spans="3:54" x14ac:dyDescent="0.25">
      <c r="C239" t="s">
        <v>875</v>
      </c>
    </row>
    <row r="240" spans="3:54" x14ac:dyDescent="0.25">
      <c r="C240" t="s">
        <v>1551</v>
      </c>
    </row>
    <row r="241" spans="3:19" x14ac:dyDescent="0.25">
      <c r="C241" t="s">
        <v>1552</v>
      </c>
    </row>
    <row r="242" spans="3:19" x14ac:dyDescent="0.25">
      <c r="C242" t="s">
        <v>1438</v>
      </c>
    </row>
    <row r="246" spans="3:19" x14ac:dyDescent="0.25">
      <c r="C246" t="s">
        <v>875</v>
      </c>
    </row>
    <row r="248" spans="3:19" x14ac:dyDescent="0.25">
      <c r="C248" t="s">
        <v>1553</v>
      </c>
    </row>
    <row r="249" spans="3:19" x14ac:dyDescent="0.25">
      <c r="C249" t="s">
        <v>1554</v>
      </c>
      <c r="D249">
        <v>47.51</v>
      </c>
      <c r="E249" t="s">
        <v>1556</v>
      </c>
      <c r="F249" t="s">
        <v>1555</v>
      </c>
      <c r="H249" t="str">
        <f t="shared" ref="H249:P249" si="109">AY169</f>
        <v>PE</v>
      </c>
      <c r="I249">
        <f t="shared" si="109"/>
        <v>150</v>
      </c>
      <c r="J249">
        <f t="shared" si="109"/>
        <v>200</v>
      </c>
      <c r="K249">
        <f t="shared" si="109"/>
        <v>300</v>
      </c>
      <c r="L249">
        <f t="shared" si="109"/>
        <v>400</v>
      </c>
      <c r="M249">
        <f t="shared" si="109"/>
        <v>500</v>
      </c>
      <c r="N249">
        <f t="shared" si="109"/>
        <v>600</v>
      </c>
      <c r="O249">
        <f t="shared" si="109"/>
        <v>800</v>
      </c>
      <c r="P249">
        <f t="shared" si="109"/>
        <v>1000</v>
      </c>
      <c r="R249" t="s">
        <v>67</v>
      </c>
    </row>
    <row r="250" spans="3:19" x14ac:dyDescent="0.25">
      <c r="H250" t="str">
        <f t="shared" ref="H250:P251" si="110">AY174</f>
        <v>Length</v>
      </c>
      <c r="I250">
        <f t="shared" si="110"/>
        <v>4.5399999999999991</v>
      </c>
      <c r="J250">
        <f t="shared" si="110"/>
        <v>5.16</v>
      </c>
      <c r="K250">
        <f t="shared" si="110"/>
        <v>6.3</v>
      </c>
      <c r="L250">
        <f t="shared" si="110"/>
        <v>7.37</v>
      </c>
      <c r="M250">
        <f t="shared" si="110"/>
        <v>8.26</v>
      </c>
      <c r="N250">
        <f t="shared" si="110"/>
        <v>9.0300000000000011</v>
      </c>
      <c r="O250">
        <f t="shared" si="110"/>
        <v>10.51</v>
      </c>
      <c r="P250">
        <f t="shared" si="110"/>
        <v>11.74</v>
      </c>
      <c r="R250">
        <v>1</v>
      </c>
      <c r="S250" t="s">
        <v>1558</v>
      </c>
    </row>
    <row r="251" spans="3:19" x14ac:dyDescent="0.25">
      <c r="C251" t="s">
        <v>116</v>
      </c>
      <c r="D251">
        <v>150</v>
      </c>
      <c r="E251" t="s">
        <v>64</v>
      </c>
      <c r="H251" t="str">
        <f t="shared" si="110"/>
        <v>Width</v>
      </c>
      <c r="I251">
        <f t="shared" si="110"/>
        <v>1.1000000000000001</v>
      </c>
      <c r="J251">
        <f t="shared" si="110"/>
        <v>1.3</v>
      </c>
      <c r="K251">
        <f t="shared" si="110"/>
        <v>1.6</v>
      </c>
      <c r="L251">
        <f t="shared" si="110"/>
        <v>1.8</v>
      </c>
      <c r="M251">
        <f t="shared" si="110"/>
        <v>2</v>
      </c>
      <c r="N251">
        <f t="shared" si="110"/>
        <v>2.2000000000000002</v>
      </c>
      <c r="O251">
        <f t="shared" si="110"/>
        <v>2.5</v>
      </c>
      <c r="P251">
        <f t="shared" si="110"/>
        <v>2.8000000000000003</v>
      </c>
    </row>
    <row r="252" spans="3:19" x14ac:dyDescent="0.25">
      <c r="C252" t="s">
        <v>63</v>
      </c>
      <c r="D252">
        <v>150</v>
      </c>
      <c r="E252" t="s">
        <v>64</v>
      </c>
    </row>
    <row r="254" spans="3:19" x14ac:dyDescent="0.25">
      <c r="C254" t="s">
        <v>1561</v>
      </c>
      <c r="D254">
        <v>150</v>
      </c>
      <c r="E254" t="s">
        <v>64</v>
      </c>
      <c r="H254" t="s">
        <v>1557</v>
      </c>
      <c r="I254">
        <f>(I250+$R$250/2)*2</f>
        <v>10.079999999999998</v>
      </c>
      <c r="J254">
        <f t="shared" ref="J254:P254" si="111">(J250+$R$250/2)*2</f>
        <v>11.32</v>
      </c>
      <c r="K254">
        <f t="shared" si="111"/>
        <v>13.6</v>
      </c>
      <c r="L254">
        <f t="shared" si="111"/>
        <v>15.74</v>
      </c>
      <c r="M254">
        <f t="shared" si="111"/>
        <v>17.52</v>
      </c>
      <c r="N254">
        <f t="shared" si="111"/>
        <v>19.060000000000002</v>
      </c>
      <c r="O254">
        <f t="shared" si="111"/>
        <v>22.02</v>
      </c>
      <c r="P254">
        <f t="shared" si="111"/>
        <v>24.48</v>
      </c>
    </row>
    <row r="255" spans="3:19" x14ac:dyDescent="0.25">
      <c r="I255">
        <f>(I251+$R$250/2)*2</f>
        <v>3.2</v>
      </c>
      <c r="J255">
        <f t="shared" ref="J255:P255" si="112">(J251+$R$250/2)*2</f>
        <v>3.6</v>
      </c>
      <c r="K255">
        <f t="shared" si="112"/>
        <v>4.2</v>
      </c>
      <c r="L255">
        <f t="shared" si="112"/>
        <v>4.5999999999999996</v>
      </c>
      <c r="M255">
        <f t="shared" si="112"/>
        <v>5</v>
      </c>
      <c r="N255">
        <f t="shared" si="112"/>
        <v>5.4</v>
      </c>
      <c r="O255">
        <f t="shared" si="112"/>
        <v>6</v>
      </c>
      <c r="P255">
        <f t="shared" si="112"/>
        <v>6.6000000000000005</v>
      </c>
    </row>
    <row r="257" spans="8:29" x14ac:dyDescent="0.25">
      <c r="H257" t="s">
        <v>1559</v>
      </c>
      <c r="I257">
        <f>I254+I255</f>
        <v>13.279999999999998</v>
      </c>
      <c r="J257">
        <f t="shared" ref="J257:P257" si="113">J254+J255</f>
        <v>14.92</v>
      </c>
      <c r="K257">
        <f t="shared" si="113"/>
        <v>17.8</v>
      </c>
      <c r="L257">
        <f t="shared" si="113"/>
        <v>20.34</v>
      </c>
      <c r="M257">
        <f t="shared" si="113"/>
        <v>22.52</v>
      </c>
      <c r="N257">
        <f t="shared" si="113"/>
        <v>24.46</v>
      </c>
      <c r="O257">
        <f t="shared" si="113"/>
        <v>28.02</v>
      </c>
      <c r="P257">
        <f t="shared" si="113"/>
        <v>31.080000000000002</v>
      </c>
    </row>
    <row r="259" spans="8:29" x14ac:dyDescent="0.25">
      <c r="H259" t="s">
        <v>1560</v>
      </c>
      <c r="I259">
        <f>I257*(($D$251+$D$252+150)/1000)</f>
        <v>5.9759999999999991</v>
      </c>
      <c r="J259">
        <f t="shared" ref="J259:P259" si="114">J257*(($D$251+$D$252+300)/1000)</f>
        <v>8.952</v>
      </c>
      <c r="K259">
        <f t="shared" si="114"/>
        <v>10.68</v>
      </c>
      <c r="L259">
        <f t="shared" si="114"/>
        <v>12.203999999999999</v>
      </c>
      <c r="M259">
        <f t="shared" si="114"/>
        <v>13.511999999999999</v>
      </c>
      <c r="N259">
        <f t="shared" si="114"/>
        <v>14.676</v>
      </c>
      <c r="O259">
        <f t="shared" si="114"/>
        <v>16.811999999999998</v>
      </c>
      <c r="P259">
        <f t="shared" si="114"/>
        <v>18.648</v>
      </c>
    </row>
    <row r="261" spans="8:29" x14ac:dyDescent="0.25">
      <c r="H261" t="s">
        <v>100</v>
      </c>
      <c r="I261">
        <f>I257*((150)/1000)</f>
        <v>1.9919999999999995</v>
      </c>
      <c r="J261">
        <f t="shared" ref="J261:P261" si="115">J257*((150)/1000)</f>
        <v>2.238</v>
      </c>
      <c r="K261">
        <f t="shared" si="115"/>
        <v>2.67</v>
      </c>
      <c r="L261">
        <f t="shared" si="115"/>
        <v>3.0509999999999997</v>
      </c>
      <c r="M261">
        <f t="shared" si="115"/>
        <v>3.3779999999999997</v>
      </c>
      <c r="N261">
        <f t="shared" si="115"/>
        <v>3.669</v>
      </c>
      <c r="O261">
        <f t="shared" si="115"/>
        <v>4.2029999999999994</v>
      </c>
      <c r="P261">
        <f t="shared" si="115"/>
        <v>4.6619999999999999</v>
      </c>
    </row>
    <row r="264" spans="8:29" x14ac:dyDescent="0.25">
      <c r="H264" t="s">
        <v>1562</v>
      </c>
      <c r="J264" t="s">
        <v>128</v>
      </c>
      <c r="T264" t="s">
        <v>1562</v>
      </c>
      <c r="V264" t="s">
        <v>129</v>
      </c>
    </row>
    <row r="266" spans="8:29" x14ac:dyDescent="0.25">
      <c r="H266" t="s">
        <v>680</v>
      </c>
      <c r="I266">
        <f t="shared" ref="I266:P266" si="116">AZ177</f>
        <v>17.478999999999999</v>
      </c>
      <c r="J266">
        <f t="shared" si="116"/>
        <v>23.478000000000005</v>
      </c>
      <c r="K266">
        <f t="shared" si="116"/>
        <v>35.28</v>
      </c>
      <c r="L266">
        <f t="shared" si="116"/>
        <v>46.431000000000004</v>
      </c>
      <c r="M266">
        <f t="shared" si="116"/>
        <v>57.82</v>
      </c>
      <c r="N266">
        <f t="shared" si="116"/>
        <v>69.53100000000002</v>
      </c>
      <c r="O266">
        <f t="shared" si="116"/>
        <v>91.962499999999991</v>
      </c>
      <c r="P266">
        <f t="shared" si="116"/>
        <v>115.05200000000002</v>
      </c>
    </row>
    <row r="268" spans="8:29" x14ac:dyDescent="0.25">
      <c r="H268" t="s">
        <v>1563</v>
      </c>
      <c r="I268">
        <f>ROUNDUP(I266,1)</f>
        <v>17.5</v>
      </c>
      <c r="J268">
        <f t="shared" ref="J268:P268" si="117">ROUNDUP(J266,1)</f>
        <v>23.5</v>
      </c>
      <c r="K268">
        <f t="shared" si="117"/>
        <v>35.300000000000004</v>
      </c>
      <c r="L268">
        <f t="shared" si="117"/>
        <v>46.5</v>
      </c>
      <c r="M268">
        <f t="shared" si="117"/>
        <v>57.9</v>
      </c>
      <c r="N268">
        <f t="shared" si="117"/>
        <v>69.599999999999994</v>
      </c>
      <c r="O268">
        <f t="shared" si="117"/>
        <v>92</v>
      </c>
      <c r="P268">
        <f t="shared" si="117"/>
        <v>115.1</v>
      </c>
    </row>
    <row r="269" spans="8:29" x14ac:dyDescent="0.25">
      <c r="T269" s="120"/>
      <c r="U269" s="120"/>
      <c r="V269" s="120"/>
      <c r="W269" s="120"/>
      <c r="X269" s="120"/>
      <c r="Y269" s="120"/>
      <c r="Z269" s="120"/>
      <c r="AA269" s="120"/>
      <c r="AB269" s="120"/>
      <c r="AC269" s="120"/>
    </row>
    <row r="270" spans="8:29" x14ac:dyDescent="0.25">
      <c r="H270" t="s">
        <v>1562</v>
      </c>
      <c r="S270" t="s">
        <v>1562</v>
      </c>
      <c r="AB270" s="120"/>
      <c r="AC270" s="120"/>
    </row>
    <row r="271" spans="8:29" x14ac:dyDescent="0.25">
      <c r="H271" t="str">
        <f t="shared" ref="H271:P271" si="118">H249</f>
        <v>PE</v>
      </c>
      <c r="I271">
        <f t="shared" si="118"/>
        <v>150</v>
      </c>
      <c r="J271">
        <f t="shared" si="118"/>
        <v>200</v>
      </c>
      <c r="K271">
        <f t="shared" si="118"/>
        <v>300</v>
      </c>
      <c r="L271">
        <f t="shared" si="118"/>
        <v>400</v>
      </c>
      <c r="M271">
        <f t="shared" si="118"/>
        <v>500</v>
      </c>
      <c r="N271">
        <f t="shared" si="118"/>
        <v>600</v>
      </c>
      <c r="O271">
        <f t="shared" si="118"/>
        <v>800</v>
      </c>
      <c r="P271">
        <f t="shared" si="118"/>
        <v>1000</v>
      </c>
      <c r="S271">
        <f>S249</f>
        <v>0</v>
      </c>
      <c r="T271">
        <f>I271</f>
        <v>150</v>
      </c>
      <c r="U271">
        <f t="shared" ref="U271:Z271" si="119">J271</f>
        <v>200</v>
      </c>
      <c r="V271">
        <f t="shared" si="119"/>
        <v>300</v>
      </c>
      <c r="W271">
        <f t="shared" si="119"/>
        <v>400</v>
      </c>
      <c r="X271">
        <f t="shared" si="119"/>
        <v>500</v>
      </c>
      <c r="Y271">
        <f t="shared" si="119"/>
        <v>600</v>
      </c>
      <c r="Z271">
        <f t="shared" si="119"/>
        <v>800</v>
      </c>
      <c r="AA271">
        <f>P271</f>
        <v>1000</v>
      </c>
      <c r="AB271" s="120"/>
      <c r="AC271" s="120"/>
    </row>
    <row r="272" spans="8:29" x14ac:dyDescent="0.25">
      <c r="H272" t="s">
        <v>1298</v>
      </c>
      <c r="I272">
        <v>18</v>
      </c>
      <c r="J272">
        <v>26</v>
      </c>
      <c r="K272">
        <v>38</v>
      </c>
      <c r="L272">
        <v>50</v>
      </c>
      <c r="M272">
        <v>59</v>
      </c>
      <c r="N272">
        <v>70</v>
      </c>
      <c r="O272">
        <v>46</v>
      </c>
      <c r="P272">
        <v>59</v>
      </c>
      <c r="S272" t="s">
        <v>1298</v>
      </c>
      <c r="T272">
        <v>18</v>
      </c>
      <c r="U272">
        <v>26</v>
      </c>
      <c r="V272">
        <v>38</v>
      </c>
      <c r="W272">
        <v>50</v>
      </c>
      <c r="X272">
        <v>59</v>
      </c>
      <c r="Y272">
        <v>70</v>
      </c>
      <c r="Z272">
        <v>46</v>
      </c>
      <c r="AA272">
        <v>59</v>
      </c>
      <c r="AB272" s="120"/>
      <c r="AC272" s="120"/>
    </row>
    <row r="273" spans="8:29" x14ac:dyDescent="0.25">
      <c r="H273" t="s">
        <v>326</v>
      </c>
      <c r="I273">
        <f>5538+763+406.8</f>
        <v>6707.8</v>
      </c>
      <c r="J273">
        <f>7092+286.8</f>
        <v>7378.8</v>
      </c>
      <c r="K273">
        <f>9318+286.8</f>
        <v>9604.7999999999993</v>
      </c>
      <c r="L273">
        <f>10726.8+2680.8+406.8</f>
        <v>13814.399999999998</v>
      </c>
      <c r="M273">
        <f>13669.2+286.6</f>
        <v>13955.800000000001</v>
      </c>
      <c r="N273">
        <v>20551</v>
      </c>
      <c r="O273">
        <f>10936.8+286.8</f>
        <v>11223.599999999999</v>
      </c>
      <c r="P273">
        <f>M273</f>
        <v>13955.800000000001</v>
      </c>
      <c r="S273" t="s">
        <v>326</v>
      </c>
      <c r="T273">
        <f>5538+406.8</f>
        <v>5944.8</v>
      </c>
      <c r="U273">
        <f>7092+286.8</f>
        <v>7378.8</v>
      </c>
      <c r="V273">
        <f>9318+286.8</f>
        <v>9604.7999999999993</v>
      </c>
      <c r="W273">
        <f>10726.8+406.8</f>
        <v>11133.599999999999</v>
      </c>
      <c r="X273">
        <f>13669.2+286.6</f>
        <v>13955.800000000001</v>
      </c>
      <c r="Y273">
        <f>16114.8+406.8</f>
        <v>16521.599999999999</v>
      </c>
      <c r="Z273">
        <f>10936.8+286.8</f>
        <v>11223.599999999999</v>
      </c>
      <c r="AA273">
        <f>X273</f>
        <v>13955.800000000001</v>
      </c>
      <c r="AB273" s="120"/>
      <c r="AC273" s="120"/>
    </row>
    <row r="274" spans="8:29" x14ac:dyDescent="0.25">
      <c r="I274" s="4" t="s">
        <v>1570</v>
      </c>
      <c r="J274" t="s">
        <v>1569</v>
      </c>
      <c r="K274" t="s">
        <v>1568</v>
      </c>
      <c r="L274" s="4" t="s">
        <v>1566</v>
      </c>
      <c r="M274" s="4" t="s">
        <v>1565</v>
      </c>
      <c r="N274" t="s">
        <v>1564</v>
      </c>
      <c r="O274" t="s">
        <v>1567</v>
      </c>
      <c r="Q274" t="s">
        <v>1137</v>
      </c>
      <c r="T274" t="s">
        <v>1570</v>
      </c>
      <c r="U274" t="s">
        <v>1569</v>
      </c>
      <c r="V274" t="s">
        <v>1568</v>
      </c>
      <c r="W274" t="s">
        <v>1566</v>
      </c>
      <c r="X274" t="s">
        <v>1565</v>
      </c>
      <c r="Y274" t="s">
        <v>1564</v>
      </c>
      <c r="Z274" t="s">
        <v>1567</v>
      </c>
      <c r="AB274" s="120" t="s">
        <v>1137</v>
      </c>
      <c r="AC274" s="120"/>
    </row>
    <row r="275" spans="8:29" x14ac:dyDescent="0.25">
      <c r="AB275" s="120"/>
      <c r="AC275" s="120"/>
    </row>
    <row r="276" spans="8:29" x14ac:dyDescent="0.25">
      <c r="O276">
        <v>46</v>
      </c>
      <c r="P276">
        <v>59</v>
      </c>
      <c r="Z276">
        <v>46</v>
      </c>
      <c r="AA276">
        <v>59</v>
      </c>
      <c r="AB276" s="120"/>
      <c r="AC276" s="120"/>
    </row>
    <row r="277" spans="8:29" x14ac:dyDescent="0.25">
      <c r="O277">
        <f>10936.8+286.8</f>
        <v>11223.599999999999</v>
      </c>
      <c r="P277">
        <f>M273</f>
        <v>13955.800000000001</v>
      </c>
      <c r="Z277">
        <f>10936.8+286.8</f>
        <v>11223.599999999999</v>
      </c>
      <c r="AA277">
        <f>X273</f>
        <v>13955.800000000001</v>
      </c>
      <c r="AB277" s="120"/>
      <c r="AC277" s="120"/>
    </row>
    <row r="278" spans="8:29" x14ac:dyDescent="0.25">
      <c r="AB278" s="120"/>
      <c r="AC278" s="120"/>
    </row>
    <row r="279" spans="8:29" x14ac:dyDescent="0.25">
      <c r="AB279" s="120"/>
      <c r="AC279" s="120"/>
    </row>
    <row r="280" spans="8:29" x14ac:dyDescent="0.25">
      <c r="AB280" s="120"/>
      <c r="AC280" s="120"/>
    </row>
    <row r="281" spans="8:29" x14ac:dyDescent="0.25">
      <c r="AB281" s="120"/>
      <c r="AC281" s="120"/>
    </row>
    <row r="282" spans="8:29" x14ac:dyDescent="0.25">
      <c r="H282" t="s">
        <v>125</v>
      </c>
      <c r="I282">
        <f>I273</f>
        <v>6707.8</v>
      </c>
      <c r="J282">
        <f t="shared" ref="J282:N282" si="120">J273</f>
        <v>7378.8</v>
      </c>
      <c r="K282">
        <f t="shared" si="120"/>
        <v>9604.7999999999993</v>
      </c>
      <c r="L282">
        <f>W273</f>
        <v>11133.599999999999</v>
      </c>
      <c r="M282">
        <f t="shared" si="120"/>
        <v>13955.800000000001</v>
      </c>
      <c r="N282">
        <f t="shared" si="120"/>
        <v>20551</v>
      </c>
      <c r="O282">
        <f>O273+O277</f>
        <v>22447.199999999997</v>
      </c>
      <c r="P282">
        <f>P273+P277</f>
        <v>27911.600000000002</v>
      </c>
      <c r="S282" t="s">
        <v>125</v>
      </c>
      <c r="T282">
        <f>T273</f>
        <v>5944.8</v>
      </c>
      <c r="U282">
        <f t="shared" ref="U282:Y282" si="121">U273</f>
        <v>7378.8</v>
      </c>
      <c r="V282">
        <f t="shared" si="121"/>
        <v>9604.7999999999993</v>
      </c>
      <c r="W282">
        <f>W273</f>
        <v>11133.599999999999</v>
      </c>
      <c r="X282">
        <f t="shared" si="121"/>
        <v>13955.800000000001</v>
      </c>
      <c r="Y282">
        <f t="shared" si="121"/>
        <v>16521.599999999999</v>
      </c>
      <c r="Z282">
        <f>Z273+Z277</f>
        <v>22447.199999999997</v>
      </c>
      <c r="AA282">
        <f>AA273+AA277</f>
        <v>27911.600000000002</v>
      </c>
      <c r="AB282" s="120"/>
      <c r="AC282" s="120"/>
    </row>
    <row r="283" spans="8:29" x14ac:dyDescent="0.25">
      <c r="AB283" s="120"/>
      <c r="AC283" s="120"/>
    </row>
    <row r="284" spans="8:29" x14ac:dyDescent="0.25">
      <c r="AB284" s="120"/>
      <c r="AC284" s="120"/>
    </row>
    <row r="285" spans="8:29" x14ac:dyDescent="0.25">
      <c r="H285" t="s">
        <v>61</v>
      </c>
      <c r="S285" t="s">
        <v>61</v>
      </c>
      <c r="AB285" s="120"/>
      <c r="AC285" s="120"/>
    </row>
    <row r="286" spans="8:29" x14ac:dyDescent="0.25">
      <c r="AB286" s="120"/>
      <c r="AC286" s="120"/>
    </row>
    <row r="287" spans="8:29" x14ac:dyDescent="0.25">
      <c r="H287" t="s">
        <v>145</v>
      </c>
      <c r="I287">
        <v>3500</v>
      </c>
      <c r="J287">
        <v>3020</v>
      </c>
      <c r="K287">
        <v>3020</v>
      </c>
      <c r="L287">
        <v>3500</v>
      </c>
      <c r="M287">
        <v>3020</v>
      </c>
      <c r="N287">
        <v>3500</v>
      </c>
      <c r="O287">
        <v>3020</v>
      </c>
      <c r="P287">
        <v>3020</v>
      </c>
      <c r="S287" t="s">
        <v>145</v>
      </c>
      <c r="T287">
        <v>3500</v>
      </c>
      <c r="U287">
        <v>3020</v>
      </c>
      <c r="V287">
        <v>3020</v>
      </c>
      <c r="W287">
        <v>3500</v>
      </c>
      <c r="X287">
        <v>3020</v>
      </c>
      <c r="Y287">
        <v>3500</v>
      </c>
      <c r="Z287">
        <v>3020</v>
      </c>
      <c r="AA287">
        <v>3020</v>
      </c>
      <c r="AB287" s="120"/>
      <c r="AC287" s="120"/>
    </row>
    <row r="288" spans="8:29" x14ac:dyDescent="0.25">
      <c r="H288" t="s">
        <v>150</v>
      </c>
      <c r="I288">
        <v>4180</v>
      </c>
      <c r="J288">
        <v>5837</v>
      </c>
      <c r="K288">
        <v>8150</v>
      </c>
      <c r="L288">
        <v>10636</v>
      </c>
      <c r="M288">
        <v>11991</v>
      </c>
      <c r="N288">
        <v>14710</v>
      </c>
      <c r="O288">
        <v>9684</v>
      </c>
      <c r="P288">
        <v>11991</v>
      </c>
      <c r="S288" t="s">
        <v>150</v>
      </c>
      <c r="T288">
        <v>4180</v>
      </c>
      <c r="U288">
        <v>5837</v>
      </c>
      <c r="V288">
        <v>8150</v>
      </c>
      <c r="W288">
        <v>10636</v>
      </c>
      <c r="X288">
        <v>11991</v>
      </c>
      <c r="Y288">
        <v>14710</v>
      </c>
      <c r="Z288">
        <v>9684</v>
      </c>
      <c r="AA288">
        <v>11991</v>
      </c>
      <c r="AB288" s="120"/>
      <c r="AC288" s="120"/>
    </row>
    <row r="289" spans="8:29" x14ac:dyDescent="0.25">
      <c r="H289" t="s">
        <v>116</v>
      </c>
      <c r="I289">
        <v>2500</v>
      </c>
      <c r="J289">
        <v>2820</v>
      </c>
      <c r="K289">
        <v>2820</v>
      </c>
      <c r="L289">
        <v>2500</v>
      </c>
      <c r="M289">
        <v>2820</v>
      </c>
      <c r="N289">
        <v>2500</v>
      </c>
      <c r="O289">
        <v>2820</v>
      </c>
      <c r="P289">
        <v>2820</v>
      </c>
      <c r="S289" t="s">
        <v>116</v>
      </c>
      <c r="T289">
        <v>2500</v>
      </c>
      <c r="U289">
        <v>2820</v>
      </c>
      <c r="V289">
        <v>2820</v>
      </c>
      <c r="W289">
        <v>2500</v>
      </c>
      <c r="X289">
        <v>2820</v>
      </c>
      <c r="Y289">
        <v>2500</v>
      </c>
      <c r="Z289">
        <v>2820</v>
      </c>
      <c r="AA289">
        <v>2820</v>
      </c>
      <c r="AB289" s="120"/>
      <c r="AC289" s="120"/>
    </row>
    <row r="290" spans="8:29" x14ac:dyDescent="0.25">
      <c r="W290" s="120"/>
      <c r="Z290" s="120"/>
      <c r="AA290" s="120"/>
      <c r="AB290" s="120"/>
      <c r="AC290" s="120"/>
    </row>
    <row r="291" spans="8:29" x14ac:dyDescent="0.25">
      <c r="H291" t="s">
        <v>1571</v>
      </c>
      <c r="I291">
        <v>450</v>
      </c>
      <c r="J291">
        <v>300</v>
      </c>
      <c r="K291">
        <v>300</v>
      </c>
      <c r="L291">
        <v>450</v>
      </c>
      <c r="M291">
        <v>300</v>
      </c>
      <c r="N291">
        <v>450</v>
      </c>
      <c r="O291">
        <v>300</v>
      </c>
      <c r="P291">
        <v>300</v>
      </c>
      <c r="S291" t="s">
        <v>1571</v>
      </c>
      <c r="T291">
        <v>300</v>
      </c>
      <c r="U291">
        <v>300</v>
      </c>
      <c r="V291">
        <v>300</v>
      </c>
      <c r="W291">
        <v>300</v>
      </c>
      <c r="X291">
        <v>300</v>
      </c>
      <c r="Y291">
        <v>300</v>
      </c>
      <c r="Z291">
        <v>300</v>
      </c>
      <c r="AA291">
        <v>300</v>
      </c>
      <c r="AB291" s="120"/>
      <c r="AC291" s="120"/>
    </row>
    <row r="292" spans="8:29" x14ac:dyDescent="0.25">
      <c r="W292" s="120"/>
      <c r="Z292" s="120"/>
      <c r="AA292" s="120"/>
      <c r="AB292" s="120"/>
      <c r="AC292" s="120"/>
    </row>
    <row r="293" spans="8:29" x14ac:dyDescent="0.25">
      <c r="H293" t="s">
        <v>894</v>
      </c>
      <c r="I293">
        <v>760</v>
      </c>
      <c r="J293">
        <v>981</v>
      </c>
      <c r="K293">
        <v>1434</v>
      </c>
      <c r="L293">
        <v>1705</v>
      </c>
      <c r="M293">
        <v>2317</v>
      </c>
      <c r="N293">
        <v>2300</v>
      </c>
      <c r="O293">
        <v>1888</v>
      </c>
      <c r="P293">
        <v>2317</v>
      </c>
      <c r="S293" t="s">
        <v>894</v>
      </c>
      <c r="T293">
        <v>760</v>
      </c>
      <c r="U293">
        <v>981</v>
      </c>
      <c r="V293">
        <v>1434</v>
      </c>
      <c r="W293">
        <v>1705</v>
      </c>
      <c r="X293">
        <v>2317</v>
      </c>
      <c r="Y293">
        <v>2300</v>
      </c>
      <c r="Z293">
        <v>1888</v>
      </c>
      <c r="AA293">
        <v>2317</v>
      </c>
    </row>
    <row r="295" spans="8:29" x14ac:dyDescent="0.25">
      <c r="I295">
        <f>I287+I$291*2</f>
        <v>4400</v>
      </c>
      <c r="J295">
        <f t="shared" ref="J295:P295" si="122">J287+J$291*2</f>
        <v>3620</v>
      </c>
      <c r="K295">
        <f t="shared" si="122"/>
        <v>3620</v>
      </c>
      <c r="L295">
        <f t="shared" si="122"/>
        <v>4400</v>
      </c>
      <c r="M295">
        <f t="shared" si="122"/>
        <v>3620</v>
      </c>
      <c r="N295">
        <f t="shared" si="122"/>
        <v>4400</v>
      </c>
      <c r="O295">
        <f t="shared" si="122"/>
        <v>3620</v>
      </c>
      <c r="P295">
        <f t="shared" si="122"/>
        <v>3620</v>
      </c>
      <c r="T295">
        <f>T287+T$291*2</f>
        <v>4100</v>
      </c>
      <c r="U295">
        <f t="shared" ref="U295:AA295" si="123">U287+U$291*2</f>
        <v>3620</v>
      </c>
      <c r="V295">
        <f t="shared" si="123"/>
        <v>3620</v>
      </c>
      <c r="W295">
        <f t="shared" si="123"/>
        <v>4100</v>
      </c>
      <c r="X295">
        <f t="shared" si="123"/>
        <v>3620</v>
      </c>
      <c r="Y295">
        <f t="shared" si="123"/>
        <v>4100</v>
      </c>
      <c r="Z295">
        <f t="shared" si="123"/>
        <v>3620</v>
      </c>
      <c r="AA295">
        <f t="shared" si="123"/>
        <v>3620</v>
      </c>
    </row>
    <row r="296" spans="8:29" x14ac:dyDescent="0.25">
      <c r="I296">
        <f>I288+I$291*2</f>
        <v>5080</v>
      </c>
      <c r="J296">
        <f>J288+J$291*2</f>
        <v>6437</v>
      </c>
      <c r="K296">
        <f t="shared" ref="K296:P296" si="124">K288+K$291*2</f>
        <v>8750</v>
      </c>
      <c r="L296">
        <f t="shared" si="124"/>
        <v>11536</v>
      </c>
      <c r="M296">
        <f t="shared" si="124"/>
        <v>12591</v>
      </c>
      <c r="N296">
        <f t="shared" si="124"/>
        <v>15610</v>
      </c>
      <c r="O296">
        <f t="shared" si="124"/>
        <v>10284</v>
      </c>
      <c r="P296">
        <f t="shared" si="124"/>
        <v>12591</v>
      </c>
      <c r="T296">
        <f>T288+T$291*2</f>
        <v>4780</v>
      </c>
      <c r="U296">
        <f>U288+U$291*2</f>
        <v>6437</v>
      </c>
      <c r="V296">
        <f t="shared" ref="V296:AA296" si="125">V288+V$291*2</f>
        <v>8750</v>
      </c>
      <c r="W296">
        <f t="shared" si="125"/>
        <v>11236</v>
      </c>
      <c r="X296">
        <f t="shared" si="125"/>
        <v>12591</v>
      </c>
      <c r="Y296">
        <f t="shared" si="125"/>
        <v>15310</v>
      </c>
      <c r="Z296">
        <f t="shared" si="125"/>
        <v>10284</v>
      </c>
      <c r="AA296">
        <f t="shared" si="125"/>
        <v>12591</v>
      </c>
    </row>
    <row r="297" spans="8:29" x14ac:dyDescent="0.25">
      <c r="I297">
        <f>I289+I$291*2</f>
        <v>3400</v>
      </c>
      <c r="J297">
        <f>J289+J$291*2</f>
        <v>3420</v>
      </c>
      <c r="K297">
        <f t="shared" ref="K297:P297" si="126">K289+K$291*2</f>
        <v>3420</v>
      </c>
      <c r="L297">
        <f t="shared" si="126"/>
        <v>3400</v>
      </c>
      <c r="M297">
        <f t="shared" si="126"/>
        <v>3420</v>
      </c>
      <c r="N297">
        <f t="shared" si="126"/>
        <v>3400</v>
      </c>
      <c r="O297">
        <f t="shared" si="126"/>
        <v>3420</v>
      </c>
      <c r="P297">
        <f t="shared" si="126"/>
        <v>3420</v>
      </c>
      <c r="T297">
        <f>T289+T$291*2</f>
        <v>3100</v>
      </c>
      <c r="U297">
        <f t="shared" ref="U297:AA297" si="127">U289+U$291*2</f>
        <v>3420</v>
      </c>
      <c r="V297">
        <f t="shared" si="127"/>
        <v>3420</v>
      </c>
      <c r="W297">
        <f t="shared" si="127"/>
        <v>3100</v>
      </c>
      <c r="X297">
        <f t="shared" si="127"/>
        <v>3420</v>
      </c>
      <c r="Y297">
        <f t="shared" si="127"/>
        <v>3100</v>
      </c>
      <c r="Z297">
        <f t="shared" si="127"/>
        <v>3420</v>
      </c>
      <c r="AA297">
        <f t="shared" si="127"/>
        <v>3420</v>
      </c>
    </row>
    <row r="299" spans="8:29" x14ac:dyDescent="0.25">
      <c r="H299" t="s">
        <v>14</v>
      </c>
      <c r="I299">
        <f>I295*I296*I297*10^-9</f>
        <v>75.996800000000007</v>
      </c>
      <c r="J299">
        <f t="shared" ref="J299:N299" si="128">J295*J296*J297*10^-9</f>
        <v>79.692634800000008</v>
      </c>
      <c r="K299">
        <f t="shared" si="128"/>
        <v>108.32850000000001</v>
      </c>
      <c r="L299">
        <f t="shared" si="128"/>
        <v>172.57856000000001</v>
      </c>
      <c r="M299">
        <f t="shared" si="128"/>
        <v>155.88161640000001</v>
      </c>
      <c r="N299">
        <f t="shared" si="128"/>
        <v>233.52560000000003</v>
      </c>
      <c r="O299">
        <f>O295*O296*O297*10^-9*2</f>
        <v>254.6400672</v>
      </c>
      <c r="P299">
        <f>P295*P296*P297*10^-9*2</f>
        <v>311.76323280000003</v>
      </c>
      <c r="S299" t="s">
        <v>14</v>
      </c>
      <c r="T299">
        <f>T295*T296*T297*10^-9</f>
        <v>60.753800000000005</v>
      </c>
      <c r="U299">
        <f t="shared" ref="U299:Y299" si="129">U295*U296*U297*10^-9</f>
        <v>79.692634800000008</v>
      </c>
      <c r="V299">
        <f t="shared" si="129"/>
        <v>108.32850000000001</v>
      </c>
      <c r="W299">
        <f t="shared" si="129"/>
        <v>142.80956</v>
      </c>
      <c r="X299">
        <f t="shared" si="129"/>
        <v>155.88161640000001</v>
      </c>
      <c r="Y299">
        <f t="shared" si="129"/>
        <v>194.59010000000001</v>
      </c>
      <c r="Z299">
        <f>Z295*Z296*Z297*10^-9*2</f>
        <v>254.6400672</v>
      </c>
      <c r="AA299">
        <f>AA295*AA296*AA297*10^-9*2</f>
        <v>311.76323280000003</v>
      </c>
    </row>
    <row r="301" spans="8:29" x14ac:dyDescent="0.25">
      <c r="H301" t="s">
        <v>179</v>
      </c>
      <c r="I301">
        <f>I299-I272</f>
        <v>57.996800000000007</v>
      </c>
      <c r="J301">
        <f t="shared" ref="J301:N301" si="130">J299-J272</f>
        <v>53.692634800000008</v>
      </c>
      <c r="K301">
        <f t="shared" si="130"/>
        <v>70.328500000000005</v>
      </c>
      <c r="L301">
        <f t="shared" si="130"/>
        <v>122.57856000000001</v>
      </c>
      <c r="M301">
        <f t="shared" si="130"/>
        <v>96.881616400000013</v>
      </c>
      <c r="N301">
        <f t="shared" si="130"/>
        <v>163.52560000000003</v>
      </c>
      <c r="O301">
        <f>O299-O272*2</f>
        <v>162.6400672</v>
      </c>
      <c r="P301">
        <f>P299-P272*2</f>
        <v>193.76323280000003</v>
      </c>
      <c r="S301" t="s">
        <v>179</v>
      </c>
      <c r="T301">
        <f>T299-T272</f>
        <v>42.753800000000005</v>
      </c>
      <c r="U301">
        <f t="shared" ref="U301:Y301" si="131">U299-U272</f>
        <v>53.692634800000008</v>
      </c>
      <c r="V301">
        <f t="shared" si="131"/>
        <v>70.328500000000005</v>
      </c>
      <c r="W301">
        <f t="shared" si="131"/>
        <v>92.809560000000005</v>
      </c>
      <c r="X301">
        <f t="shared" si="131"/>
        <v>96.881616400000013</v>
      </c>
      <c r="Y301">
        <f t="shared" si="131"/>
        <v>124.59010000000001</v>
      </c>
      <c r="Z301">
        <f>Z299-Z272*2</f>
        <v>162.6400672</v>
      </c>
      <c r="AA301">
        <f>AA299-AA272*2</f>
        <v>193.76323280000003</v>
      </c>
    </row>
    <row r="314" spans="5:12" x14ac:dyDescent="0.25">
      <c r="E314" t="s">
        <v>1608</v>
      </c>
    </row>
    <row r="316" spans="5:12" x14ac:dyDescent="0.25">
      <c r="F316">
        <v>86</v>
      </c>
      <c r="G316">
        <v>215</v>
      </c>
      <c r="H316">
        <v>450</v>
      </c>
      <c r="I316">
        <v>700</v>
      </c>
      <c r="J316">
        <v>1100</v>
      </c>
      <c r="K316">
        <v>1.7</v>
      </c>
      <c r="L316">
        <v>3.59</v>
      </c>
    </row>
    <row r="317" spans="5:12" x14ac:dyDescent="0.25">
      <c r="K317">
        <f>K316*1000</f>
        <v>1700</v>
      </c>
      <c r="L317">
        <f>L316*1000</f>
        <v>3590</v>
      </c>
    </row>
    <row r="319" spans="5:12" x14ac:dyDescent="0.25">
      <c r="E319">
        <v>5</v>
      </c>
      <c r="F319">
        <v>86</v>
      </c>
      <c r="H319">
        <f>F319/E319</f>
        <v>17.2</v>
      </c>
    </row>
    <row r="320" spans="5:12" x14ac:dyDescent="0.25">
      <c r="E320">
        <v>10</v>
      </c>
      <c r="F320">
        <v>215</v>
      </c>
      <c r="H320">
        <f t="shared" ref="H320:H324" si="132">F320/E320</f>
        <v>21.5</v>
      </c>
    </row>
    <row r="321" spans="5:8" x14ac:dyDescent="0.25">
      <c r="E321">
        <v>20</v>
      </c>
      <c r="F321">
        <v>450</v>
      </c>
      <c r="H321">
        <f t="shared" si="132"/>
        <v>22.5</v>
      </c>
    </row>
    <row r="322" spans="5:8" x14ac:dyDescent="0.25">
      <c r="E322">
        <v>30</v>
      </c>
      <c r="F322">
        <v>700</v>
      </c>
      <c r="H322">
        <f t="shared" si="132"/>
        <v>23.333333333333332</v>
      </c>
    </row>
    <row r="323" spans="5:8" x14ac:dyDescent="0.25">
      <c r="E323">
        <v>50</v>
      </c>
      <c r="F323">
        <v>1100</v>
      </c>
      <c r="H323">
        <f t="shared" si="132"/>
        <v>22</v>
      </c>
    </row>
    <row r="324" spans="5:8" x14ac:dyDescent="0.25">
      <c r="E324">
        <v>75</v>
      </c>
      <c r="F324">
        <v>1700</v>
      </c>
      <c r="H324">
        <f t="shared" si="132"/>
        <v>22.666666666666668</v>
      </c>
    </row>
    <row r="326" spans="5:8" x14ac:dyDescent="0.25">
      <c r="H326">
        <f>AVERAGE(H319:H324)</f>
        <v>21.533333333333331</v>
      </c>
    </row>
    <row r="328" spans="5:8" x14ac:dyDescent="0.25">
      <c r="E328">
        <v>150</v>
      </c>
      <c r="F328">
        <f>E328*$H$326</f>
        <v>3229.9999999999995</v>
      </c>
      <c r="G328" t="s">
        <v>1609</v>
      </c>
      <c r="H328">
        <f>F328/1000</f>
        <v>3.2299999999999995</v>
      </c>
    </row>
    <row r="329" spans="5:8" x14ac:dyDescent="0.25">
      <c r="E329">
        <v>200</v>
      </c>
      <c r="F329">
        <f t="shared" ref="F329:F335" si="133">E329*$H$326</f>
        <v>4306.6666666666661</v>
      </c>
      <c r="G329" t="s">
        <v>1609</v>
      </c>
      <c r="H329">
        <f t="shared" ref="H329:H335" si="134">F329/1000</f>
        <v>4.3066666666666658</v>
      </c>
    </row>
    <row r="330" spans="5:8" x14ac:dyDescent="0.25">
      <c r="E330">
        <v>300</v>
      </c>
      <c r="F330">
        <f t="shared" si="133"/>
        <v>6459.9999999999991</v>
      </c>
      <c r="G330" t="s">
        <v>1609</v>
      </c>
      <c r="H330">
        <f t="shared" si="134"/>
        <v>6.4599999999999991</v>
      </c>
    </row>
    <row r="331" spans="5:8" x14ac:dyDescent="0.25">
      <c r="E331">
        <v>400</v>
      </c>
      <c r="F331">
        <f t="shared" si="133"/>
        <v>8613.3333333333321</v>
      </c>
      <c r="G331" t="s">
        <v>1609</v>
      </c>
      <c r="H331">
        <f t="shared" si="134"/>
        <v>8.6133333333333315</v>
      </c>
    </row>
    <row r="332" spans="5:8" x14ac:dyDescent="0.25">
      <c r="E332">
        <v>500</v>
      </c>
      <c r="F332">
        <f t="shared" si="133"/>
        <v>10766.666666666666</v>
      </c>
      <c r="G332" t="s">
        <v>1609</v>
      </c>
      <c r="H332">
        <f t="shared" si="134"/>
        <v>10.766666666666666</v>
      </c>
    </row>
    <row r="333" spans="5:8" x14ac:dyDescent="0.25">
      <c r="E333">
        <v>600</v>
      </c>
      <c r="F333">
        <f t="shared" si="133"/>
        <v>12919.999999999998</v>
      </c>
      <c r="G333" t="s">
        <v>1609</v>
      </c>
      <c r="H333">
        <f t="shared" si="134"/>
        <v>12.919999999999998</v>
      </c>
    </row>
    <row r="334" spans="5:8" x14ac:dyDescent="0.25">
      <c r="E334">
        <v>800</v>
      </c>
      <c r="F334">
        <f t="shared" si="133"/>
        <v>17226.666666666664</v>
      </c>
      <c r="G334" t="s">
        <v>1609</v>
      </c>
      <c r="H334">
        <f t="shared" si="134"/>
        <v>17.226666666666663</v>
      </c>
    </row>
    <row r="335" spans="5:8" x14ac:dyDescent="0.25">
      <c r="E335">
        <v>1000</v>
      </c>
      <c r="F335">
        <f t="shared" si="133"/>
        <v>21533.333333333332</v>
      </c>
      <c r="G335" t="s">
        <v>1609</v>
      </c>
      <c r="H335">
        <f t="shared" si="134"/>
        <v>21.533333333333331</v>
      </c>
    </row>
  </sheetData>
  <sortState xmlns:xlrd2="http://schemas.microsoft.com/office/spreadsheetml/2017/richdata2" ref="AY213:AZ229">
    <sortCondition ref="AY213:AY229"/>
  </sortState>
  <mergeCells count="1">
    <mergeCell ref="A3:A4"/>
  </mergeCells>
  <phoneticPr fontId="10" type="noConversion"/>
  <hyperlinks>
    <hyperlink ref="BA198" r:id="rId1" xr:uid="{633A80C3-E44B-43CF-9CC3-D618C72E32CE}"/>
    <hyperlink ref="F116" r:id="rId2" xr:uid="{C9A88A6F-FBFA-4992-A88D-F7E5769E0FDB}"/>
    <hyperlink ref="BH195" r:id="rId3" xr:uid="{F17E81A8-BB69-4FD8-A320-963D95320551}"/>
    <hyperlink ref="BH197" r:id="rId4" xr:uid="{D65F42C6-2F6F-4FB9-ABFE-DC6C90EC370A}"/>
    <hyperlink ref="BH199" r:id="rId5" xr:uid="{42F06ED0-F7B8-4DD1-92CD-3F8B542F08B5}"/>
    <hyperlink ref="BH200" r:id="rId6" xr:uid="{3C4E3C6E-6833-496E-894C-74A3958FC136}"/>
    <hyperlink ref="I274" r:id="rId7" xr:uid="{080B828D-5F81-43D9-B42B-F9351B0029D5}"/>
    <hyperlink ref="L274" r:id="rId8" xr:uid="{56E78294-7A1C-4C7F-97CF-5F603ED18B0A}"/>
    <hyperlink ref="M274" r:id="rId9" xr:uid="{C3B683D2-CE10-4CAB-9812-1E82CF585D4E}"/>
  </hyperlinks>
  <pageMargins left="0.7" right="0.7" top="0.75" bottom="0.75" header="0.3" footer="0.3"/>
  <pageSetup paperSize="9" orientation="portrait" horizontalDpi="4294967293" r:id="rId10"/>
  <drawing r:id="rId1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DF2AD-8AA8-4775-9995-A44F14AF3484}">
  <sheetPr>
    <tabColor rgb="FFFF0000"/>
  </sheetPr>
  <dimension ref="A2:BG110"/>
  <sheetViews>
    <sheetView zoomScale="80" zoomScaleNormal="80" workbookViewId="0">
      <selection activeCell="B29" sqref="B29:K29"/>
    </sheetView>
  </sheetViews>
  <sheetFormatPr defaultRowHeight="15" x14ac:dyDescent="0.25"/>
  <cols>
    <col min="12" max="12" width="11.140625" bestFit="1" customWidth="1"/>
    <col min="41" max="41" width="0" hidden="1" customWidth="1"/>
    <col min="45" max="45" width="0" hidden="1" customWidth="1"/>
  </cols>
  <sheetData>
    <row r="2" spans="1:7" x14ac:dyDescent="0.25">
      <c r="A2" t="s">
        <v>1007</v>
      </c>
      <c r="C2" t="s">
        <v>1012</v>
      </c>
      <c r="D2" t="s">
        <v>1010</v>
      </c>
    </row>
    <row r="3" spans="1:7" x14ac:dyDescent="0.25">
      <c r="A3" t="s">
        <v>1008</v>
      </c>
    </row>
    <row r="4" spans="1:7" x14ac:dyDescent="0.25">
      <c r="A4" t="s">
        <v>1009</v>
      </c>
    </row>
    <row r="5" spans="1:7" x14ac:dyDescent="0.25">
      <c r="A5" t="s">
        <v>1026</v>
      </c>
    </row>
    <row r="6" spans="1:7" x14ac:dyDescent="0.25">
      <c r="A6" t="s">
        <v>1027</v>
      </c>
    </row>
    <row r="8" spans="1:7" x14ac:dyDescent="0.25">
      <c r="A8" t="s">
        <v>1015</v>
      </c>
    </row>
    <row r="9" spans="1:7" x14ac:dyDescent="0.25">
      <c r="A9" t="s">
        <v>1016</v>
      </c>
    </row>
    <row r="10" spans="1:7" x14ac:dyDescent="0.25">
      <c r="A10" s="97" t="s">
        <v>1017</v>
      </c>
      <c r="G10" t="s">
        <v>1019</v>
      </c>
    </row>
    <row r="11" spans="1:7" x14ac:dyDescent="0.25">
      <c r="A11" t="s">
        <v>1019</v>
      </c>
      <c r="C11" t="s">
        <v>138</v>
      </c>
      <c r="D11" t="s">
        <v>1022</v>
      </c>
      <c r="G11" t="s">
        <v>1043</v>
      </c>
    </row>
    <row r="12" spans="1:7" x14ac:dyDescent="0.25">
      <c r="A12" t="s">
        <v>1018</v>
      </c>
      <c r="C12">
        <v>0.3125</v>
      </c>
      <c r="D12">
        <v>0.5</v>
      </c>
    </row>
    <row r="13" spans="1:7" x14ac:dyDescent="0.25">
      <c r="A13" t="s">
        <v>1020</v>
      </c>
    </row>
    <row r="14" spans="1:7" x14ac:dyDescent="0.25">
      <c r="A14" t="s">
        <v>1023</v>
      </c>
      <c r="D14" s="98">
        <v>0.12569444444444444</v>
      </c>
      <c r="E14">
        <v>3</v>
      </c>
    </row>
    <row r="16" spans="1:7" x14ac:dyDescent="0.25">
      <c r="A16" t="s">
        <v>1021</v>
      </c>
    </row>
    <row r="17" spans="2:59" x14ac:dyDescent="0.25">
      <c r="AM17" t="s">
        <v>217</v>
      </c>
    </row>
    <row r="18" spans="2:59" x14ac:dyDescent="0.25">
      <c r="AH18" t="s">
        <v>217</v>
      </c>
      <c r="AM18" t="s">
        <v>1037</v>
      </c>
      <c r="AN18">
        <f>1830-40</f>
        <v>1790</v>
      </c>
      <c r="AP18" t="s">
        <v>64</v>
      </c>
      <c r="AR18">
        <f>AN18/1000</f>
        <v>1.79</v>
      </c>
      <c r="AT18" t="s">
        <v>191</v>
      </c>
    </row>
    <row r="19" spans="2:59" x14ac:dyDescent="0.25">
      <c r="H19" t="s">
        <v>1025</v>
      </c>
      <c r="AH19" t="s">
        <v>1038</v>
      </c>
      <c r="AI19">
        <v>50</v>
      </c>
      <c r="AM19" t="s">
        <v>1039</v>
      </c>
      <c r="AN19">
        <v>300</v>
      </c>
      <c r="AP19" t="s">
        <v>64</v>
      </c>
      <c r="AQ19" t="s">
        <v>1046</v>
      </c>
      <c r="AR19">
        <f t="shared" ref="AR19:AR20" si="0">AN19/1000</f>
        <v>0.3</v>
      </c>
      <c r="AT19" t="s">
        <v>191</v>
      </c>
    </row>
    <row r="20" spans="2:59" x14ac:dyDescent="0.25">
      <c r="B20" t="s">
        <v>61</v>
      </c>
      <c r="AI20">
        <f>AI19/1000</f>
        <v>0.05</v>
      </c>
      <c r="AJ20" t="s">
        <v>64</v>
      </c>
      <c r="AN20">
        <v>150</v>
      </c>
      <c r="AP20" t="s">
        <v>64</v>
      </c>
      <c r="AQ20" t="s">
        <v>521</v>
      </c>
      <c r="AR20">
        <f t="shared" si="0"/>
        <v>0.15</v>
      </c>
      <c r="AT20" t="s">
        <v>191</v>
      </c>
      <c r="BB20" t="s">
        <v>1078</v>
      </c>
      <c r="BE20" t="s">
        <v>1040</v>
      </c>
      <c r="BG20" t="s">
        <v>1041</v>
      </c>
    </row>
    <row r="21" spans="2:59" x14ac:dyDescent="0.25">
      <c r="D21" t="s">
        <v>1013</v>
      </c>
      <c r="E21" t="s">
        <v>564</v>
      </c>
      <c r="F21" s="6" t="s">
        <v>1011</v>
      </c>
      <c r="I21" t="s">
        <v>1013</v>
      </c>
      <c r="AC21" t="s">
        <v>1035</v>
      </c>
      <c r="AQ21" t="s">
        <v>1044</v>
      </c>
      <c r="AW21" t="s">
        <v>1045</v>
      </c>
    </row>
    <row r="22" spans="2:59" x14ac:dyDescent="0.25">
      <c r="B22" t="s">
        <v>156</v>
      </c>
      <c r="C22" t="s">
        <v>398</v>
      </c>
      <c r="D22" t="s">
        <v>278</v>
      </c>
      <c r="E22" t="s">
        <v>278</v>
      </c>
      <c r="F22" s="6" t="s">
        <v>278</v>
      </c>
      <c r="I22" t="s">
        <v>1036</v>
      </c>
      <c r="J22" t="s">
        <v>709</v>
      </c>
      <c r="K22" t="s">
        <v>116</v>
      </c>
      <c r="M22" t="s">
        <v>1028</v>
      </c>
      <c r="N22" t="s">
        <v>1024</v>
      </c>
      <c r="O22" t="s">
        <v>1029</v>
      </c>
      <c r="R22" t="s">
        <v>1030</v>
      </c>
      <c r="T22" t="s">
        <v>1030</v>
      </c>
      <c r="W22" t="s">
        <v>1031</v>
      </c>
      <c r="X22" t="s">
        <v>1032</v>
      </c>
      <c r="Y22" t="s">
        <v>1033</v>
      </c>
      <c r="Z22" t="s">
        <v>1034</v>
      </c>
      <c r="AC22" t="s">
        <v>1014</v>
      </c>
      <c r="AD22" t="s">
        <v>709</v>
      </c>
      <c r="AE22" t="s">
        <v>116</v>
      </c>
      <c r="AF22" t="s">
        <v>14</v>
      </c>
      <c r="AH22" t="s">
        <v>1031</v>
      </c>
      <c r="AI22" t="s">
        <v>1032</v>
      </c>
      <c r="AJ22" t="s">
        <v>1033</v>
      </c>
      <c r="AK22" t="s">
        <v>1034</v>
      </c>
      <c r="AM22" t="s">
        <v>261</v>
      </c>
      <c r="AN22" t="s">
        <v>125</v>
      </c>
      <c r="AQ22" t="s">
        <v>1019</v>
      </c>
      <c r="AR22" t="s">
        <v>1020</v>
      </c>
      <c r="AT22" t="s">
        <v>1042</v>
      </c>
      <c r="AU22" t="s">
        <v>125</v>
      </c>
      <c r="AW22" t="s">
        <v>1019</v>
      </c>
      <c r="AX22" t="s">
        <v>1020</v>
      </c>
      <c r="AY22" t="s">
        <v>1042</v>
      </c>
      <c r="AZ22" t="s">
        <v>125</v>
      </c>
      <c r="BB22" t="s">
        <v>1079</v>
      </c>
      <c r="BE22" t="s">
        <v>618</v>
      </c>
    </row>
    <row r="23" spans="2:59" x14ac:dyDescent="0.25">
      <c r="B23">
        <v>5</v>
      </c>
      <c r="C23">
        <f>B23*0.15*4</f>
        <v>3</v>
      </c>
      <c r="D23">
        <f>C23*2</f>
        <v>6</v>
      </c>
      <c r="E23">
        <f>C23</f>
        <v>3</v>
      </c>
      <c r="F23" s="6">
        <f>C23/2</f>
        <v>1.5</v>
      </c>
      <c r="I23">
        <v>2</v>
      </c>
      <c r="J23">
        <f>K23*3</f>
        <v>3</v>
      </c>
      <c r="K23">
        <f>((D23/(I23*3))^0.5)</f>
        <v>1</v>
      </c>
      <c r="L23">
        <f>I23*J23*K23</f>
        <v>6</v>
      </c>
      <c r="M23">
        <f>C23/($D$12*24)</f>
        <v>0.25</v>
      </c>
      <c r="N23">
        <f>M23/K23</f>
        <v>0.25</v>
      </c>
      <c r="O23">
        <f>N23/3</f>
        <v>8.3333333333333329E-2</v>
      </c>
      <c r="R23">
        <f>(J23-(N23+O23))/3</f>
        <v>0.88888888888888884</v>
      </c>
      <c r="T23">
        <f>(J23-(R23+O23+N23))/2</f>
        <v>0.88888888888888884</v>
      </c>
      <c r="W23">
        <f>N23</f>
        <v>0.25</v>
      </c>
      <c r="X23">
        <f>W23+O23</f>
        <v>0.33333333333333331</v>
      </c>
      <c r="Y23">
        <f>X23+R23</f>
        <v>1.2222222222222221</v>
      </c>
      <c r="Z23">
        <f>Y23+T23</f>
        <v>2.1111111111111107</v>
      </c>
      <c r="AC23">
        <f>I23+0.3</f>
        <v>2.2999999999999998</v>
      </c>
      <c r="AD23">
        <f>J23+$AI$20*4</f>
        <v>3.2</v>
      </c>
      <c r="AE23">
        <f>K23</f>
        <v>1</v>
      </c>
      <c r="AF23">
        <f t="shared" ref="AF23:AF30" si="1">AC23*AD23*AE23</f>
        <v>7.3599999999999994</v>
      </c>
      <c r="AH23">
        <f>W23</f>
        <v>0.25</v>
      </c>
      <c r="AI23">
        <f>AH23+O23+$AI$20</f>
        <v>0.3833333333333333</v>
      </c>
      <c r="AJ23">
        <f>Y23+$AI$20*2</f>
        <v>1.3222222222222222</v>
      </c>
      <c r="AK23">
        <f>Z23+$AI$20*3</f>
        <v>2.2611111111111106</v>
      </c>
      <c r="AM23">
        <f>ROUNDUP(K23/$AR$18,0)</f>
        <v>1</v>
      </c>
      <c r="AN23">
        <f>(1+AM23)*4</f>
        <v>8</v>
      </c>
      <c r="AO23">
        <f t="shared" ref="AO23:AO36" si="2">(I23-N23)/$AR$19</f>
        <v>5.8333333333333339</v>
      </c>
      <c r="AQ23">
        <v>5</v>
      </c>
      <c r="AR23">
        <f>AQ23</f>
        <v>5</v>
      </c>
      <c r="AS23">
        <f>AC23/$AR$19</f>
        <v>7.6666666666666661</v>
      </c>
      <c r="AT23">
        <f>7*2</f>
        <v>14</v>
      </c>
      <c r="AU23">
        <f>AQ23+AR23+AT23</f>
        <v>24</v>
      </c>
      <c r="AW23">
        <v>2</v>
      </c>
      <c r="AX23">
        <f>AW23</f>
        <v>2</v>
      </c>
      <c r="AZ23">
        <f>AW23+AX23</f>
        <v>4</v>
      </c>
      <c r="BB23">
        <f>(PI()*K23/2)*J23+(PI())*(K23/2)^2</f>
        <v>5.497787143782138</v>
      </c>
      <c r="BE23">
        <f t="shared" ref="BE23:BE36" si="3">ROUNDUP(K23/25,0)</f>
        <v>1</v>
      </c>
    </row>
    <row r="24" spans="2:59" x14ac:dyDescent="0.25">
      <c r="B24">
        <v>10</v>
      </c>
      <c r="C24">
        <f t="shared" ref="C24:C36" si="4">B24*0.15*4</f>
        <v>6</v>
      </c>
      <c r="D24">
        <f t="shared" ref="D24:D27" si="5">C24*2</f>
        <v>12</v>
      </c>
      <c r="E24">
        <f t="shared" ref="E24:E36" si="6">C24</f>
        <v>6</v>
      </c>
      <c r="F24" s="6">
        <f t="shared" ref="F24:F36" si="7">C24/2</f>
        <v>3</v>
      </c>
      <c r="I24">
        <v>2.2000000000000002</v>
      </c>
      <c r="J24">
        <f t="shared" ref="J24:J36" si="8">K24*3</f>
        <v>4.0451991747794525</v>
      </c>
      <c r="K24">
        <f t="shared" ref="K24:K36" si="9">((D24/(I24*3))^0.5)</f>
        <v>1.3483997249264841</v>
      </c>
      <c r="L24">
        <f t="shared" ref="L24:L36" si="10">I24*J24*K24</f>
        <v>12</v>
      </c>
      <c r="M24">
        <f t="shared" ref="M24:M36" si="11">C24/($D$12*24)</f>
        <v>0.5</v>
      </c>
      <c r="N24">
        <f t="shared" ref="N24:N36" si="12">M24/K24</f>
        <v>0.37080992435478316</v>
      </c>
      <c r="O24">
        <f t="shared" ref="O24:O36" si="13">N24/3</f>
        <v>0.12360330811826105</v>
      </c>
      <c r="R24">
        <f t="shared" ref="R24:R36" si="14">(J24-(N24+O24))/3</f>
        <v>1.183595314102136</v>
      </c>
      <c r="T24">
        <f t="shared" ref="T24:T36" si="15">(J24-(R24+O24+N24))/2</f>
        <v>1.1835953141021363</v>
      </c>
      <c r="W24">
        <f t="shared" ref="W24:W36" si="16">N24</f>
        <v>0.37080992435478316</v>
      </c>
      <c r="X24">
        <f t="shared" ref="X24:X36" si="17">W24+O24</f>
        <v>0.4944132324730442</v>
      </c>
      <c r="Y24">
        <f t="shared" ref="Y24:Y36" si="18">X24+R24</f>
        <v>1.6780085465751802</v>
      </c>
      <c r="Z24">
        <f t="shared" ref="Z24:Z36" si="19">Y24+T24</f>
        <v>2.8616038606773166</v>
      </c>
      <c r="AC24">
        <f t="shared" ref="AC24:AC36" si="20">I24+0.3</f>
        <v>2.5</v>
      </c>
      <c r="AD24">
        <f>J24+$AI$20*4</f>
        <v>4.2451991747794526</v>
      </c>
      <c r="AE24">
        <f t="shared" ref="AE24:AE36" si="21">K24</f>
        <v>1.3483997249264841</v>
      </c>
      <c r="AF24">
        <f t="shared" si="1"/>
        <v>14.310563498826877</v>
      </c>
      <c r="AH24">
        <f t="shared" ref="AH24:AH36" si="22">W24</f>
        <v>0.37080992435478316</v>
      </c>
      <c r="AI24">
        <f t="shared" ref="AI24:AI36" si="23">AH24+O24+$AI$20</f>
        <v>0.54441323247304418</v>
      </c>
      <c r="AJ24">
        <f t="shared" ref="AJ24:AJ36" si="24">Y24+$AI$20*2</f>
        <v>1.7780085465751803</v>
      </c>
      <c r="AK24">
        <f t="shared" ref="AK24:AK36" si="25">Z24+$AI$20*3</f>
        <v>3.0116038606773166</v>
      </c>
      <c r="AM24">
        <f t="shared" ref="AM24:AM36" si="26">ROUNDUP(K24/$AR$18,0)</f>
        <v>1</v>
      </c>
      <c r="AN24">
        <f t="shared" ref="AN24:AN36" si="27">(1+AM24)*4</f>
        <v>8</v>
      </c>
      <c r="AO24">
        <f t="shared" si="2"/>
        <v>6.097300252150724</v>
      </c>
      <c r="AQ24">
        <v>6</v>
      </c>
      <c r="AR24">
        <f t="shared" ref="AR24:AR36" si="28">AQ24</f>
        <v>6</v>
      </c>
      <c r="AS24">
        <f t="shared" ref="AS24:AS36" si="29">AC24/$AR$19</f>
        <v>8.3333333333333339</v>
      </c>
      <c r="AT24">
        <f>8*2*AM24</f>
        <v>16</v>
      </c>
      <c r="AU24">
        <f t="shared" ref="AU24:AU36" si="30">AQ24+AR24+AT24</f>
        <v>28</v>
      </c>
      <c r="AW24">
        <f>2*AM24</f>
        <v>2</v>
      </c>
      <c r="AX24">
        <f t="shared" ref="AX24:AX36" si="31">AW24</f>
        <v>2</v>
      </c>
      <c r="AZ24">
        <f t="shared" ref="AZ24:AZ36" si="32">AW24+AX24</f>
        <v>4</v>
      </c>
      <c r="BB24">
        <f t="shared" ref="BB24:BB36" si="33">(PI()*K24/2)*J24+(PI())*(K24/2)^2</f>
        <v>9.9959766250584323</v>
      </c>
      <c r="BE24">
        <f t="shared" si="3"/>
        <v>1</v>
      </c>
    </row>
    <row r="25" spans="2:59" x14ac:dyDescent="0.25">
      <c r="B25">
        <v>20</v>
      </c>
      <c r="C25">
        <f t="shared" si="4"/>
        <v>12</v>
      </c>
      <c r="D25">
        <f t="shared" si="5"/>
        <v>24</v>
      </c>
      <c r="E25">
        <f t="shared" si="6"/>
        <v>12</v>
      </c>
      <c r="F25" s="6">
        <f t="shared" si="7"/>
        <v>6</v>
      </c>
      <c r="I25">
        <v>2.2000000000000002</v>
      </c>
      <c r="J25">
        <f t="shared" si="8"/>
        <v>5.7207755354735541</v>
      </c>
      <c r="K25">
        <f t="shared" si="9"/>
        <v>1.9069251784911847</v>
      </c>
      <c r="L25">
        <f t="shared" si="10"/>
        <v>24.000000000000004</v>
      </c>
      <c r="M25">
        <f t="shared" si="11"/>
        <v>1</v>
      </c>
      <c r="N25">
        <f t="shared" si="12"/>
        <v>0.5244044240850757</v>
      </c>
      <c r="O25">
        <f t="shared" si="13"/>
        <v>0.17480147469502524</v>
      </c>
      <c r="R25">
        <f t="shared" si="14"/>
        <v>1.6738565455644843</v>
      </c>
      <c r="T25">
        <f t="shared" si="15"/>
        <v>1.6738565455644845</v>
      </c>
      <c r="W25">
        <f t="shared" si="16"/>
        <v>0.5244044240850757</v>
      </c>
      <c r="X25">
        <f t="shared" si="17"/>
        <v>0.69920589878010098</v>
      </c>
      <c r="Y25">
        <f t="shared" si="18"/>
        <v>2.3730624443445851</v>
      </c>
      <c r="Z25">
        <f t="shared" si="19"/>
        <v>4.0469189899090701</v>
      </c>
      <c r="AC25">
        <f t="shared" si="20"/>
        <v>2.5</v>
      </c>
      <c r="AD25">
        <f t="shared" ref="AD25:AD36" si="34">J25+$AI$20*4</f>
        <v>5.9207755354735543</v>
      </c>
      <c r="AE25">
        <f t="shared" si="21"/>
        <v>1.9069251784911847</v>
      </c>
      <c r="AF25">
        <f t="shared" si="1"/>
        <v>28.226189861972866</v>
      </c>
      <c r="AH25">
        <f t="shared" si="22"/>
        <v>0.5244044240850757</v>
      </c>
      <c r="AI25">
        <f t="shared" si="23"/>
        <v>0.74920589878010102</v>
      </c>
      <c r="AJ25">
        <f t="shared" si="24"/>
        <v>2.4730624443445852</v>
      </c>
      <c r="AK25">
        <f t="shared" si="25"/>
        <v>4.1969189899090704</v>
      </c>
      <c r="AM25">
        <f t="shared" si="26"/>
        <v>2</v>
      </c>
      <c r="AN25">
        <f t="shared" si="27"/>
        <v>12</v>
      </c>
      <c r="AO25">
        <f t="shared" si="2"/>
        <v>5.5853185863830825</v>
      </c>
      <c r="AQ25">
        <f>6*AM25</f>
        <v>12</v>
      </c>
      <c r="AR25">
        <f t="shared" si="28"/>
        <v>12</v>
      </c>
      <c r="AS25">
        <f t="shared" si="29"/>
        <v>8.3333333333333339</v>
      </c>
      <c r="AT25">
        <f t="shared" ref="AT25:AT36" si="35">8*2*AM25</f>
        <v>32</v>
      </c>
      <c r="AU25">
        <f t="shared" si="30"/>
        <v>56</v>
      </c>
      <c r="AW25">
        <f t="shared" ref="AW25:AW36" si="36">2*AM25</f>
        <v>4</v>
      </c>
      <c r="AX25">
        <f t="shared" si="31"/>
        <v>4</v>
      </c>
      <c r="AZ25">
        <f t="shared" si="32"/>
        <v>8</v>
      </c>
      <c r="BB25">
        <f t="shared" si="33"/>
        <v>19.991953250116865</v>
      </c>
      <c r="BE25">
        <f t="shared" si="3"/>
        <v>1</v>
      </c>
    </row>
    <row r="26" spans="2:59" x14ac:dyDescent="0.25">
      <c r="B26">
        <v>30</v>
      </c>
      <c r="C26">
        <f t="shared" si="4"/>
        <v>18</v>
      </c>
      <c r="D26">
        <f t="shared" si="5"/>
        <v>36</v>
      </c>
      <c r="E26">
        <f t="shared" si="6"/>
        <v>18</v>
      </c>
      <c r="F26" s="6">
        <f t="shared" si="7"/>
        <v>9</v>
      </c>
      <c r="I26">
        <v>2.2000000000000002</v>
      </c>
      <c r="J26">
        <f t="shared" si="8"/>
        <v>7.0064904974537061</v>
      </c>
      <c r="K26">
        <f t="shared" si="9"/>
        <v>2.3354968324845689</v>
      </c>
      <c r="L26">
        <f t="shared" si="10"/>
        <v>36</v>
      </c>
      <c r="M26">
        <f t="shared" si="11"/>
        <v>1.5</v>
      </c>
      <c r="N26">
        <f t="shared" si="12"/>
        <v>0.64226162893325645</v>
      </c>
      <c r="O26">
        <f t="shared" si="13"/>
        <v>0.21408720964441882</v>
      </c>
      <c r="R26">
        <f t="shared" si="14"/>
        <v>2.0500472196253434</v>
      </c>
      <c r="T26">
        <f t="shared" si="15"/>
        <v>2.0500472196253439</v>
      </c>
      <c r="W26">
        <f t="shared" si="16"/>
        <v>0.64226162893325645</v>
      </c>
      <c r="X26">
        <f t="shared" si="17"/>
        <v>0.8563488385776753</v>
      </c>
      <c r="Y26">
        <f t="shared" si="18"/>
        <v>2.9063960582030188</v>
      </c>
      <c r="Z26">
        <f t="shared" si="19"/>
        <v>4.9564432778283631</v>
      </c>
      <c r="AC26">
        <f t="shared" si="20"/>
        <v>2.5</v>
      </c>
      <c r="AD26">
        <f t="shared" si="34"/>
        <v>7.2064904974537063</v>
      </c>
      <c r="AE26">
        <f t="shared" si="21"/>
        <v>2.3354968324845689</v>
      </c>
      <c r="AF26">
        <f t="shared" si="1"/>
        <v>42.076839325333189</v>
      </c>
      <c r="AH26">
        <f t="shared" si="22"/>
        <v>0.64226162893325645</v>
      </c>
      <c r="AI26">
        <f>AH26+O26+$AI$20</f>
        <v>0.90634883857767534</v>
      </c>
      <c r="AJ26">
        <f t="shared" si="24"/>
        <v>3.0063960582030189</v>
      </c>
      <c r="AK26">
        <f t="shared" si="25"/>
        <v>5.1064432778283635</v>
      </c>
      <c r="AM26">
        <f t="shared" si="26"/>
        <v>2</v>
      </c>
      <c r="AN26">
        <f t="shared" si="27"/>
        <v>12</v>
      </c>
      <c r="AO26">
        <f t="shared" si="2"/>
        <v>5.1924612368891454</v>
      </c>
      <c r="AQ26">
        <f t="shared" ref="AQ26:AQ36" si="37">6*AM26</f>
        <v>12</v>
      </c>
      <c r="AR26">
        <f t="shared" si="28"/>
        <v>12</v>
      </c>
      <c r="AS26">
        <f t="shared" si="29"/>
        <v>8.3333333333333339</v>
      </c>
      <c r="AT26">
        <f t="shared" si="35"/>
        <v>32</v>
      </c>
      <c r="AU26">
        <f t="shared" si="30"/>
        <v>56</v>
      </c>
      <c r="AW26">
        <f t="shared" si="36"/>
        <v>4</v>
      </c>
      <c r="AX26">
        <f t="shared" si="31"/>
        <v>4</v>
      </c>
      <c r="AZ26">
        <f t="shared" si="32"/>
        <v>8</v>
      </c>
      <c r="BB26">
        <f t="shared" si="33"/>
        <v>29.987929875175293</v>
      </c>
      <c r="BE26">
        <f t="shared" si="3"/>
        <v>1</v>
      </c>
    </row>
    <row r="27" spans="2:59" x14ac:dyDescent="0.25">
      <c r="B27">
        <v>50</v>
      </c>
      <c r="C27">
        <f t="shared" si="4"/>
        <v>30</v>
      </c>
      <c r="D27">
        <f t="shared" si="5"/>
        <v>60</v>
      </c>
      <c r="E27">
        <f t="shared" si="6"/>
        <v>30</v>
      </c>
      <c r="F27" s="6">
        <f t="shared" si="7"/>
        <v>15</v>
      </c>
      <c r="I27">
        <v>2.2000000000000002</v>
      </c>
      <c r="J27">
        <f t="shared" si="8"/>
        <v>9.0453403373329078</v>
      </c>
      <c r="K27">
        <f t="shared" si="9"/>
        <v>3.0151134457776361</v>
      </c>
      <c r="L27">
        <f t="shared" si="10"/>
        <v>59.999999999999993</v>
      </c>
      <c r="M27">
        <f t="shared" si="11"/>
        <v>2.5</v>
      </c>
      <c r="N27">
        <f t="shared" si="12"/>
        <v>0.82915619758884995</v>
      </c>
      <c r="O27">
        <f t="shared" si="13"/>
        <v>0.2763853991962833</v>
      </c>
      <c r="R27">
        <f t="shared" si="14"/>
        <v>2.6465995801825914</v>
      </c>
      <c r="T27">
        <f t="shared" si="15"/>
        <v>2.6465995801825914</v>
      </c>
      <c r="W27">
        <f t="shared" si="16"/>
        <v>0.82915619758884995</v>
      </c>
      <c r="X27">
        <f t="shared" si="17"/>
        <v>1.1055415967851332</v>
      </c>
      <c r="Y27">
        <f t="shared" si="18"/>
        <v>3.7521411769677249</v>
      </c>
      <c r="Z27">
        <f t="shared" si="19"/>
        <v>6.3987407571503159</v>
      </c>
      <c r="AC27">
        <f t="shared" si="20"/>
        <v>2.5</v>
      </c>
      <c r="AD27">
        <f t="shared" si="34"/>
        <v>9.2453403373329071</v>
      </c>
      <c r="AE27">
        <f t="shared" si="21"/>
        <v>3.0151134457776361</v>
      </c>
      <c r="AF27">
        <f t="shared" si="1"/>
        <v>69.68937490470698</v>
      </c>
      <c r="AH27">
        <f t="shared" si="22"/>
        <v>0.82915619758884995</v>
      </c>
      <c r="AI27">
        <f t="shared" si="23"/>
        <v>1.1555415967851332</v>
      </c>
      <c r="AJ27">
        <f t="shared" si="24"/>
        <v>3.852141176967725</v>
      </c>
      <c r="AK27">
        <f t="shared" si="25"/>
        <v>6.5487407571503162</v>
      </c>
      <c r="AM27">
        <f t="shared" si="26"/>
        <v>2</v>
      </c>
      <c r="AN27">
        <f t="shared" si="27"/>
        <v>12</v>
      </c>
      <c r="AO27">
        <f t="shared" si="2"/>
        <v>4.569479341370501</v>
      </c>
      <c r="AQ27">
        <f t="shared" si="37"/>
        <v>12</v>
      </c>
      <c r="AR27">
        <f t="shared" si="28"/>
        <v>12</v>
      </c>
      <c r="AS27">
        <f t="shared" si="29"/>
        <v>8.3333333333333339</v>
      </c>
      <c r="AT27">
        <f t="shared" si="35"/>
        <v>32</v>
      </c>
      <c r="AU27">
        <f t="shared" si="30"/>
        <v>56</v>
      </c>
      <c r="AW27">
        <f t="shared" si="36"/>
        <v>4</v>
      </c>
      <c r="AX27">
        <f t="shared" si="31"/>
        <v>4</v>
      </c>
      <c r="AZ27">
        <f t="shared" si="32"/>
        <v>8</v>
      </c>
      <c r="BB27">
        <f t="shared" si="33"/>
        <v>49.979883125292154</v>
      </c>
      <c r="BE27">
        <f t="shared" si="3"/>
        <v>1</v>
      </c>
    </row>
    <row r="28" spans="2:59" x14ac:dyDescent="0.25">
      <c r="B28">
        <v>75</v>
      </c>
      <c r="C28">
        <f t="shared" si="4"/>
        <v>45</v>
      </c>
      <c r="D28">
        <f>C28*2</f>
        <v>90</v>
      </c>
      <c r="E28">
        <f t="shared" si="6"/>
        <v>45</v>
      </c>
      <c r="F28" s="6">
        <f t="shared" si="7"/>
        <v>22.5</v>
      </c>
      <c r="I28">
        <v>2.2000000000000002</v>
      </c>
      <c r="J28">
        <f t="shared" si="8"/>
        <v>11.078234188139946</v>
      </c>
      <c r="K28">
        <f t="shared" si="9"/>
        <v>3.692744729379982</v>
      </c>
      <c r="L28">
        <f t="shared" si="10"/>
        <v>90</v>
      </c>
      <c r="M28">
        <f t="shared" si="11"/>
        <v>3.75</v>
      </c>
      <c r="N28">
        <f t="shared" si="12"/>
        <v>1.0155048005794951</v>
      </c>
      <c r="O28">
        <f t="shared" si="13"/>
        <v>0.33850160019316505</v>
      </c>
      <c r="R28">
        <f t="shared" si="14"/>
        <v>3.2414092624557624</v>
      </c>
      <c r="T28">
        <f t="shared" si="15"/>
        <v>3.241409262455762</v>
      </c>
      <c r="W28">
        <f t="shared" si="16"/>
        <v>1.0155048005794951</v>
      </c>
      <c r="X28">
        <f t="shared" si="17"/>
        <v>1.3540064007726602</v>
      </c>
      <c r="Y28">
        <f t="shared" si="18"/>
        <v>4.5954156632284224</v>
      </c>
      <c r="Z28">
        <f t="shared" si="19"/>
        <v>7.8368249256841844</v>
      </c>
      <c r="AC28">
        <f t="shared" si="20"/>
        <v>2.5</v>
      </c>
      <c r="AD28">
        <f t="shared" si="34"/>
        <v>11.278234188139946</v>
      </c>
      <c r="AE28">
        <f t="shared" si="21"/>
        <v>3.692744729379982</v>
      </c>
      <c r="AF28">
        <f t="shared" si="1"/>
        <v>104.11909963741726</v>
      </c>
      <c r="AH28">
        <f t="shared" si="22"/>
        <v>1.0155048005794951</v>
      </c>
      <c r="AI28">
        <f t="shared" si="23"/>
        <v>1.4040064007726603</v>
      </c>
      <c r="AJ28">
        <f t="shared" si="24"/>
        <v>4.6954156632284221</v>
      </c>
      <c r="AK28">
        <f t="shared" si="25"/>
        <v>7.9868249256841848</v>
      </c>
      <c r="AM28">
        <f t="shared" si="26"/>
        <v>3</v>
      </c>
      <c r="AN28">
        <f t="shared" si="27"/>
        <v>16</v>
      </c>
      <c r="AO28">
        <f t="shared" si="2"/>
        <v>3.9483173314016837</v>
      </c>
      <c r="AQ28">
        <f t="shared" si="37"/>
        <v>18</v>
      </c>
      <c r="AR28">
        <f t="shared" si="28"/>
        <v>18</v>
      </c>
      <c r="AS28">
        <f t="shared" si="29"/>
        <v>8.3333333333333339</v>
      </c>
      <c r="AT28">
        <f t="shared" si="35"/>
        <v>48</v>
      </c>
      <c r="AU28">
        <f t="shared" si="30"/>
        <v>84</v>
      </c>
      <c r="AW28">
        <f t="shared" si="36"/>
        <v>6</v>
      </c>
      <c r="AX28">
        <f t="shared" si="31"/>
        <v>6</v>
      </c>
      <c r="AZ28">
        <f t="shared" si="32"/>
        <v>12</v>
      </c>
      <c r="BB28">
        <f t="shared" si="33"/>
        <v>74.969824687938242</v>
      </c>
      <c r="BE28">
        <f t="shared" si="3"/>
        <v>1</v>
      </c>
    </row>
    <row r="29" spans="2:59" x14ac:dyDescent="0.25">
      <c r="B29">
        <v>100</v>
      </c>
      <c r="C29">
        <f t="shared" si="4"/>
        <v>60</v>
      </c>
      <c r="D29">
        <f>C29*2</f>
        <v>120</v>
      </c>
      <c r="E29">
        <f t="shared" si="6"/>
        <v>60</v>
      </c>
      <c r="F29" s="6">
        <f t="shared" si="7"/>
        <v>30</v>
      </c>
      <c r="I29">
        <v>2.2000000000000002</v>
      </c>
      <c r="J29">
        <f t="shared" si="8"/>
        <v>12.792042981336627</v>
      </c>
      <c r="K29">
        <f t="shared" si="9"/>
        <v>4.2640143271122088</v>
      </c>
      <c r="L29">
        <f t="shared" si="10"/>
        <v>120.00000000000001</v>
      </c>
      <c r="M29">
        <f t="shared" si="11"/>
        <v>5</v>
      </c>
      <c r="N29">
        <f t="shared" si="12"/>
        <v>1.1726039399558574</v>
      </c>
      <c r="O29">
        <f t="shared" si="13"/>
        <v>0.39086797998528583</v>
      </c>
      <c r="R29">
        <f t="shared" si="14"/>
        <v>3.742857020465161</v>
      </c>
      <c r="T29">
        <f t="shared" si="15"/>
        <v>3.742857020465161</v>
      </c>
      <c r="W29">
        <f t="shared" si="16"/>
        <v>1.1726039399558574</v>
      </c>
      <c r="X29">
        <f t="shared" si="17"/>
        <v>1.5634719199411433</v>
      </c>
      <c r="Y29">
        <f t="shared" si="18"/>
        <v>5.3063289404063045</v>
      </c>
      <c r="Z29">
        <f t="shared" si="19"/>
        <v>9.0491859608714655</v>
      </c>
      <c r="AC29">
        <f t="shared" si="20"/>
        <v>2.5</v>
      </c>
      <c r="AD29">
        <f t="shared" si="34"/>
        <v>12.992042981336626</v>
      </c>
      <c r="AE29">
        <f t="shared" si="21"/>
        <v>4.2640143271122088</v>
      </c>
      <c r="AF29">
        <f t="shared" si="1"/>
        <v>138.49564352719247</v>
      </c>
      <c r="AH29">
        <f t="shared" si="22"/>
        <v>1.1726039399558574</v>
      </c>
      <c r="AI29">
        <f t="shared" si="23"/>
        <v>1.6134719199411434</v>
      </c>
      <c r="AJ29">
        <f t="shared" si="24"/>
        <v>5.4063289404063042</v>
      </c>
      <c r="AK29">
        <f t="shared" si="25"/>
        <v>9.1991859608714659</v>
      </c>
      <c r="AM29">
        <f t="shared" si="26"/>
        <v>3</v>
      </c>
      <c r="AN29">
        <f t="shared" si="27"/>
        <v>16</v>
      </c>
      <c r="AO29">
        <f t="shared" si="2"/>
        <v>3.424653533480476</v>
      </c>
      <c r="AQ29">
        <f t="shared" si="37"/>
        <v>18</v>
      </c>
      <c r="AR29">
        <f t="shared" si="28"/>
        <v>18</v>
      </c>
      <c r="AS29">
        <f t="shared" si="29"/>
        <v>8.3333333333333339</v>
      </c>
      <c r="AT29">
        <f t="shared" si="35"/>
        <v>48</v>
      </c>
      <c r="AU29">
        <f t="shared" si="30"/>
        <v>84</v>
      </c>
      <c r="AW29">
        <f t="shared" si="36"/>
        <v>6</v>
      </c>
      <c r="AX29">
        <f t="shared" si="31"/>
        <v>6</v>
      </c>
      <c r="AZ29">
        <f t="shared" si="32"/>
        <v>12</v>
      </c>
      <c r="BB29">
        <f t="shared" si="33"/>
        <v>99.959766250584323</v>
      </c>
      <c r="BE29">
        <f t="shared" si="3"/>
        <v>1</v>
      </c>
    </row>
    <row r="30" spans="2:59" x14ac:dyDescent="0.25">
      <c r="B30">
        <v>200</v>
      </c>
      <c r="C30">
        <f>B30*0.15*4</f>
        <v>120</v>
      </c>
      <c r="D30">
        <f t="shared" ref="D30:D36" si="38">C30*2</f>
        <v>240</v>
      </c>
      <c r="E30">
        <f t="shared" si="6"/>
        <v>120</v>
      </c>
      <c r="F30" s="6">
        <f t="shared" si="7"/>
        <v>60</v>
      </c>
      <c r="I30">
        <v>2.2000000000000002</v>
      </c>
      <c r="J30">
        <f t="shared" si="8"/>
        <v>18.090680674665816</v>
      </c>
      <c r="K30">
        <f t="shared" si="9"/>
        <v>6.0302268915552721</v>
      </c>
      <c r="L30">
        <f t="shared" si="10"/>
        <v>239.99999999999997</v>
      </c>
      <c r="M30">
        <f t="shared" si="11"/>
        <v>10</v>
      </c>
      <c r="N30">
        <f t="shared" si="12"/>
        <v>1.6583123951776999</v>
      </c>
      <c r="O30">
        <f t="shared" si="13"/>
        <v>0.5527707983925666</v>
      </c>
      <c r="R30">
        <f t="shared" si="14"/>
        <v>5.2931991603651829</v>
      </c>
      <c r="T30">
        <f t="shared" si="15"/>
        <v>5.2931991603651829</v>
      </c>
      <c r="W30">
        <f t="shared" si="16"/>
        <v>1.6583123951776999</v>
      </c>
      <c r="X30">
        <f t="shared" si="17"/>
        <v>2.2110831935702664</v>
      </c>
      <c r="Y30">
        <f t="shared" si="18"/>
        <v>7.5042823539354497</v>
      </c>
      <c r="Z30">
        <f t="shared" si="19"/>
        <v>12.797481514300632</v>
      </c>
      <c r="AC30">
        <f t="shared" si="20"/>
        <v>2.5</v>
      </c>
      <c r="AD30">
        <f t="shared" si="34"/>
        <v>18.290680674665815</v>
      </c>
      <c r="AE30">
        <f t="shared" si="21"/>
        <v>6.0302268915552721</v>
      </c>
      <c r="AF30">
        <f t="shared" si="1"/>
        <v>275.74238617305031</v>
      </c>
      <c r="AH30">
        <f t="shared" si="22"/>
        <v>1.6583123951776999</v>
      </c>
      <c r="AI30">
        <f t="shared" si="23"/>
        <v>2.2610831935702662</v>
      </c>
      <c r="AJ30">
        <f t="shared" si="24"/>
        <v>7.6042823539354494</v>
      </c>
      <c r="AK30">
        <f t="shared" si="25"/>
        <v>12.947481514300632</v>
      </c>
      <c r="AM30">
        <f t="shared" si="26"/>
        <v>4</v>
      </c>
      <c r="AN30">
        <f t="shared" si="27"/>
        <v>20</v>
      </c>
      <c r="AO30">
        <f t="shared" si="2"/>
        <v>1.8056253494076677</v>
      </c>
      <c r="AQ30">
        <f t="shared" si="37"/>
        <v>24</v>
      </c>
      <c r="AR30">
        <f t="shared" si="28"/>
        <v>24</v>
      </c>
      <c r="AS30">
        <f t="shared" si="29"/>
        <v>8.3333333333333339</v>
      </c>
      <c r="AT30">
        <f t="shared" si="35"/>
        <v>64</v>
      </c>
      <c r="AU30">
        <f t="shared" si="30"/>
        <v>112</v>
      </c>
      <c r="AW30">
        <f t="shared" si="36"/>
        <v>8</v>
      </c>
      <c r="AX30">
        <f t="shared" si="31"/>
        <v>8</v>
      </c>
      <c r="AZ30">
        <f t="shared" si="32"/>
        <v>16</v>
      </c>
      <c r="BB30">
        <f t="shared" si="33"/>
        <v>199.91953250116862</v>
      </c>
      <c r="BE30">
        <f t="shared" si="3"/>
        <v>1</v>
      </c>
    </row>
    <row r="31" spans="2:59" x14ac:dyDescent="0.25">
      <c r="B31">
        <v>300</v>
      </c>
      <c r="C31">
        <f t="shared" si="4"/>
        <v>180</v>
      </c>
      <c r="D31">
        <f t="shared" si="38"/>
        <v>360</v>
      </c>
      <c r="E31">
        <f t="shared" si="6"/>
        <v>180</v>
      </c>
      <c r="F31" s="6">
        <f t="shared" si="7"/>
        <v>90</v>
      </c>
      <c r="I31">
        <v>2.2000000000000002</v>
      </c>
      <c r="J31">
        <f t="shared" si="8"/>
        <v>22.156468376279893</v>
      </c>
      <c r="K31">
        <f t="shared" si="9"/>
        <v>7.385489458759964</v>
      </c>
      <c r="L31">
        <f t="shared" si="10"/>
        <v>360</v>
      </c>
      <c r="M31">
        <f t="shared" si="11"/>
        <v>15</v>
      </c>
      <c r="N31">
        <f t="shared" si="12"/>
        <v>2.0310096011589902</v>
      </c>
      <c r="O31">
        <f t="shared" si="13"/>
        <v>0.67700320038633011</v>
      </c>
      <c r="R31">
        <f t="shared" si="14"/>
        <v>6.4828185249115249</v>
      </c>
      <c r="T31">
        <f t="shared" si="15"/>
        <v>6.482818524911524</v>
      </c>
      <c r="W31">
        <f t="shared" si="16"/>
        <v>2.0310096011589902</v>
      </c>
      <c r="X31">
        <f t="shared" si="17"/>
        <v>2.7080128015453204</v>
      </c>
      <c r="Y31">
        <f t="shared" si="18"/>
        <v>9.1908313264568449</v>
      </c>
      <c r="Z31">
        <f t="shared" si="19"/>
        <v>15.673649851368369</v>
      </c>
      <c r="AC31">
        <f t="shared" si="20"/>
        <v>2.5</v>
      </c>
      <c r="AD31">
        <f t="shared" si="34"/>
        <v>22.356468376279892</v>
      </c>
      <c r="AE31">
        <f t="shared" si="21"/>
        <v>7.385489458759964</v>
      </c>
      <c r="AF31">
        <f t="shared" ref="AF31:AF36" si="39">AC31*AD31*AE31</f>
        <v>412.78365382028909</v>
      </c>
      <c r="AH31">
        <f t="shared" si="22"/>
        <v>2.0310096011589902</v>
      </c>
      <c r="AI31">
        <f t="shared" si="23"/>
        <v>2.7580128015453202</v>
      </c>
      <c r="AJ31">
        <f t="shared" si="24"/>
        <v>9.2908313264568445</v>
      </c>
      <c r="AK31">
        <f t="shared" si="25"/>
        <v>15.823649851368369</v>
      </c>
      <c r="AM31">
        <f t="shared" si="26"/>
        <v>5</v>
      </c>
      <c r="AN31">
        <f t="shared" si="27"/>
        <v>24</v>
      </c>
      <c r="AO31">
        <f t="shared" si="2"/>
        <v>0.56330132947003331</v>
      </c>
      <c r="AQ31">
        <f t="shared" si="37"/>
        <v>30</v>
      </c>
      <c r="AR31">
        <f t="shared" si="28"/>
        <v>30</v>
      </c>
      <c r="AS31">
        <f t="shared" si="29"/>
        <v>8.3333333333333339</v>
      </c>
      <c r="AT31">
        <f t="shared" si="35"/>
        <v>80</v>
      </c>
      <c r="AU31">
        <f t="shared" si="30"/>
        <v>140</v>
      </c>
      <c r="AW31">
        <f t="shared" si="36"/>
        <v>10</v>
      </c>
      <c r="AX31">
        <f t="shared" si="31"/>
        <v>10</v>
      </c>
      <c r="AZ31">
        <f t="shared" si="32"/>
        <v>20</v>
      </c>
      <c r="BB31">
        <f t="shared" si="33"/>
        <v>299.87929875175297</v>
      </c>
      <c r="BE31">
        <f t="shared" si="3"/>
        <v>1</v>
      </c>
    </row>
    <row r="32" spans="2:59" x14ac:dyDescent="0.25">
      <c r="B32">
        <v>400</v>
      </c>
      <c r="C32">
        <f t="shared" si="4"/>
        <v>240</v>
      </c>
      <c r="D32">
        <f t="shared" si="38"/>
        <v>480</v>
      </c>
      <c r="E32">
        <f t="shared" si="6"/>
        <v>240</v>
      </c>
      <c r="F32" s="6">
        <f t="shared" si="7"/>
        <v>120</v>
      </c>
      <c r="I32">
        <v>2.2000000000000002</v>
      </c>
      <c r="J32">
        <f t="shared" si="8"/>
        <v>25.584085962673253</v>
      </c>
      <c r="K32">
        <f t="shared" si="9"/>
        <v>8.5280286542244177</v>
      </c>
      <c r="L32">
        <f t="shared" si="10"/>
        <v>480.00000000000006</v>
      </c>
      <c r="M32">
        <f t="shared" si="11"/>
        <v>20</v>
      </c>
      <c r="N32">
        <f t="shared" si="12"/>
        <v>2.3452078799117149</v>
      </c>
      <c r="O32">
        <f t="shared" si="13"/>
        <v>0.78173595997057166</v>
      </c>
      <c r="R32">
        <f t="shared" si="14"/>
        <v>7.485714040930322</v>
      </c>
      <c r="T32">
        <f t="shared" si="15"/>
        <v>7.485714040930322</v>
      </c>
      <c r="W32">
        <f t="shared" si="16"/>
        <v>2.3452078799117149</v>
      </c>
      <c r="X32">
        <f t="shared" si="17"/>
        <v>3.1269438398822866</v>
      </c>
      <c r="Y32">
        <f t="shared" si="18"/>
        <v>10.612657880812609</v>
      </c>
      <c r="Z32">
        <f t="shared" si="19"/>
        <v>18.098371921742931</v>
      </c>
      <c r="AC32">
        <f t="shared" si="20"/>
        <v>2.5</v>
      </c>
      <c r="AD32">
        <f t="shared" si="34"/>
        <v>25.784085962673252</v>
      </c>
      <c r="AE32">
        <f t="shared" si="21"/>
        <v>8.5280286542244177</v>
      </c>
      <c r="AF32">
        <f t="shared" si="39"/>
        <v>549.71855978165775</v>
      </c>
      <c r="AH32">
        <f t="shared" si="22"/>
        <v>2.3452078799117149</v>
      </c>
      <c r="AI32">
        <f t="shared" si="23"/>
        <v>3.1769438398822865</v>
      </c>
      <c r="AJ32">
        <f t="shared" si="24"/>
        <v>10.712657880812609</v>
      </c>
      <c r="AK32">
        <f t="shared" si="25"/>
        <v>18.24837192174293</v>
      </c>
      <c r="AM32">
        <f t="shared" si="26"/>
        <v>5</v>
      </c>
      <c r="AN32">
        <f t="shared" si="27"/>
        <v>24</v>
      </c>
      <c r="AO32">
        <f t="shared" si="2"/>
        <v>-0.48402626637238233</v>
      </c>
      <c r="AQ32">
        <f t="shared" si="37"/>
        <v>30</v>
      </c>
      <c r="AR32">
        <f t="shared" si="28"/>
        <v>30</v>
      </c>
      <c r="AS32">
        <f t="shared" si="29"/>
        <v>8.3333333333333339</v>
      </c>
      <c r="AT32">
        <f t="shared" si="35"/>
        <v>80</v>
      </c>
      <c r="AU32">
        <f t="shared" si="30"/>
        <v>140</v>
      </c>
      <c r="AW32">
        <f t="shared" si="36"/>
        <v>10</v>
      </c>
      <c r="AX32">
        <f t="shared" si="31"/>
        <v>10</v>
      </c>
      <c r="AZ32">
        <f t="shared" si="32"/>
        <v>20</v>
      </c>
      <c r="BB32">
        <f t="shared" si="33"/>
        <v>399.83906500233729</v>
      </c>
      <c r="BE32">
        <f t="shared" si="3"/>
        <v>1</v>
      </c>
    </row>
    <row r="33" spans="2:57" x14ac:dyDescent="0.25">
      <c r="B33">
        <v>500</v>
      </c>
      <c r="C33">
        <f t="shared" si="4"/>
        <v>300</v>
      </c>
      <c r="D33">
        <f t="shared" si="38"/>
        <v>600</v>
      </c>
      <c r="E33">
        <f t="shared" si="6"/>
        <v>300</v>
      </c>
      <c r="F33" s="6">
        <f t="shared" si="7"/>
        <v>150</v>
      </c>
      <c r="I33">
        <v>2.2000000000000002</v>
      </c>
      <c r="J33">
        <f t="shared" si="8"/>
        <v>28.60387767736777</v>
      </c>
      <c r="K33">
        <f t="shared" si="9"/>
        <v>9.5346258924559226</v>
      </c>
      <c r="L33">
        <f t="shared" si="10"/>
        <v>600</v>
      </c>
      <c r="M33">
        <f t="shared" si="11"/>
        <v>25</v>
      </c>
      <c r="N33">
        <f>M33/K33</f>
        <v>2.6220221204253789</v>
      </c>
      <c r="O33">
        <f t="shared" si="13"/>
        <v>0.87400737347512625</v>
      </c>
      <c r="R33">
        <f t="shared" si="14"/>
        <v>8.3692827278224211</v>
      </c>
      <c r="T33">
        <f t="shared" si="15"/>
        <v>8.3692827278224211</v>
      </c>
      <c r="W33">
        <f t="shared" si="16"/>
        <v>2.6220221204253789</v>
      </c>
      <c r="X33">
        <f t="shared" si="17"/>
        <v>3.496029493900505</v>
      </c>
      <c r="Y33">
        <f t="shared" si="18"/>
        <v>11.865312221722926</v>
      </c>
      <c r="Z33">
        <f t="shared" si="19"/>
        <v>20.234594949545347</v>
      </c>
      <c r="AC33">
        <f t="shared" si="20"/>
        <v>2.5</v>
      </c>
      <c r="AD33">
        <f t="shared" si="34"/>
        <v>28.803877677367769</v>
      </c>
      <c r="AE33">
        <f t="shared" si="21"/>
        <v>9.5346258924559226</v>
      </c>
      <c r="AF33">
        <f t="shared" si="39"/>
        <v>686.58549476440976</v>
      </c>
      <c r="AH33">
        <f t="shared" si="22"/>
        <v>2.6220221204253789</v>
      </c>
      <c r="AI33">
        <f t="shared" si="23"/>
        <v>3.5460294939005048</v>
      </c>
      <c r="AJ33">
        <f t="shared" si="24"/>
        <v>11.965312221722925</v>
      </c>
      <c r="AK33">
        <f t="shared" si="25"/>
        <v>20.384594949545345</v>
      </c>
      <c r="AM33">
        <f t="shared" si="26"/>
        <v>6</v>
      </c>
      <c r="AN33">
        <f t="shared" si="27"/>
        <v>28</v>
      </c>
      <c r="AO33">
        <f t="shared" si="2"/>
        <v>-1.406740401417929</v>
      </c>
      <c r="AQ33">
        <f t="shared" si="37"/>
        <v>36</v>
      </c>
      <c r="AR33">
        <f t="shared" si="28"/>
        <v>36</v>
      </c>
      <c r="AS33">
        <f t="shared" si="29"/>
        <v>8.3333333333333339</v>
      </c>
      <c r="AT33">
        <f t="shared" si="35"/>
        <v>96</v>
      </c>
      <c r="AU33">
        <f t="shared" si="30"/>
        <v>168</v>
      </c>
      <c r="AW33">
        <f t="shared" si="36"/>
        <v>12</v>
      </c>
      <c r="AX33">
        <f t="shared" si="31"/>
        <v>12</v>
      </c>
      <c r="AZ33">
        <f t="shared" si="32"/>
        <v>24</v>
      </c>
      <c r="BB33">
        <f t="shared" si="33"/>
        <v>499.79883125292162</v>
      </c>
      <c r="BE33">
        <f t="shared" si="3"/>
        <v>1</v>
      </c>
    </row>
    <row r="34" spans="2:57" x14ac:dyDescent="0.25">
      <c r="B34">
        <v>600</v>
      </c>
      <c r="C34">
        <f t="shared" si="4"/>
        <v>360</v>
      </c>
      <c r="D34">
        <f t="shared" si="38"/>
        <v>720</v>
      </c>
      <c r="E34">
        <f t="shared" si="6"/>
        <v>360</v>
      </c>
      <c r="F34" s="6">
        <f t="shared" si="7"/>
        <v>180</v>
      </c>
      <c r="I34">
        <v>2.2000000000000002</v>
      </c>
      <c r="J34">
        <f t="shared" si="8"/>
        <v>31.333978072025609</v>
      </c>
      <c r="K34">
        <f t="shared" si="9"/>
        <v>10.44465935734187</v>
      </c>
      <c r="L34">
        <f t="shared" si="10"/>
        <v>720</v>
      </c>
      <c r="M34">
        <f t="shared" si="11"/>
        <v>30</v>
      </c>
      <c r="N34">
        <f t="shared" si="12"/>
        <v>2.8722813232690143</v>
      </c>
      <c r="O34">
        <f t="shared" si="13"/>
        <v>0.9574271077563381</v>
      </c>
      <c r="R34">
        <f t="shared" si="14"/>
        <v>9.1680898803334188</v>
      </c>
      <c r="T34">
        <f t="shared" si="15"/>
        <v>9.1680898803334188</v>
      </c>
      <c r="W34">
        <f t="shared" si="16"/>
        <v>2.8722813232690143</v>
      </c>
      <c r="X34">
        <f t="shared" si="17"/>
        <v>3.8297084310253524</v>
      </c>
      <c r="Y34">
        <f t="shared" si="18"/>
        <v>12.997798311358771</v>
      </c>
      <c r="Z34">
        <f t="shared" si="19"/>
        <v>22.16588819169219</v>
      </c>
      <c r="AC34">
        <f t="shared" si="20"/>
        <v>2.5</v>
      </c>
      <c r="AD34">
        <f t="shared" si="34"/>
        <v>31.533978072025608</v>
      </c>
      <c r="AE34">
        <f t="shared" si="21"/>
        <v>10.44465935734187</v>
      </c>
      <c r="AF34">
        <f t="shared" si="39"/>
        <v>823.40414786048905</v>
      </c>
      <c r="AH34">
        <f t="shared" si="22"/>
        <v>2.8722813232690143</v>
      </c>
      <c r="AI34">
        <f t="shared" si="23"/>
        <v>3.8797084310253522</v>
      </c>
      <c r="AJ34">
        <f t="shared" si="24"/>
        <v>13.097798311358771</v>
      </c>
      <c r="AK34">
        <f t="shared" si="25"/>
        <v>22.315888191692189</v>
      </c>
      <c r="AM34">
        <f t="shared" si="26"/>
        <v>6</v>
      </c>
      <c r="AN34">
        <f t="shared" si="27"/>
        <v>28</v>
      </c>
      <c r="AO34">
        <f t="shared" si="2"/>
        <v>-2.2409377442300471</v>
      </c>
      <c r="AQ34">
        <f t="shared" si="37"/>
        <v>36</v>
      </c>
      <c r="AR34">
        <f t="shared" si="28"/>
        <v>36</v>
      </c>
      <c r="AS34">
        <f t="shared" si="29"/>
        <v>8.3333333333333339</v>
      </c>
      <c r="AT34">
        <f t="shared" si="35"/>
        <v>96</v>
      </c>
      <c r="AU34">
        <f t="shared" si="30"/>
        <v>168</v>
      </c>
      <c r="AW34">
        <f t="shared" si="36"/>
        <v>12</v>
      </c>
      <c r="AX34">
        <f t="shared" si="31"/>
        <v>12</v>
      </c>
      <c r="AZ34">
        <f t="shared" si="32"/>
        <v>24</v>
      </c>
      <c r="BB34">
        <f t="shared" si="33"/>
        <v>599.75859750350594</v>
      </c>
      <c r="BE34">
        <f t="shared" si="3"/>
        <v>1</v>
      </c>
    </row>
    <row r="35" spans="2:57" x14ac:dyDescent="0.25">
      <c r="B35">
        <v>800</v>
      </c>
      <c r="C35">
        <f t="shared" si="4"/>
        <v>480</v>
      </c>
      <c r="D35">
        <f t="shared" si="38"/>
        <v>960</v>
      </c>
      <c r="E35">
        <f t="shared" si="6"/>
        <v>480</v>
      </c>
      <c r="F35" s="6">
        <f t="shared" si="7"/>
        <v>240</v>
      </c>
      <c r="I35">
        <v>2.2000000000000002</v>
      </c>
      <c r="J35">
        <f t="shared" si="8"/>
        <v>36.181361349331631</v>
      </c>
      <c r="K35">
        <f t="shared" si="9"/>
        <v>12.060453783110544</v>
      </c>
      <c r="L35">
        <f t="shared" si="10"/>
        <v>959.99999999999989</v>
      </c>
      <c r="M35">
        <f t="shared" si="11"/>
        <v>40</v>
      </c>
      <c r="N35">
        <f t="shared" si="12"/>
        <v>3.3166247903553998</v>
      </c>
      <c r="O35">
        <f t="shared" si="13"/>
        <v>1.1055415967851332</v>
      </c>
      <c r="R35">
        <f t="shared" si="14"/>
        <v>10.586398320730366</v>
      </c>
      <c r="T35">
        <f t="shared" si="15"/>
        <v>10.586398320730366</v>
      </c>
      <c r="W35">
        <f t="shared" si="16"/>
        <v>3.3166247903553998</v>
      </c>
      <c r="X35">
        <f t="shared" si="17"/>
        <v>4.4221663871405328</v>
      </c>
      <c r="Y35">
        <f t="shared" si="18"/>
        <v>15.008564707870899</v>
      </c>
      <c r="Z35">
        <f t="shared" si="19"/>
        <v>25.594963028601263</v>
      </c>
      <c r="AC35">
        <f t="shared" si="20"/>
        <v>2.5</v>
      </c>
      <c r="AD35">
        <f t="shared" si="34"/>
        <v>36.381361349331634</v>
      </c>
      <c r="AE35">
        <f t="shared" si="21"/>
        <v>12.060453783110544</v>
      </c>
      <c r="AF35">
        <f t="shared" si="39"/>
        <v>1096.939317800646</v>
      </c>
      <c r="AH35">
        <f t="shared" si="22"/>
        <v>3.3166247903553998</v>
      </c>
      <c r="AI35">
        <f t="shared" si="23"/>
        <v>4.4721663871405326</v>
      </c>
      <c r="AJ35">
        <f t="shared" si="24"/>
        <v>15.108564707870899</v>
      </c>
      <c r="AK35">
        <f t="shared" si="25"/>
        <v>25.744963028601262</v>
      </c>
      <c r="AM35">
        <f t="shared" si="26"/>
        <v>7</v>
      </c>
      <c r="AN35">
        <f t="shared" si="27"/>
        <v>32</v>
      </c>
      <c r="AO35">
        <f t="shared" si="2"/>
        <v>-3.7220826345179989</v>
      </c>
      <c r="AQ35">
        <f t="shared" si="37"/>
        <v>42</v>
      </c>
      <c r="AR35">
        <f t="shared" si="28"/>
        <v>42</v>
      </c>
      <c r="AS35">
        <f t="shared" si="29"/>
        <v>8.3333333333333339</v>
      </c>
      <c r="AT35">
        <f t="shared" si="35"/>
        <v>112</v>
      </c>
      <c r="AU35">
        <f t="shared" si="30"/>
        <v>196</v>
      </c>
      <c r="AW35">
        <f t="shared" si="36"/>
        <v>14</v>
      </c>
      <c r="AX35">
        <f t="shared" si="31"/>
        <v>14</v>
      </c>
      <c r="AZ35">
        <f t="shared" si="32"/>
        <v>28</v>
      </c>
      <c r="BB35">
        <f t="shared" si="33"/>
        <v>799.67813000467447</v>
      </c>
      <c r="BE35">
        <f t="shared" si="3"/>
        <v>1</v>
      </c>
    </row>
    <row r="36" spans="2:57" x14ac:dyDescent="0.25">
      <c r="B36">
        <v>1000</v>
      </c>
      <c r="C36">
        <f t="shared" si="4"/>
        <v>600</v>
      </c>
      <c r="D36">
        <f t="shared" si="38"/>
        <v>1200</v>
      </c>
      <c r="E36">
        <f t="shared" si="6"/>
        <v>600</v>
      </c>
      <c r="F36" s="6">
        <f t="shared" si="7"/>
        <v>300</v>
      </c>
      <c r="I36">
        <v>2.2000000000000002</v>
      </c>
      <c r="J36">
        <f t="shared" si="8"/>
        <v>40.451991747794523</v>
      </c>
      <c r="K36">
        <f t="shared" si="9"/>
        <v>13.483997249264842</v>
      </c>
      <c r="L36">
        <f t="shared" si="10"/>
        <v>1200</v>
      </c>
      <c r="M36">
        <f t="shared" si="11"/>
        <v>50</v>
      </c>
      <c r="N36">
        <f t="shared" si="12"/>
        <v>3.7080992435478315</v>
      </c>
      <c r="O36">
        <f t="shared" si="13"/>
        <v>1.2360330811826106</v>
      </c>
      <c r="R36">
        <f t="shared" si="14"/>
        <v>11.835953141021362</v>
      </c>
      <c r="T36">
        <f t="shared" si="15"/>
        <v>11.83595314102136</v>
      </c>
      <c r="W36">
        <f t="shared" si="16"/>
        <v>3.7080992435478315</v>
      </c>
      <c r="X36">
        <f t="shared" si="17"/>
        <v>4.9441323247304423</v>
      </c>
      <c r="Y36">
        <f t="shared" si="18"/>
        <v>16.780085465751803</v>
      </c>
      <c r="Z36">
        <f t="shared" si="19"/>
        <v>28.616038606773163</v>
      </c>
      <c r="AC36">
        <f t="shared" si="20"/>
        <v>2.5</v>
      </c>
      <c r="AD36">
        <f t="shared" si="34"/>
        <v>40.651991747794526</v>
      </c>
      <c r="AE36">
        <f t="shared" si="21"/>
        <v>13.483997249264842</v>
      </c>
      <c r="AF36">
        <f t="shared" si="39"/>
        <v>1370.378362260996</v>
      </c>
      <c r="AH36">
        <f t="shared" si="22"/>
        <v>3.7080992435478315</v>
      </c>
      <c r="AI36">
        <f t="shared" si="23"/>
        <v>4.9941323247304421</v>
      </c>
      <c r="AJ36">
        <f t="shared" si="24"/>
        <v>16.880085465751804</v>
      </c>
      <c r="AK36">
        <f t="shared" si="25"/>
        <v>28.766038606773161</v>
      </c>
      <c r="AM36">
        <f t="shared" si="26"/>
        <v>8</v>
      </c>
      <c r="AN36">
        <f t="shared" si="27"/>
        <v>36</v>
      </c>
      <c r="AO36">
        <f t="shared" si="2"/>
        <v>-5.0269974784927713</v>
      </c>
      <c r="AQ36">
        <f t="shared" si="37"/>
        <v>48</v>
      </c>
      <c r="AR36">
        <f t="shared" si="28"/>
        <v>48</v>
      </c>
      <c r="AS36">
        <f t="shared" si="29"/>
        <v>8.3333333333333339</v>
      </c>
      <c r="AT36">
        <f t="shared" si="35"/>
        <v>128</v>
      </c>
      <c r="AU36">
        <f t="shared" si="30"/>
        <v>224</v>
      </c>
      <c r="AW36">
        <f t="shared" si="36"/>
        <v>16</v>
      </c>
      <c r="AX36">
        <f t="shared" si="31"/>
        <v>16</v>
      </c>
      <c r="AZ36">
        <f t="shared" si="32"/>
        <v>32</v>
      </c>
      <c r="BB36">
        <f t="shared" si="33"/>
        <v>999.59766250584335</v>
      </c>
      <c r="BE36">
        <f t="shared" si="3"/>
        <v>1</v>
      </c>
    </row>
    <row r="39" spans="2:57" x14ac:dyDescent="0.25">
      <c r="I39" t="s">
        <v>564</v>
      </c>
      <c r="AC39" t="s">
        <v>1035</v>
      </c>
    </row>
    <row r="40" spans="2:57" x14ac:dyDescent="0.25">
      <c r="I40" t="s">
        <v>1036</v>
      </c>
      <c r="J40" t="s">
        <v>709</v>
      </c>
      <c r="K40" t="s">
        <v>116</v>
      </c>
      <c r="M40" t="s">
        <v>1028</v>
      </c>
      <c r="N40" t="s">
        <v>1024</v>
      </c>
      <c r="O40" t="s">
        <v>1029</v>
      </c>
      <c r="R40" t="s">
        <v>1030</v>
      </c>
      <c r="T40" t="s">
        <v>1030</v>
      </c>
      <c r="W40" t="s">
        <v>1031</v>
      </c>
      <c r="X40" t="s">
        <v>1032</v>
      </c>
      <c r="Y40" t="s">
        <v>1033</v>
      </c>
      <c r="Z40" t="s">
        <v>1034</v>
      </c>
      <c r="AC40" t="s">
        <v>1014</v>
      </c>
      <c r="AD40" t="s">
        <v>709</v>
      </c>
      <c r="AE40" t="s">
        <v>116</v>
      </c>
      <c r="AH40" t="s">
        <v>1031</v>
      </c>
      <c r="AI40" t="s">
        <v>1032</v>
      </c>
      <c r="AJ40" t="s">
        <v>1033</v>
      </c>
      <c r="AK40" t="s">
        <v>1034</v>
      </c>
      <c r="AM40" t="s">
        <v>261</v>
      </c>
      <c r="AN40" t="s">
        <v>125</v>
      </c>
      <c r="BB40" t="s">
        <v>1079</v>
      </c>
      <c r="BE40" t="s">
        <v>618</v>
      </c>
    </row>
    <row r="41" spans="2:57" x14ac:dyDescent="0.25">
      <c r="I41">
        <v>1.5</v>
      </c>
      <c r="J41">
        <f>K41*3</f>
        <v>2.4494897427831779</v>
      </c>
      <c r="K41">
        <f>((E23/(I41*3))^0.5)</f>
        <v>0.81649658092772603</v>
      </c>
      <c r="M41">
        <f>C23/($D$12*24)</f>
        <v>0.25</v>
      </c>
      <c r="N41">
        <f>M41/K41</f>
        <v>0.30618621784789724</v>
      </c>
      <c r="O41">
        <f t="shared" ref="O41:O54" si="40">N41/3</f>
        <v>0.10206207261596574</v>
      </c>
      <c r="R41">
        <f>(J41-(N41+O41))/3</f>
        <v>0.68041381743977158</v>
      </c>
      <c r="T41">
        <f>(J41-(R41+O41+N41))/2</f>
        <v>0.68041381743977158</v>
      </c>
      <c r="W41">
        <f>N41</f>
        <v>0.30618621784789724</v>
      </c>
      <c r="X41">
        <f>W41+O41</f>
        <v>0.40824829046386296</v>
      </c>
      <c r="Y41">
        <f>X41+R41</f>
        <v>1.0886621079036345</v>
      </c>
      <c r="Z41">
        <f>Y41+T41</f>
        <v>1.7690759253434061</v>
      </c>
      <c r="AC41">
        <f>I41+0.3</f>
        <v>1.8</v>
      </c>
      <c r="AD41">
        <f>J41+$AI$20*4</f>
        <v>2.6494897427831781</v>
      </c>
      <c r="AE41">
        <f>K41</f>
        <v>0.81649658092772603</v>
      </c>
      <c r="AF41">
        <f t="shared" ref="AF41:AF54" si="41">AC41*AD41*AE41</f>
        <v>3.8939387691339817</v>
      </c>
      <c r="AH41">
        <f>W41</f>
        <v>0.30618621784789724</v>
      </c>
      <c r="AI41">
        <f>AH41+O41+$AI$20</f>
        <v>0.45824829046386295</v>
      </c>
      <c r="AJ41">
        <f>Y41+$AI$20*2</f>
        <v>1.1886621079036346</v>
      </c>
      <c r="AK41">
        <f>Z41+$AI$20*3</f>
        <v>1.9190759253434062</v>
      </c>
      <c r="AM41">
        <f>ROUNDUP(K41/$AR$18,0)</f>
        <v>1</v>
      </c>
      <c r="AN41">
        <f>(1+AM41)*4</f>
        <v>8</v>
      </c>
      <c r="AO41">
        <f t="shared" ref="AO41:AO54" si="42">(I41-N41)/$AR$19</f>
        <v>3.9793792738403422</v>
      </c>
      <c r="AQ41">
        <v>3</v>
      </c>
      <c r="AR41">
        <f>AQ41</f>
        <v>3</v>
      </c>
      <c r="AS41">
        <f>AC41/$AR$19</f>
        <v>6</v>
      </c>
      <c r="AT41">
        <f>AS41*AM41</f>
        <v>6</v>
      </c>
      <c r="AU41">
        <f>AQ41+AR41+AT41</f>
        <v>12</v>
      </c>
      <c r="AW41">
        <v>2</v>
      </c>
      <c r="AX41">
        <f>AW41</f>
        <v>2</v>
      </c>
      <c r="AZ41">
        <f>AW41+AX41</f>
        <v>4</v>
      </c>
      <c r="BB41">
        <f>(PI()*K41/2)*J41+(PI())*(K41/2)^2</f>
        <v>3.6651914291880918</v>
      </c>
      <c r="BE41">
        <f t="shared" ref="BE41:BE54" si="43">ROUNDUP(K41/25,0)</f>
        <v>1</v>
      </c>
    </row>
    <row r="42" spans="2:57" x14ac:dyDescent="0.25">
      <c r="I42">
        <v>2.2000000000000002</v>
      </c>
      <c r="J42">
        <f t="shared" ref="J42:J54" si="44">K42*3</f>
        <v>2.8603877677367771</v>
      </c>
      <c r="K42">
        <f t="shared" ref="K42:K54" si="45">((E24/(I42*3))^0.5)</f>
        <v>0.95346258924559235</v>
      </c>
      <c r="M42">
        <f t="shared" ref="M42:M54" si="46">C24/($D$12*24)</f>
        <v>0.5</v>
      </c>
      <c r="N42">
        <f t="shared" ref="N42:N54" si="47">M42/K42</f>
        <v>0.5244044240850757</v>
      </c>
      <c r="O42">
        <f t="shared" si="40"/>
        <v>0.17480147469502524</v>
      </c>
      <c r="R42">
        <f t="shared" ref="R42:R54" si="48">(J42-(N42+O42))/3</f>
        <v>0.72039395631889203</v>
      </c>
      <c r="T42">
        <f t="shared" ref="T42:T54" si="49">(J42-(R42+O42+N42))/2</f>
        <v>0.72039395631889203</v>
      </c>
      <c r="W42">
        <f t="shared" ref="W42:W54" si="50">N42</f>
        <v>0.5244044240850757</v>
      </c>
      <c r="X42">
        <f t="shared" ref="X42:X54" si="51">W42+O42</f>
        <v>0.69920589878010098</v>
      </c>
      <c r="Y42">
        <f t="shared" ref="Y42:Y54" si="52">X42+R42</f>
        <v>1.419599855098993</v>
      </c>
      <c r="Z42">
        <f t="shared" ref="Z42:Z54" si="53">Y42+T42</f>
        <v>2.1399938114178849</v>
      </c>
      <c r="AC42">
        <f t="shared" ref="AC42:AC54" si="54">I42+0.3</f>
        <v>2.5</v>
      </c>
      <c r="AD42">
        <f t="shared" ref="AD42:AD54" si="55">J42+$AI$20*4</f>
        <v>3.0603877677367772</v>
      </c>
      <c r="AE42">
        <f t="shared" ref="AE42:AE54" si="56">K42</f>
        <v>0.95346258924559235</v>
      </c>
      <c r="AF42">
        <f t="shared" si="41"/>
        <v>7.2949131128046156</v>
      </c>
      <c r="AH42">
        <f t="shared" ref="AH42:AH54" si="57">W42</f>
        <v>0.5244044240850757</v>
      </c>
      <c r="AI42">
        <f t="shared" ref="AI42:AI43" si="58">AH42+O42+$AI$20</f>
        <v>0.74920589878010102</v>
      </c>
      <c r="AJ42">
        <f t="shared" ref="AJ42:AJ54" si="59">Y42+$AI$20*2</f>
        <v>1.5195998550989931</v>
      </c>
      <c r="AK42">
        <f t="shared" ref="AK42:AK54" si="60">Z42+$AI$20*3</f>
        <v>2.2899938114178848</v>
      </c>
      <c r="AM42">
        <f t="shared" ref="AM42:AM54" si="61">ROUNDUP(K42/$AR$18,0)</f>
        <v>1</v>
      </c>
      <c r="AN42">
        <f t="shared" ref="AN42:AN54" si="62">(1+AM42)*4</f>
        <v>8</v>
      </c>
      <c r="AO42">
        <f t="shared" si="42"/>
        <v>5.5853185863830825</v>
      </c>
      <c r="AQ42">
        <f>5*AM42</f>
        <v>5</v>
      </c>
      <c r="AR42">
        <f t="shared" ref="AR42:AR54" si="63">AQ42</f>
        <v>5</v>
      </c>
      <c r="AS42">
        <f t="shared" ref="AS42:AS54" si="64">AC42/$AR$19</f>
        <v>8.3333333333333339</v>
      </c>
      <c r="AT42">
        <f>8*2*AM42</f>
        <v>16</v>
      </c>
      <c r="AU42">
        <f t="shared" ref="AU42:AU54" si="65">AQ42+AR42+AT42</f>
        <v>26</v>
      </c>
      <c r="AW42">
        <f>1*AM42</f>
        <v>1</v>
      </c>
      <c r="AX42">
        <f t="shared" ref="AX42:AX54" si="66">AW42</f>
        <v>1</v>
      </c>
      <c r="AZ42">
        <f t="shared" ref="AZ42:AZ54" si="67">AW42+AX42</f>
        <v>2</v>
      </c>
      <c r="BB42">
        <f t="shared" ref="BB42:BB54" si="68">(PI()*K42/2)*J42+(PI())*(K42/2)^2</f>
        <v>4.9979883125292162</v>
      </c>
      <c r="BE42">
        <f t="shared" si="43"/>
        <v>1</v>
      </c>
    </row>
    <row r="43" spans="2:57" x14ac:dyDescent="0.25">
      <c r="I43">
        <v>2.2000000000000002</v>
      </c>
      <c r="J43">
        <f t="shared" si="44"/>
        <v>4.0451991747794525</v>
      </c>
      <c r="K43">
        <f t="shared" si="45"/>
        <v>1.3483997249264841</v>
      </c>
      <c r="M43">
        <f t="shared" si="46"/>
        <v>1</v>
      </c>
      <c r="N43">
        <f t="shared" si="47"/>
        <v>0.74161984870956632</v>
      </c>
      <c r="O43">
        <f t="shared" si="40"/>
        <v>0.2472066162365221</v>
      </c>
      <c r="R43">
        <f t="shared" si="48"/>
        <v>1.018790903277788</v>
      </c>
      <c r="T43">
        <f t="shared" si="49"/>
        <v>1.018790903277788</v>
      </c>
      <c r="W43">
        <f t="shared" si="50"/>
        <v>0.74161984870956632</v>
      </c>
      <c r="X43">
        <f t="shared" si="51"/>
        <v>0.98882646494608839</v>
      </c>
      <c r="Y43">
        <f t="shared" si="52"/>
        <v>2.0076173682238765</v>
      </c>
      <c r="Z43">
        <f t="shared" si="53"/>
        <v>3.0264082715016647</v>
      </c>
      <c r="AC43">
        <f t="shared" si="54"/>
        <v>2.5</v>
      </c>
      <c r="AD43">
        <f t="shared" si="55"/>
        <v>4.2451991747794526</v>
      </c>
      <c r="AE43">
        <f t="shared" si="56"/>
        <v>1.3483997249264841</v>
      </c>
      <c r="AF43">
        <f t="shared" si="41"/>
        <v>14.310563498826877</v>
      </c>
      <c r="AH43">
        <f t="shared" si="57"/>
        <v>0.74161984870956632</v>
      </c>
      <c r="AI43">
        <f t="shared" si="58"/>
        <v>1.0388264649460883</v>
      </c>
      <c r="AJ43">
        <f t="shared" si="59"/>
        <v>2.1076173682238766</v>
      </c>
      <c r="AK43">
        <f t="shared" si="60"/>
        <v>3.1764082715016646</v>
      </c>
      <c r="AM43">
        <f t="shared" si="61"/>
        <v>1</v>
      </c>
      <c r="AN43">
        <f t="shared" si="62"/>
        <v>8</v>
      </c>
      <c r="AO43">
        <f t="shared" si="42"/>
        <v>4.8612671709681132</v>
      </c>
      <c r="AQ43">
        <f t="shared" ref="AQ43:AQ54" si="69">5*AM43</f>
        <v>5</v>
      </c>
      <c r="AR43">
        <f t="shared" si="63"/>
        <v>5</v>
      </c>
      <c r="AS43">
        <f t="shared" si="64"/>
        <v>8.3333333333333339</v>
      </c>
      <c r="AT43">
        <f t="shared" ref="AT43:AT54" si="70">8*2*AM43</f>
        <v>16</v>
      </c>
      <c r="AU43">
        <f t="shared" si="65"/>
        <v>26</v>
      </c>
      <c r="AW43">
        <f t="shared" ref="AW43:AW54" si="71">1*AM43</f>
        <v>1</v>
      </c>
      <c r="AX43">
        <f t="shared" si="66"/>
        <v>1</v>
      </c>
      <c r="AZ43">
        <f t="shared" si="67"/>
        <v>2</v>
      </c>
      <c r="BB43">
        <f t="shared" si="68"/>
        <v>9.9959766250584323</v>
      </c>
      <c r="BE43">
        <f t="shared" si="43"/>
        <v>1</v>
      </c>
    </row>
    <row r="44" spans="2:57" x14ac:dyDescent="0.25">
      <c r="I44">
        <v>2.2000000000000002</v>
      </c>
      <c r="J44">
        <f t="shared" si="44"/>
        <v>4.9543369430686228</v>
      </c>
      <c r="K44">
        <f t="shared" si="45"/>
        <v>1.6514456476895409</v>
      </c>
      <c r="M44">
        <f t="shared" si="46"/>
        <v>1.5</v>
      </c>
      <c r="N44">
        <f t="shared" si="47"/>
        <v>0.90829510622924747</v>
      </c>
      <c r="O44">
        <f t="shared" si="40"/>
        <v>0.30276503540974914</v>
      </c>
      <c r="R44">
        <f t="shared" si="48"/>
        <v>1.2477589338098756</v>
      </c>
      <c r="T44">
        <f t="shared" si="49"/>
        <v>1.2477589338098753</v>
      </c>
      <c r="W44">
        <f t="shared" si="50"/>
        <v>0.90829510622924747</v>
      </c>
      <c r="X44">
        <f t="shared" si="51"/>
        <v>1.2110601416389966</v>
      </c>
      <c r="Y44">
        <f t="shared" si="52"/>
        <v>2.4588190754488721</v>
      </c>
      <c r="Z44">
        <f t="shared" si="53"/>
        <v>3.7065780092587475</v>
      </c>
      <c r="AC44">
        <f t="shared" si="54"/>
        <v>2.5</v>
      </c>
      <c r="AD44">
        <f t="shared" si="55"/>
        <v>5.154336943068623</v>
      </c>
      <c r="AE44">
        <f t="shared" si="56"/>
        <v>1.6514456476895409</v>
      </c>
      <c r="AF44">
        <f t="shared" si="41"/>
        <v>21.280268278390224</v>
      </c>
      <c r="AH44">
        <f t="shared" si="57"/>
        <v>0.90829510622924747</v>
      </c>
      <c r="AI44">
        <f>AH44+O44+$AI$20</f>
        <v>1.2610601416389966</v>
      </c>
      <c r="AJ44">
        <f t="shared" si="59"/>
        <v>2.5588190754488722</v>
      </c>
      <c r="AK44">
        <f t="shared" si="60"/>
        <v>3.8565780092587474</v>
      </c>
      <c r="AM44">
        <f t="shared" si="61"/>
        <v>1</v>
      </c>
      <c r="AN44">
        <f t="shared" si="62"/>
        <v>8</v>
      </c>
      <c r="AO44">
        <f t="shared" si="42"/>
        <v>4.3056829792358426</v>
      </c>
      <c r="AQ44">
        <f t="shared" si="69"/>
        <v>5</v>
      </c>
      <c r="AR44">
        <f t="shared" si="63"/>
        <v>5</v>
      </c>
      <c r="AS44">
        <f t="shared" si="64"/>
        <v>8.3333333333333339</v>
      </c>
      <c r="AT44">
        <f t="shared" si="70"/>
        <v>16</v>
      </c>
      <c r="AU44">
        <f t="shared" si="65"/>
        <v>26</v>
      </c>
      <c r="AW44">
        <f t="shared" si="71"/>
        <v>1</v>
      </c>
      <c r="AX44">
        <f t="shared" si="66"/>
        <v>1</v>
      </c>
      <c r="AZ44">
        <f t="shared" si="67"/>
        <v>2</v>
      </c>
      <c r="BB44">
        <f t="shared" si="68"/>
        <v>14.99396493758765</v>
      </c>
      <c r="BE44">
        <f t="shared" si="43"/>
        <v>1</v>
      </c>
    </row>
    <row r="45" spans="2:57" x14ac:dyDescent="0.25">
      <c r="I45">
        <v>2.2000000000000002</v>
      </c>
      <c r="J45">
        <f t="shared" si="44"/>
        <v>6.3960214906683133</v>
      </c>
      <c r="K45">
        <f t="shared" si="45"/>
        <v>2.1320071635561044</v>
      </c>
      <c r="M45">
        <f t="shared" si="46"/>
        <v>2.5</v>
      </c>
      <c r="N45">
        <f t="shared" si="47"/>
        <v>1.1726039399558574</v>
      </c>
      <c r="O45">
        <f t="shared" si="40"/>
        <v>0.39086797998528583</v>
      </c>
      <c r="R45">
        <f t="shared" si="48"/>
        <v>1.6108498569090566</v>
      </c>
      <c r="T45">
        <f t="shared" si="49"/>
        <v>1.6108498569090566</v>
      </c>
      <c r="W45">
        <f t="shared" si="50"/>
        <v>1.1726039399558574</v>
      </c>
      <c r="X45">
        <f t="shared" si="51"/>
        <v>1.5634719199411433</v>
      </c>
      <c r="Y45">
        <f t="shared" si="52"/>
        <v>3.1743217768502001</v>
      </c>
      <c r="Z45">
        <f t="shared" si="53"/>
        <v>4.7851716337592567</v>
      </c>
      <c r="AC45">
        <f t="shared" si="54"/>
        <v>2.5</v>
      </c>
      <c r="AD45">
        <f t="shared" si="55"/>
        <v>6.5960214906683134</v>
      </c>
      <c r="AE45">
        <f t="shared" si="56"/>
        <v>2.1320071635561044</v>
      </c>
      <c r="AF45">
        <f t="shared" si="41"/>
        <v>35.156912672687149</v>
      </c>
      <c r="AH45">
        <f t="shared" si="57"/>
        <v>1.1726039399558574</v>
      </c>
      <c r="AI45">
        <f t="shared" ref="AI45:AI54" si="72">AH45+O45+$AI$20</f>
        <v>1.6134719199411434</v>
      </c>
      <c r="AJ45">
        <f t="shared" si="59"/>
        <v>3.2743217768502002</v>
      </c>
      <c r="AK45">
        <f t="shared" si="60"/>
        <v>4.935171633759257</v>
      </c>
      <c r="AM45">
        <f t="shared" si="61"/>
        <v>2</v>
      </c>
      <c r="AN45">
        <f t="shared" si="62"/>
        <v>12</v>
      </c>
      <c r="AO45">
        <f t="shared" si="42"/>
        <v>3.424653533480476</v>
      </c>
      <c r="AQ45">
        <f t="shared" si="69"/>
        <v>10</v>
      </c>
      <c r="AR45">
        <f t="shared" si="63"/>
        <v>10</v>
      </c>
      <c r="AS45">
        <f t="shared" si="64"/>
        <v>8.3333333333333339</v>
      </c>
      <c r="AT45">
        <f t="shared" si="70"/>
        <v>32</v>
      </c>
      <c r="AU45">
        <f t="shared" si="65"/>
        <v>52</v>
      </c>
      <c r="AW45">
        <f t="shared" si="71"/>
        <v>2</v>
      </c>
      <c r="AX45">
        <f t="shared" si="66"/>
        <v>2</v>
      </c>
      <c r="AZ45">
        <f t="shared" si="67"/>
        <v>4</v>
      </c>
      <c r="BB45">
        <f t="shared" si="68"/>
        <v>24.989941562646081</v>
      </c>
      <c r="BE45">
        <f t="shared" si="43"/>
        <v>1</v>
      </c>
    </row>
    <row r="46" spans="2:57" x14ac:dyDescent="0.25">
      <c r="I46">
        <v>2.2000000000000002</v>
      </c>
      <c r="J46">
        <f t="shared" si="44"/>
        <v>7.8334945180064022</v>
      </c>
      <c r="K46">
        <f t="shared" si="45"/>
        <v>2.6111648393354674</v>
      </c>
      <c r="M46">
        <f t="shared" si="46"/>
        <v>3.75</v>
      </c>
      <c r="N46">
        <f t="shared" si="47"/>
        <v>1.4361406616345072</v>
      </c>
      <c r="O46">
        <f t="shared" si="40"/>
        <v>0.47871355387816905</v>
      </c>
      <c r="R46">
        <f t="shared" si="48"/>
        <v>1.972880100831242</v>
      </c>
      <c r="T46">
        <f t="shared" si="49"/>
        <v>1.972880100831242</v>
      </c>
      <c r="W46">
        <f t="shared" si="50"/>
        <v>1.4361406616345072</v>
      </c>
      <c r="X46">
        <f t="shared" si="51"/>
        <v>1.9148542155126762</v>
      </c>
      <c r="Y46">
        <f t="shared" si="52"/>
        <v>3.8877343163439182</v>
      </c>
      <c r="Z46">
        <f t="shared" si="53"/>
        <v>5.8606144171751602</v>
      </c>
      <c r="AC46">
        <f t="shared" si="54"/>
        <v>2.5</v>
      </c>
      <c r="AD46">
        <f t="shared" si="55"/>
        <v>8.0334945180064015</v>
      </c>
      <c r="AE46">
        <f t="shared" si="56"/>
        <v>2.6111648393354674</v>
      </c>
      <c r="AF46">
        <f t="shared" si="41"/>
        <v>52.441946056031355</v>
      </c>
      <c r="AH46">
        <f t="shared" si="57"/>
        <v>1.4361406616345072</v>
      </c>
      <c r="AI46">
        <f t="shared" si="72"/>
        <v>1.9648542155126762</v>
      </c>
      <c r="AJ46">
        <f t="shared" si="59"/>
        <v>3.9877343163439183</v>
      </c>
      <c r="AK46">
        <f t="shared" si="60"/>
        <v>6.0106144171751605</v>
      </c>
      <c r="AM46">
        <f t="shared" si="61"/>
        <v>2</v>
      </c>
      <c r="AN46">
        <f t="shared" si="62"/>
        <v>12</v>
      </c>
      <c r="AO46">
        <f t="shared" si="42"/>
        <v>2.5461977945516434</v>
      </c>
      <c r="AQ46">
        <f t="shared" si="69"/>
        <v>10</v>
      </c>
      <c r="AR46">
        <f t="shared" si="63"/>
        <v>10</v>
      </c>
      <c r="AS46">
        <f t="shared" si="64"/>
        <v>8.3333333333333339</v>
      </c>
      <c r="AT46">
        <f t="shared" si="70"/>
        <v>32</v>
      </c>
      <c r="AU46">
        <f t="shared" si="65"/>
        <v>52</v>
      </c>
      <c r="AW46">
        <f t="shared" si="71"/>
        <v>2</v>
      </c>
      <c r="AX46">
        <f t="shared" si="66"/>
        <v>2</v>
      </c>
      <c r="AZ46">
        <f t="shared" si="67"/>
        <v>4</v>
      </c>
      <c r="BB46">
        <f t="shared" si="68"/>
        <v>37.484912343969121</v>
      </c>
      <c r="BE46">
        <f t="shared" si="43"/>
        <v>1</v>
      </c>
    </row>
    <row r="47" spans="2:57" x14ac:dyDescent="0.25">
      <c r="I47">
        <v>2.2000000000000002</v>
      </c>
      <c r="J47">
        <f t="shared" si="44"/>
        <v>9.0453403373329078</v>
      </c>
      <c r="K47">
        <f t="shared" si="45"/>
        <v>3.0151134457776361</v>
      </c>
      <c r="M47">
        <f t="shared" si="46"/>
        <v>5</v>
      </c>
      <c r="N47">
        <f t="shared" si="47"/>
        <v>1.6583123951776999</v>
      </c>
      <c r="O47">
        <f>N47/3</f>
        <v>0.5527707983925666</v>
      </c>
      <c r="R47">
        <f t="shared" si="48"/>
        <v>2.2780857145875473</v>
      </c>
      <c r="T47">
        <f t="shared" si="49"/>
        <v>2.2780857145875473</v>
      </c>
      <c r="W47">
        <f t="shared" si="50"/>
        <v>1.6583123951776999</v>
      </c>
      <c r="X47">
        <f t="shared" si="51"/>
        <v>2.2110831935702664</v>
      </c>
      <c r="Y47">
        <f t="shared" si="52"/>
        <v>4.4891689081578132</v>
      </c>
      <c r="Z47">
        <f t="shared" si="53"/>
        <v>6.7672546227453605</v>
      </c>
      <c r="AC47">
        <f t="shared" si="54"/>
        <v>2.5</v>
      </c>
      <c r="AD47">
        <f t="shared" si="55"/>
        <v>9.2453403373329071</v>
      </c>
      <c r="AE47">
        <f t="shared" si="56"/>
        <v>3.0151134457776361</v>
      </c>
      <c r="AF47">
        <f t="shared" si="41"/>
        <v>69.68937490470698</v>
      </c>
      <c r="AH47">
        <f t="shared" si="57"/>
        <v>1.6583123951776999</v>
      </c>
      <c r="AI47">
        <f t="shared" si="72"/>
        <v>2.2610831935702662</v>
      </c>
      <c r="AJ47">
        <f t="shared" si="59"/>
        <v>4.5891689081578129</v>
      </c>
      <c r="AK47">
        <f t="shared" si="60"/>
        <v>6.9172546227453608</v>
      </c>
      <c r="AM47">
        <f t="shared" si="61"/>
        <v>2</v>
      </c>
      <c r="AN47">
        <f t="shared" si="62"/>
        <v>12</v>
      </c>
      <c r="AO47">
        <f t="shared" si="42"/>
        <v>1.8056253494076677</v>
      </c>
      <c r="AQ47">
        <f t="shared" si="69"/>
        <v>10</v>
      </c>
      <c r="AR47">
        <f t="shared" si="63"/>
        <v>10</v>
      </c>
      <c r="AS47">
        <f t="shared" si="64"/>
        <v>8.3333333333333339</v>
      </c>
      <c r="AT47">
        <f t="shared" si="70"/>
        <v>32</v>
      </c>
      <c r="AU47">
        <f t="shared" si="65"/>
        <v>52</v>
      </c>
      <c r="AW47">
        <f t="shared" si="71"/>
        <v>2</v>
      </c>
      <c r="AX47">
        <f t="shared" si="66"/>
        <v>2</v>
      </c>
      <c r="AZ47">
        <f t="shared" si="67"/>
        <v>4</v>
      </c>
      <c r="BB47">
        <f t="shared" si="68"/>
        <v>49.979883125292154</v>
      </c>
      <c r="BE47">
        <f t="shared" si="43"/>
        <v>1</v>
      </c>
    </row>
    <row r="48" spans="2:57" x14ac:dyDescent="0.25">
      <c r="I48">
        <v>2.2000000000000002</v>
      </c>
      <c r="J48">
        <f t="shared" si="44"/>
        <v>12.792042981336627</v>
      </c>
      <c r="K48">
        <f t="shared" si="45"/>
        <v>4.2640143271122088</v>
      </c>
      <c r="M48">
        <f t="shared" si="46"/>
        <v>10</v>
      </c>
      <c r="N48">
        <f t="shared" si="47"/>
        <v>2.3452078799117149</v>
      </c>
      <c r="O48">
        <f t="shared" si="40"/>
        <v>0.78173595997057166</v>
      </c>
      <c r="R48">
        <f t="shared" si="48"/>
        <v>3.2216997138181132</v>
      </c>
      <c r="T48">
        <f t="shared" si="49"/>
        <v>3.2216997138181132</v>
      </c>
      <c r="W48">
        <f t="shared" si="50"/>
        <v>2.3452078799117149</v>
      </c>
      <c r="X48">
        <f t="shared" si="51"/>
        <v>3.1269438398822866</v>
      </c>
      <c r="Y48">
        <f t="shared" si="52"/>
        <v>6.3486435537004002</v>
      </c>
      <c r="Z48">
        <f t="shared" si="53"/>
        <v>9.5703432675185134</v>
      </c>
      <c r="AC48">
        <f t="shared" si="54"/>
        <v>2.5</v>
      </c>
      <c r="AD48">
        <f t="shared" si="55"/>
        <v>12.992042981336626</v>
      </c>
      <c r="AE48">
        <f t="shared" si="56"/>
        <v>4.2640143271122088</v>
      </c>
      <c r="AF48">
        <f t="shared" si="41"/>
        <v>138.49564352719247</v>
      </c>
      <c r="AH48">
        <f t="shared" si="57"/>
        <v>2.3452078799117149</v>
      </c>
      <c r="AI48">
        <f t="shared" si="72"/>
        <v>3.1769438398822865</v>
      </c>
      <c r="AJ48">
        <f t="shared" si="59"/>
        <v>6.4486435537003999</v>
      </c>
      <c r="AK48">
        <f t="shared" si="60"/>
        <v>9.7203432675185137</v>
      </c>
      <c r="AM48">
        <f t="shared" si="61"/>
        <v>3</v>
      </c>
      <c r="AN48">
        <f t="shared" si="62"/>
        <v>16</v>
      </c>
      <c r="AO48">
        <f t="shared" si="42"/>
        <v>-0.48402626637238233</v>
      </c>
      <c r="AQ48">
        <f t="shared" si="69"/>
        <v>15</v>
      </c>
      <c r="AR48">
        <f t="shared" si="63"/>
        <v>15</v>
      </c>
      <c r="AS48">
        <f t="shared" si="64"/>
        <v>8.3333333333333339</v>
      </c>
      <c r="AT48">
        <f t="shared" si="70"/>
        <v>48</v>
      </c>
      <c r="AU48">
        <f t="shared" si="65"/>
        <v>78</v>
      </c>
      <c r="AW48">
        <f t="shared" si="71"/>
        <v>3</v>
      </c>
      <c r="AX48">
        <f t="shared" si="66"/>
        <v>3</v>
      </c>
      <c r="AZ48">
        <f t="shared" si="67"/>
        <v>6</v>
      </c>
      <c r="BB48">
        <f t="shared" si="68"/>
        <v>99.959766250584323</v>
      </c>
      <c r="BE48">
        <f t="shared" si="43"/>
        <v>1</v>
      </c>
    </row>
    <row r="49" spans="9:57" x14ac:dyDescent="0.25">
      <c r="I49">
        <v>2.2000000000000002</v>
      </c>
      <c r="J49">
        <f t="shared" si="44"/>
        <v>15.666989036012804</v>
      </c>
      <c r="K49">
        <f t="shared" si="45"/>
        <v>5.2223296786709348</v>
      </c>
      <c r="M49">
        <f t="shared" si="46"/>
        <v>15</v>
      </c>
      <c r="N49">
        <f t="shared" si="47"/>
        <v>2.8722813232690143</v>
      </c>
      <c r="O49">
        <f t="shared" si="40"/>
        <v>0.9574271077563381</v>
      </c>
      <c r="R49">
        <f t="shared" si="48"/>
        <v>3.945760201662484</v>
      </c>
      <c r="T49">
        <f t="shared" si="49"/>
        <v>3.945760201662484</v>
      </c>
      <c r="W49">
        <f t="shared" si="50"/>
        <v>2.8722813232690143</v>
      </c>
      <c r="X49">
        <f t="shared" si="51"/>
        <v>3.8297084310253524</v>
      </c>
      <c r="Y49">
        <f t="shared" si="52"/>
        <v>7.7754686326878364</v>
      </c>
      <c r="Z49">
        <f t="shared" si="53"/>
        <v>11.72122883435032</v>
      </c>
      <c r="AC49">
        <f t="shared" si="54"/>
        <v>2.5</v>
      </c>
      <c r="AD49">
        <f t="shared" si="55"/>
        <v>15.866989036012804</v>
      </c>
      <c r="AE49">
        <f t="shared" si="56"/>
        <v>5.2223296786709348</v>
      </c>
      <c r="AF49">
        <f t="shared" si="41"/>
        <v>207.15661938478996</v>
      </c>
      <c r="AH49">
        <f t="shared" si="57"/>
        <v>2.8722813232690143</v>
      </c>
      <c r="AI49">
        <f t="shared" si="72"/>
        <v>3.8797084310253522</v>
      </c>
      <c r="AJ49">
        <f t="shared" si="59"/>
        <v>7.875468632687836</v>
      </c>
      <c r="AK49">
        <f t="shared" si="60"/>
        <v>11.871228834350321</v>
      </c>
      <c r="AM49">
        <f t="shared" si="61"/>
        <v>3</v>
      </c>
      <c r="AN49">
        <f t="shared" si="62"/>
        <v>16</v>
      </c>
      <c r="AO49">
        <f t="shared" si="42"/>
        <v>-2.2409377442300471</v>
      </c>
      <c r="AQ49">
        <f t="shared" si="69"/>
        <v>15</v>
      </c>
      <c r="AR49">
        <f t="shared" si="63"/>
        <v>15</v>
      </c>
      <c r="AS49">
        <f t="shared" si="64"/>
        <v>8.3333333333333339</v>
      </c>
      <c r="AT49">
        <f t="shared" si="70"/>
        <v>48</v>
      </c>
      <c r="AU49">
        <f t="shared" si="65"/>
        <v>78</v>
      </c>
      <c r="AW49">
        <f t="shared" si="71"/>
        <v>3</v>
      </c>
      <c r="AX49">
        <f t="shared" si="66"/>
        <v>3</v>
      </c>
      <c r="AZ49">
        <f t="shared" si="67"/>
        <v>6</v>
      </c>
      <c r="BB49">
        <f t="shared" si="68"/>
        <v>149.93964937587648</v>
      </c>
      <c r="BE49">
        <f t="shared" si="43"/>
        <v>1</v>
      </c>
    </row>
    <row r="50" spans="9:57" x14ac:dyDescent="0.25">
      <c r="I50">
        <v>2.2000000000000002</v>
      </c>
      <c r="J50">
        <f t="shared" si="44"/>
        <v>18.090680674665816</v>
      </c>
      <c r="K50">
        <f t="shared" si="45"/>
        <v>6.0302268915552721</v>
      </c>
      <c r="M50">
        <f t="shared" si="46"/>
        <v>20</v>
      </c>
      <c r="N50">
        <f t="shared" si="47"/>
        <v>3.3166247903553998</v>
      </c>
      <c r="O50">
        <f t="shared" si="40"/>
        <v>1.1055415967851332</v>
      </c>
      <c r="R50">
        <f t="shared" si="48"/>
        <v>4.5561714291750945</v>
      </c>
      <c r="T50">
        <f t="shared" si="49"/>
        <v>4.5561714291750945</v>
      </c>
      <c r="W50">
        <f t="shared" si="50"/>
        <v>3.3166247903553998</v>
      </c>
      <c r="X50">
        <f t="shared" si="51"/>
        <v>4.4221663871405328</v>
      </c>
      <c r="Y50">
        <f t="shared" si="52"/>
        <v>8.9783378163156264</v>
      </c>
      <c r="Z50">
        <f t="shared" si="53"/>
        <v>13.534509245490721</v>
      </c>
      <c r="AC50">
        <f t="shared" si="54"/>
        <v>2.5</v>
      </c>
      <c r="AD50">
        <f t="shared" si="55"/>
        <v>18.290680674665815</v>
      </c>
      <c r="AE50">
        <f t="shared" si="56"/>
        <v>6.0302268915552721</v>
      </c>
      <c r="AF50">
        <f t="shared" si="41"/>
        <v>275.74238617305031</v>
      </c>
      <c r="AH50">
        <f t="shared" si="57"/>
        <v>3.3166247903553998</v>
      </c>
      <c r="AI50">
        <f t="shared" si="72"/>
        <v>4.4721663871405326</v>
      </c>
      <c r="AJ50">
        <f t="shared" si="59"/>
        <v>9.0783378163156261</v>
      </c>
      <c r="AK50">
        <f t="shared" si="60"/>
        <v>13.684509245490721</v>
      </c>
      <c r="AM50">
        <f t="shared" si="61"/>
        <v>4</v>
      </c>
      <c r="AN50">
        <f t="shared" si="62"/>
        <v>20</v>
      </c>
      <c r="AO50">
        <f t="shared" si="42"/>
        <v>-3.7220826345179989</v>
      </c>
      <c r="AQ50">
        <f t="shared" si="69"/>
        <v>20</v>
      </c>
      <c r="AR50">
        <f t="shared" si="63"/>
        <v>20</v>
      </c>
      <c r="AS50">
        <f t="shared" si="64"/>
        <v>8.3333333333333339</v>
      </c>
      <c r="AT50">
        <f t="shared" si="70"/>
        <v>64</v>
      </c>
      <c r="AU50">
        <f t="shared" si="65"/>
        <v>104</v>
      </c>
      <c r="AW50">
        <f t="shared" si="71"/>
        <v>4</v>
      </c>
      <c r="AX50">
        <f t="shared" si="66"/>
        <v>4</v>
      </c>
      <c r="AZ50">
        <f t="shared" si="67"/>
        <v>8</v>
      </c>
      <c r="BB50">
        <f t="shared" si="68"/>
        <v>199.91953250116862</v>
      </c>
      <c r="BE50">
        <f t="shared" si="43"/>
        <v>1</v>
      </c>
    </row>
    <row r="51" spans="9:57" x14ac:dyDescent="0.25">
      <c r="I51">
        <v>2.2000000000000002</v>
      </c>
      <c r="J51">
        <f t="shared" si="44"/>
        <v>20.225995873897261</v>
      </c>
      <c r="K51">
        <f t="shared" si="45"/>
        <v>6.7419986246324211</v>
      </c>
      <c r="M51">
        <f t="shared" si="46"/>
        <v>25</v>
      </c>
      <c r="N51">
        <f t="shared" si="47"/>
        <v>3.7080992435478315</v>
      </c>
      <c r="O51">
        <f t="shared" si="40"/>
        <v>1.2360330811826106</v>
      </c>
      <c r="R51">
        <f t="shared" si="48"/>
        <v>5.0939545163889397</v>
      </c>
      <c r="T51">
        <f t="shared" si="49"/>
        <v>5.0939545163889397</v>
      </c>
      <c r="W51">
        <f t="shared" si="50"/>
        <v>3.7080992435478315</v>
      </c>
      <c r="X51">
        <f t="shared" si="51"/>
        <v>4.9441323247304423</v>
      </c>
      <c r="Y51">
        <f t="shared" si="52"/>
        <v>10.038086841119382</v>
      </c>
      <c r="Z51">
        <f t="shared" si="53"/>
        <v>15.132041357508321</v>
      </c>
      <c r="AC51">
        <f t="shared" si="54"/>
        <v>2.5</v>
      </c>
      <c r="AD51">
        <f t="shared" si="55"/>
        <v>20.425995873897261</v>
      </c>
      <c r="AE51">
        <f t="shared" si="56"/>
        <v>6.7419986246324211</v>
      </c>
      <c r="AF51">
        <f t="shared" si="41"/>
        <v>344.28009022140714</v>
      </c>
      <c r="AH51">
        <f t="shared" si="57"/>
        <v>3.7080992435478315</v>
      </c>
      <c r="AI51">
        <f t="shared" si="72"/>
        <v>4.9941323247304421</v>
      </c>
      <c r="AJ51">
        <f t="shared" si="59"/>
        <v>10.138086841119382</v>
      </c>
      <c r="AK51">
        <f t="shared" si="60"/>
        <v>15.282041357508321</v>
      </c>
      <c r="AM51">
        <f t="shared" si="61"/>
        <v>4</v>
      </c>
      <c r="AN51">
        <f t="shared" si="62"/>
        <v>20</v>
      </c>
      <c r="AO51">
        <f t="shared" si="42"/>
        <v>-5.0269974784927713</v>
      </c>
      <c r="AQ51">
        <f t="shared" si="69"/>
        <v>20</v>
      </c>
      <c r="AR51">
        <f t="shared" si="63"/>
        <v>20</v>
      </c>
      <c r="AS51">
        <f t="shared" si="64"/>
        <v>8.3333333333333339</v>
      </c>
      <c r="AT51">
        <f t="shared" si="70"/>
        <v>64</v>
      </c>
      <c r="AU51">
        <f t="shared" si="65"/>
        <v>104</v>
      </c>
      <c r="AW51">
        <f t="shared" si="71"/>
        <v>4</v>
      </c>
      <c r="AX51">
        <f t="shared" si="66"/>
        <v>4</v>
      </c>
      <c r="AZ51">
        <f t="shared" si="67"/>
        <v>8</v>
      </c>
      <c r="BB51">
        <f t="shared" si="68"/>
        <v>249.89941562646084</v>
      </c>
      <c r="BE51">
        <f t="shared" si="43"/>
        <v>1</v>
      </c>
    </row>
    <row r="52" spans="9:57" x14ac:dyDescent="0.25">
      <c r="I52">
        <v>2.2000000000000002</v>
      </c>
      <c r="J52">
        <f t="shared" si="44"/>
        <v>22.156468376279893</v>
      </c>
      <c r="K52">
        <f t="shared" si="45"/>
        <v>7.385489458759964</v>
      </c>
      <c r="M52">
        <f t="shared" si="46"/>
        <v>30</v>
      </c>
      <c r="N52">
        <f t="shared" si="47"/>
        <v>4.0620192023179804</v>
      </c>
      <c r="O52">
        <f t="shared" si="40"/>
        <v>1.3540064007726602</v>
      </c>
      <c r="R52">
        <f t="shared" si="48"/>
        <v>5.580147591063084</v>
      </c>
      <c r="T52">
        <f t="shared" si="49"/>
        <v>5.580147591063084</v>
      </c>
      <c r="W52">
        <f t="shared" si="50"/>
        <v>4.0620192023179804</v>
      </c>
      <c r="X52">
        <f t="shared" si="51"/>
        <v>5.4160256030906408</v>
      </c>
      <c r="Y52">
        <f t="shared" si="52"/>
        <v>10.996173194153725</v>
      </c>
      <c r="Z52">
        <f t="shared" si="53"/>
        <v>16.576320785216808</v>
      </c>
      <c r="AC52">
        <f t="shared" si="54"/>
        <v>2.5</v>
      </c>
      <c r="AD52">
        <f t="shared" si="55"/>
        <v>22.356468376279892</v>
      </c>
      <c r="AE52">
        <f t="shared" si="56"/>
        <v>7.385489458759964</v>
      </c>
      <c r="AF52">
        <f t="shared" si="41"/>
        <v>412.78365382028909</v>
      </c>
      <c r="AH52">
        <f t="shared" si="57"/>
        <v>4.0620192023179804</v>
      </c>
      <c r="AI52">
        <f t="shared" si="72"/>
        <v>5.4660256030906407</v>
      </c>
      <c r="AJ52">
        <f t="shared" si="59"/>
        <v>11.096173194153724</v>
      </c>
      <c r="AK52">
        <f t="shared" si="60"/>
        <v>16.726320785216807</v>
      </c>
      <c r="AM52">
        <f t="shared" si="61"/>
        <v>5</v>
      </c>
      <c r="AN52">
        <f t="shared" si="62"/>
        <v>24</v>
      </c>
      <c r="AO52">
        <f t="shared" si="42"/>
        <v>-6.2067306743932678</v>
      </c>
      <c r="AQ52">
        <f t="shared" si="69"/>
        <v>25</v>
      </c>
      <c r="AR52">
        <f t="shared" si="63"/>
        <v>25</v>
      </c>
      <c r="AS52">
        <f t="shared" si="64"/>
        <v>8.3333333333333339</v>
      </c>
      <c r="AT52">
        <f t="shared" si="70"/>
        <v>80</v>
      </c>
      <c r="AU52">
        <f t="shared" si="65"/>
        <v>130</v>
      </c>
      <c r="AW52">
        <f t="shared" si="71"/>
        <v>5</v>
      </c>
      <c r="AX52">
        <f t="shared" si="66"/>
        <v>5</v>
      </c>
      <c r="AZ52">
        <f t="shared" si="67"/>
        <v>10</v>
      </c>
      <c r="BB52">
        <f t="shared" si="68"/>
        <v>299.87929875175297</v>
      </c>
      <c r="BE52">
        <f t="shared" si="43"/>
        <v>1</v>
      </c>
    </row>
    <row r="53" spans="9:57" x14ac:dyDescent="0.25">
      <c r="I53">
        <v>2.2000000000000002</v>
      </c>
      <c r="J53">
        <f t="shared" si="44"/>
        <v>25.584085962673253</v>
      </c>
      <c r="K53">
        <f t="shared" si="45"/>
        <v>8.5280286542244177</v>
      </c>
      <c r="M53">
        <f t="shared" si="46"/>
        <v>40</v>
      </c>
      <c r="N53">
        <f t="shared" si="47"/>
        <v>4.6904157598234297</v>
      </c>
      <c r="O53">
        <f t="shared" si="40"/>
        <v>1.5634719199411433</v>
      </c>
      <c r="R53">
        <f t="shared" si="48"/>
        <v>6.4433994276362263</v>
      </c>
      <c r="T53">
        <f t="shared" si="49"/>
        <v>6.4433994276362263</v>
      </c>
      <c r="W53">
        <f t="shared" si="50"/>
        <v>4.6904157598234297</v>
      </c>
      <c r="X53">
        <f t="shared" si="51"/>
        <v>6.2538876797645733</v>
      </c>
      <c r="Y53">
        <f t="shared" si="52"/>
        <v>12.6972871074008</v>
      </c>
      <c r="Z53">
        <f t="shared" si="53"/>
        <v>19.140686535037027</v>
      </c>
      <c r="AC53">
        <f t="shared" si="54"/>
        <v>2.5</v>
      </c>
      <c r="AD53">
        <f t="shared" si="55"/>
        <v>25.784085962673252</v>
      </c>
      <c r="AE53">
        <f t="shared" si="56"/>
        <v>8.5280286542244177</v>
      </c>
      <c r="AF53">
        <f t="shared" si="41"/>
        <v>549.71855978165775</v>
      </c>
      <c r="AH53">
        <f t="shared" si="57"/>
        <v>4.6904157598234297</v>
      </c>
      <c r="AI53">
        <f t="shared" si="72"/>
        <v>6.3038876797645731</v>
      </c>
      <c r="AJ53">
        <f t="shared" si="59"/>
        <v>12.7972871074008</v>
      </c>
      <c r="AK53">
        <f t="shared" si="60"/>
        <v>19.290686535037025</v>
      </c>
      <c r="AM53">
        <f t="shared" si="61"/>
        <v>5</v>
      </c>
      <c r="AN53">
        <f t="shared" si="62"/>
        <v>24</v>
      </c>
      <c r="AO53">
        <f t="shared" si="42"/>
        <v>-8.3013858660780997</v>
      </c>
      <c r="AQ53">
        <f t="shared" si="69"/>
        <v>25</v>
      </c>
      <c r="AR53">
        <f t="shared" si="63"/>
        <v>25</v>
      </c>
      <c r="AS53">
        <f t="shared" si="64"/>
        <v>8.3333333333333339</v>
      </c>
      <c r="AT53">
        <f t="shared" si="70"/>
        <v>80</v>
      </c>
      <c r="AU53">
        <f t="shared" si="65"/>
        <v>130</v>
      </c>
      <c r="AW53">
        <f t="shared" si="71"/>
        <v>5</v>
      </c>
      <c r="AX53">
        <f t="shared" si="66"/>
        <v>5</v>
      </c>
      <c r="AZ53">
        <f t="shared" si="67"/>
        <v>10</v>
      </c>
      <c r="BB53">
        <f t="shared" si="68"/>
        <v>399.83906500233729</v>
      </c>
      <c r="BE53">
        <f t="shared" si="43"/>
        <v>1</v>
      </c>
    </row>
    <row r="54" spans="9:57" x14ac:dyDescent="0.25">
      <c r="I54">
        <v>2.2000000000000002</v>
      </c>
      <c r="J54">
        <f t="shared" si="44"/>
        <v>28.60387767736777</v>
      </c>
      <c r="K54">
        <f t="shared" si="45"/>
        <v>9.5346258924559226</v>
      </c>
      <c r="M54">
        <f t="shared" si="46"/>
        <v>50</v>
      </c>
      <c r="N54">
        <f t="shared" si="47"/>
        <v>5.2440442408507577</v>
      </c>
      <c r="O54">
        <f t="shared" si="40"/>
        <v>1.7480147469502525</v>
      </c>
      <c r="R54">
        <f t="shared" si="48"/>
        <v>7.2039395631889205</v>
      </c>
      <c r="T54">
        <f t="shared" si="49"/>
        <v>7.2039395631889196</v>
      </c>
      <c r="W54">
        <f t="shared" si="50"/>
        <v>5.2440442408507577</v>
      </c>
      <c r="X54">
        <f t="shared" si="51"/>
        <v>6.99205898780101</v>
      </c>
      <c r="Y54">
        <f t="shared" si="52"/>
        <v>14.19599855098993</v>
      </c>
      <c r="Z54">
        <f t="shared" si="53"/>
        <v>21.399938114178852</v>
      </c>
      <c r="AC54">
        <f t="shared" si="54"/>
        <v>2.5</v>
      </c>
      <c r="AD54">
        <f t="shared" si="55"/>
        <v>28.803877677367769</v>
      </c>
      <c r="AE54">
        <f t="shared" si="56"/>
        <v>9.5346258924559226</v>
      </c>
      <c r="AF54">
        <f t="shared" si="41"/>
        <v>686.58549476440976</v>
      </c>
      <c r="AH54">
        <f t="shared" si="57"/>
        <v>5.2440442408507577</v>
      </c>
      <c r="AI54">
        <f t="shared" si="72"/>
        <v>7.0420589878010098</v>
      </c>
      <c r="AJ54">
        <f t="shared" si="59"/>
        <v>14.29599855098993</v>
      </c>
      <c r="AK54">
        <f t="shared" si="60"/>
        <v>21.54993811417885</v>
      </c>
      <c r="AM54">
        <f t="shared" si="61"/>
        <v>6</v>
      </c>
      <c r="AN54">
        <f t="shared" si="62"/>
        <v>28</v>
      </c>
      <c r="AO54">
        <f t="shared" si="42"/>
        <v>-10.146814136169192</v>
      </c>
      <c r="AQ54">
        <f t="shared" si="69"/>
        <v>30</v>
      </c>
      <c r="AR54">
        <f t="shared" si="63"/>
        <v>30</v>
      </c>
      <c r="AS54">
        <f t="shared" si="64"/>
        <v>8.3333333333333339</v>
      </c>
      <c r="AT54">
        <f t="shared" si="70"/>
        <v>96</v>
      </c>
      <c r="AU54">
        <f t="shared" si="65"/>
        <v>156</v>
      </c>
      <c r="AW54">
        <f t="shared" si="71"/>
        <v>6</v>
      </c>
      <c r="AX54">
        <f t="shared" si="66"/>
        <v>6</v>
      </c>
      <c r="AZ54">
        <f t="shared" si="67"/>
        <v>12</v>
      </c>
      <c r="BB54">
        <f t="shared" si="68"/>
        <v>499.79883125292162</v>
      </c>
      <c r="BE54">
        <f t="shared" si="43"/>
        <v>1</v>
      </c>
    </row>
    <row r="58" spans="9:57" x14ac:dyDescent="0.25">
      <c r="I58" t="s">
        <v>791</v>
      </c>
    </row>
    <row r="59" spans="9:57" x14ac:dyDescent="0.25">
      <c r="I59" t="s">
        <v>1050</v>
      </c>
    </row>
    <row r="60" spans="9:57" x14ac:dyDescent="0.25">
      <c r="I60" t="s">
        <v>722</v>
      </c>
      <c r="Q60" t="s">
        <v>1048</v>
      </c>
      <c r="W60" t="s">
        <v>1049</v>
      </c>
    </row>
    <row r="61" spans="9:57" x14ac:dyDescent="0.25">
      <c r="I61" t="s">
        <v>1013</v>
      </c>
      <c r="J61" t="s">
        <v>1051</v>
      </c>
      <c r="K61">
        <f>AC23+0.6</f>
        <v>2.9</v>
      </c>
      <c r="Q61" t="s">
        <v>3</v>
      </c>
      <c r="R61" t="s">
        <v>794</v>
      </c>
      <c r="S61" t="s">
        <v>35</v>
      </c>
      <c r="T61" t="s">
        <v>412</v>
      </c>
      <c r="W61" t="s">
        <v>3</v>
      </c>
      <c r="X61" t="s">
        <v>794</v>
      </c>
      <c r="Y61" t="s">
        <v>35</v>
      </c>
      <c r="Z61" t="s">
        <v>412</v>
      </c>
    </row>
    <row r="62" spans="9:57" x14ac:dyDescent="0.25">
      <c r="I62" t="s">
        <v>1013</v>
      </c>
      <c r="K62">
        <f>AC25+0.6</f>
        <v>3.1</v>
      </c>
      <c r="Q62" t="s">
        <v>1057</v>
      </c>
      <c r="R62">
        <v>9.24</v>
      </c>
      <c r="S62" s="4" t="s">
        <v>1070</v>
      </c>
      <c r="T62" s="35">
        <v>44483</v>
      </c>
      <c r="W62" t="s">
        <v>1057</v>
      </c>
      <c r="X62">
        <v>6.83</v>
      </c>
      <c r="Y62" t="s">
        <v>1070</v>
      </c>
      <c r="Z62" s="35">
        <v>44483</v>
      </c>
    </row>
    <row r="63" spans="9:57" x14ac:dyDescent="0.25">
      <c r="I63" t="s">
        <v>564</v>
      </c>
      <c r="J63" t="s">
        <v>1052</v>
      </c>
      <c r="K63">
        <f>AC41+0.6</f>
        <v>2.4</v>
      </c>
      <c r="Q63" t="s">
        <v>1055</v>
      </c>
      <c r="R63">
        <v>16.72</v>
      </c>
      <c r="S63" s="4" t="s">
        <v>1071</v>
      </c>
      <c r="T63" s="35">
        <v>44483</v>
      </c>
      <c r="W63" t="s">
        <v>1055</v>
      </c>
      <c r="X63">
        <v>10.86</v>
      </c>
      <c r="Y63" t="s">
        <v>1071</v>
      </c>
      <c r="Z63" s="35">
        <v>44483</v>
      </c>
    </row>
    <row r="64" spans="9:57" x14ac:dyDescent="0.25">
      <c r="Q64" t="s">
        <v>1072</v>
      </c>
      <c r="R64">
        <v>26.34</v>
      </c>
      <c r="S64" s="4" t="s">
        <v>1074</v>
      </c>
      <c r="T64" s="35">
        <v>44483</v>
      </c>
      <c r="W64" t="s">
        <v>1072</v>
      </c>
      <c r="X64">
        <v>17.75</v>
      </c>
      <c r="Y64" t="s">
        <v>1073</v>
      </c>
      <c r="Z64" s="35">
        <v>44483</v>
      </c>
    </row>
    <row r="65" spans="9:37" x14ac:dyDescent="0.25">
      <c r="I65" t="s">
        <v>1047</v>
      </c>
    </row>
    <row r="66" spans="9:37" x14ac:dyDescent="0.25">
      <c r="I66" t="s">
        <v>1053</v>
      </c>
      <c r="J66" t="s">
        <v>1054</v>
      </c>
    </row>
    <row r="67" spans="9:37" x14ac:dyDescent="0.25">
      <c r="I67" t="s">
        <v>3</v>
      </c>
      <c r="J67" t="s">
        <v>794</v>
      </c>
      <c r="K67" t="s">
        <v>35</v>
      </c>
      <c r="L67" t="s">
        <v>412</v>
      </c>
    </row>
    <row r="68" spans="9:37" x14ac:dyDescent="0.25">
      <c r="I68" t="s">
        <v>1055</v>
      </c>
      <c r="J68">
        <v>17</v>
      </c>
      <c r="K68" t="s">
        <v>1056</v>
      </c>
      <c r="L68" s="35">
        <v>44483</v>
      </c>
    </row>
    <row r="69" spans="9:37" x14ac:dyDescent="0.25">
      <c r="I69" t="s">
        <v>1057</v>
      </c>
      <c r="J69">
        <v>11.94</v>
      </c>
      <c r="K69" t="s">
        <v>1058</v>
      </c>
      <c r="L69" s="35">
        <v>44483</v>
      </c>
    </row>
    <row r="70" spans="9:37" x14ac:dyDescent="0.25">
      <c r="I70" t="s">
        <v>1059</v>
      </c>
      <c r="J70">
        <v>17.95</v>
      </c>
      <c r="K70" t="s">
        <v>1060</v>
      </c>
      <c r="L70" s="35">
        <v>44483</v>
      </c>
    </row>
    <row r="72" spans="9:37" x14ac:dyDescent="0.25">
      <c r="AA72" t="s">
        <v>1013</v>
      </c>
    </row>
    <row r="73" spans="9:37" x14ac:dyDescent="0.25">
      <c r="I73" t="s">
        <v>1047</v>
      </c>
    </row>
    <row r="74" spans="9:37" x14ac:dyDescent="0.25">
      <c r="I74" t="s">
        <v>1061</v>
      </c>
      <c r="J74" t="s">
        <v>1062</v>
      </c>
      <c r="AA74" t="s">
        <v>156</v>
      </c>
      <c r="AB74" t="s">
        <v>14</v>
      </c>
      <c r="AC74" t="s">
        <v>766</v>
      </c>
      <c r="AD74" t="s">
        <v>1084</v>
      </c>
      <c r="AE74" t="s">
        <v>1068</v>
      </c>
      <c r="AF74" t="s">
        <v>1069</v>
      </c>
      <c r="AG74" t="s">
        <v>1080</v>
      </c>
      <c r="AH74" t="s">
        <v>1081</v>
      </c>
      <c r="AI74" t="s">
        <v>112</v>
      </c>
      <c r="AJ74" t="s">
        <v>1082</v>
      </c>
      <c r="AK74" t="s">
        <v>1083</v>
      </c>
    </row>
    <row r="75" spans="9:37" x14ac:dyDescent="0.25">
      <c r="I75" t="s">
        <v>3</v>
      </c>
      <c r="J75" t="s">
        <v>794</v>
      </c>
      <c r="K75" t="s">
        <v>35</v>
      </c>
      <c r="L75" t="s">
        <v>412</v>
      </c>
      <c r="AA75">
        <v>5</v>
      </c>
      <c r="AB75">
        <f>AF23</f>
        <v>7.3599999999999994</v>
      </c>
      <c r="AC75">
        <v>2</v>
      </c>
      <c r="AD75">
        <v>1</v>
      </c>
      <c r="AE75">
        <v>0</v>
      </c>
      <c r="AF75">
        <f>AN23</f>
        <v>8</v>
      </c>
      <c r="AG75">
        <f t="shared" ref="AG75:AG88" si="73">AU23</f>
        <v>24</v>
      </c>
      <c r="AH75">
        <f t="shared" ref="AH75:AH88" si="74">AZ23</f>
        <v>4</v>
      </c>
      <c r="AI75">
        <f t="shared" ref="AI75:AI88" si="75">AC23*AD23*2+AD23*0.3*2+AE23*AD23+AC23*AE23*2*AE23*0.3*2</f>
        <v>22.6</v>
      </c>
      <c r="AJ75">
        <f>AI75</f>
        <v>22.6</v>
      </c>
      <c r="AK75">
        <f t="shared" ref="AK75:AK88" si="76">BB23</f>
        <v>5.497787143782138</v>
      </c>
    </row>
    <row r="76" spans="9:37" x14ac:dyDescent="0.25">
      <c r="I76" t="s">
        <v>1057</v>
      </c>
      <c r="J76">
        <v>24.4</v>
      </c>
      <c r="K76" t="s">
        <v>1058</v>
      </c>
      <c r="L76" s="35">
        <v>44483</v>
      </c>
      <c r="AA76">
        <v>10</v>
      </c>
      <c r="AB76">
        <f t="shared" ref="AB76:AB87" si="77">AF24</f>
        <v>14.310563498826877</v>
      </c>
      <c r="AC76">
        <v>2</v>
      </c>
      <c r="AD76">
        <v>1</v>
      </c>
      <c r="AE76">
        <v>0</v>
      </c>
      <c r="AF76">
        <f t="shared" ref="AF76:AF88" si="78">AN24</f>
        <v>8</v>
      </c>
      <c r="AG76">
        <f t="shared" si="73"/>
        <v>28</v>
      </c>
      <c r="AH76">
        <f t="shared" si="74"/>
        <v>4</v>
      </c>
      <c r="AI76">
        <f t="shared" si="75"/>
        <v>34.95188623284114</v>
      </c>
      <c r="AJ76">
        <f t="shared" ref="AJ76:AJ88" si="79">AI76</f>
        <v>34.95188623284114</v>
      </c>
      <c r="AK76">
        <f t="shared" si="76"/>
        <v>9.9959766250584323</v>
      </c>
    </row>
    <row r="77" spans="9:37" x14ac:dyDescent="0.25">
      <c r="I77" t="s">
        <v>1064</v>
      </c>
      <c r="J77">
        <v>42.86</v>
      </c>
      <c r="K77" t="s">
        <v>1063</v>
      </c>
      <c r="L77" s="35">
        <v>44483</v>
      </c>
      <c r="AA77">
        <v>20</v>
      </c>
      <c r="AB77">
        <f t="shared" si="77"/>
        <v>28.226189861972866</v>
      </c>
      <c r="AC77">
        <v>2</v>
      </c>
      <c r="AD77">
        <v>1</v>
      </c>
      <c r="AE77">
        <v>0</v>
      </c>
      <c r="AF77">
        <f t="shared" si="78"/>
        <v>12</v>
      </c>
      <c r="AG77">
        <f t="shared" si="73"/>
        <v>56</v>
      </c>
      <c r="AH77">
        <f t="shared" si="74"/>
        <v>8</v>
      </c>
      <c r="AI77">
        <f t="shared" si="75"/>
        <v>55.355909852531951</v>
      </c>
      <c r="AJ77">
        <f t="shared" si="79"/>
        <v>55.355909852531951</v>
      </c>
      <c r="AK77">
        <f t="shared" si="76"/>
        <v>19.991953250116865</v>
      </c>
    </row>
    <row r="78" spans="9:37" x14ac:dyDescent="0.25">
      <c r="I78" t="s">
        <v>1065</v>
      </c>
      <c r="J78">
        <v>46.63</v>
      </c>
      <c r="K78" t="s">
        <v>1066</v>
      </c>
      <c r="L78" s="35">
        <v>44483</v>
      </c>
      <c r="AA78">
        <v>30</v>
      </c>
      <c r="AB78">
        <f t="shared" si="77"/>
        <v>42.076839325333189</v>
      </c>
      <c r="AC78">
        <v>2</v>
      </c>
      <c r="AD78">
        <v>1</v>
      </c>
      <c r="AE78">
        <v>0</v>
      </c>
      <c r="AF78">
        <f t="shared" si="78"/>
        <v>12</v>
      </c>
      <c r="AG78">
        <f t="shared" si="73"/>
        <v>56</v>
      </c>
      <c r="AH78">
        <f t="shared" si="74"/>
        <v>8</v>
      </c>
      <c r="AI78">
        <f t="shared" si="75"/>
        <v>73.550718879510399</v>
      </c>
      <c r="AJ78">
        <f t="shared" si="79"/>
        <v>73.550718879510399</v>
      </c>
      <c r="AK78">
        <f t="shared" si="76"/>
        <v>29.987929875175293</v>
      </c>
    </row>
    <row r="79" spans="9:37" x14ac:dyDescent="0.25">
      <c r="AA79">
        <v>50</v>
      </c>
      <c r="AB79">
        <f t="shared" si="77"/>
        <v>69.68937490470698</v>
      </c>
      <c r="AC79">
        <v>2</v>
      </c>
      <c r="AD79">
        <v>1</v>
      </c>
      <c r="AE79">
        <v>0</v>
      </c>
      <c r="AF79">
        <f t="shared" si="78"/>
        <v>12</v>
      </c>
      <c r="AG79">
        <f t="shared" si="73"/>
        <v>56</v>
      </c>
      <c r="AH79">
        <f t="shared" si="74"/>
        <v>8</v>
      </c>
      <c r="AI79">
        <f t="shared" si="75"/>
        <v>106.92238312367434</v>
      </c>
      <c r="AJ79">
        <f t="shared" si="79"/>
        <v>106.92238312367434</v>
      </c>
      <c r="AK79">
        <f t="shared" si="76"/>
        <v>49.979883125292154</v>
      </c>
    </row>
    <row r="80" spans="9:37" x14ac:dyDescent="0.25">
      <c r="AA80">
        <v>75</v>
      </c>
      <c r="AB80">
        <f t="shared" si="77"/>
        <v>104.11909963741726</v>
      </c>
      <c r="AC80">
        <v>2</v>
      </c>
      <c r="AD80">
        <v>1</v>
      </c>
      <c r="AE80">
        <v>0</v>
      </c>
      <c r="AF80">
        <f t="shared" si="78"/>
        <v>16</v>
      </c>
      <c r="AG80">
        <f t="shared" si="73"/>
        <v>84</v>
      </c>
      <c r="AH80">
        <f t="shared" si="74"/>
        <v>12</v>
      </c>
      <c r="AI80">
        <f t="shared" si="75"/>
        <v>145.71484221764152</v>
      </c>
      <c r="AJ80">
        <f t="shared" si="79"/>
        <v>145.71484221764152</v>
      </c>
      <c r="AK80">
        <f t="shared" si="76"/>
        <v>74.969824687938242</v>
      </c>
    </row>
    <row r="81" spans="9:37" x14ac:dyDescent="0.25">
      <c r="I81" t="s">
        <v>1047</v>
      </c>
      <c r="AA81">
        <v>100</v>
      </c>
      <c r="AB81">
        <f t="shared" si="77"/>
        <v>138.49564352719247</v>
      </c>
      <c r="AC81">
        <v>2</v>
      </c>
      <c r="AD81">
        <v>1</v>
      </c>
      <c r="AE81">
        <v>0</v>
      </c>
      <c r="AF81">
        <f t="shared" si="78"/>
        <v>16</v>
      </c>
      <c r="AG81">
        <f t="shared" si="73"/>
        <v>84</v>
      </c>
      <c r="AH81">
        <f t="shared" si="74"/>
        <v>12</v>
      </c>
      <c r="AI81">
        <f t="shared" si="75"/>
        <v>182.69915265181663</v>
      </c>
      <c r="AJ81">
        <f t="shared" si="79"/>
        <v>182.69915265181663</v>
      </c>
      <c r="AK81">
        <f t="shared" si="76"/>
        <v>99.959766250584323</v>
      </c>
    </row>
    <row r="82" spans="9:37" x14ac:dyDescent="0.25">
      <c r="I82">
        <v>3.1</v>
      </c>
      <c r="J82" t="s">
        <v>1067</v>
      </c>
      <c r="AA82">
        <v>200</v>
      </c>
      <c r="AB82">
        <f t="shared" si="77"/>
        <v>275.74238617305031</v>
      </c>
      <c r="AC82">
        <v>2</v>
      </c>
      <c r="AD82">
        <v>1</v>
      </c>
      <c r="AE82">
        <v>0</v>
      </c>
      <c r="AF82">
        <f t="shared" si="78"/>
        <v>20</v>
      </c>
      <c r="AG82">
        <f t="shared" si="73"/>
        <v>112</v>
      </c>
      <c r="AH82">
        <f t="shared" si="74"/>
        <v>16</v>
      </c>
      <c r="AI82">
        <f t="shared" si="75"/>
        <v>321.81567533825779</v>
      </c>
      <c r="AJ82">
        <f t="shared" si="79"/>
        <v>321.81567533825779</v>
      </c>
      <c r="AK82">
        <f t="shared" si="76"/>
        <v>199.91953250116862</v>
      </c>
    </row>
    <row r="83" spans="9:37" x14ac:dyDescent="0.25">
      <c r="I83" t="s">
        <v>3</v>
      </c>
      <c r="J83" t="s">
        <v>794</v>
      </c>
      <c r="K83" t="s">
        <v>35</v>
      </c>
      <c r="L83" t="s">
        <v>412</v>
      </c>
      <c r="AA83">
        <v>300</v>
      </c>
      <c r="AB83">
        <f t="shared" si="77"/>
        <v>412.78365382028909</v>
      </c>
      <c r="AC83">
        <v>2</v>
      </c>
      <c r="AD83">
        <v>1</v>
      </c>
      <c r="AE83">
        <v>0</v>
      </c>
      <c r="AF83">
        <f t="shared" si="78"/>
        <v>24</v>
      </c>
      <c r="AG83">
        <f t="shared" si="73"/>
        <v>140</v>
      </c>
      <c r="AH83">
        <f t="shared" si="74"/>
        <v>20</v>
      </c>
      <c r="AI83">
        <f t="shared" si="75"/>
        <v>453.94604807164671</v>
      </c>
      <c r="AJ83">
        <f t="shared" si="79"/>
        <v>453.94604807164671</v>
      </c>
      <c r="AK83">
        <f t="shared" si="76"/>
        <v>299.87929875175297</v>
      </c>
    </row>
    <row r="84" spans="9:37" x14ac:dyDescent="0.25">
      <c r="I84" t="s">
        <v>1057</v>
      </c>
      <c r="J84">
        <v>24.4</v>
      </c>
      <c r="K84" t="s">
        <v>1058</v>
      </c>
      <c r="L84" s="35">
        <v>44483</v>
      </c>
      <c r="AA84">
        <v>400</v>
      </c>
      <c r="AB84">
        <f t="shared" si="77"/>
        <v>549.71855978165775</v>
      </c>
      <c r="AC84">
        <v>2</v>
      </c>
      <c r="AD84">
        <v>1</v>
      </c>
      <c r="AE84">
        <v>0</v>
      </c>
      <c r="AF84">
        <f t="shared" si="78"/>
        <v>24</v>
      </c>
      <c r="AG84">
        <f t="shared" si="73"/>
        <v>140</v>
      </c>
      <c r="AH84">
        <f t="shared" si="74"/>
        <v>20</v>
      </c>
      <c r="AI84">
        <f t="shared" si="75"/>
        <v>582.46012348545139</v>
      </c>
      <c r="AJ84">
        <f t="shared" si="79"/>
        <v>582.46012348545139</v>
      </c>
      <c r="AK84">
        <f t="shared" si="76"/>
        <v>399.83906500233729</v>
      </c>
    </row>
    <row r="85" spans="9:37" x14ac:dyDescent="0.25">
      <c r="I85" t="s">
        <v>1064</v>
      </c>
      <c r="J85">
        <v>42.86</v>
      </c>
      <c r="K85" s="4" t="s">
        <v>1063</v>
      </c>
      <c r="L85" s="35">
        <v>44483</v>
      </c>
      <c r="AA85">
        <v>500</v>
      </c>
      <c r="AB85">
        <f t="shared" si="77"/>
        <v>686.58549476440976</v>
      </c>
      <c r="AC85">
        <v>2</v>
      </c>
      <c r="AD85">
        <v>1</v>
      </c>
      <c r="AE85">
        <v>0</v>
      </c>
      <c r="AF85">
        <f t="shared" si="78"/>
        <v>28</v>
      </c>
      <c r="AG85">
        <f t="shared" si="73"/>
        <v>168</v>
      </c>
      <c r="AH85">
        <f t="shared" si="74"/>
        <v>24</v>
      </c>
      <c r="AI85">
        <f t="shared" si="75"/>
        <v>708.66318562629613</v>
      </c>
      <c r="AJ85">
        <f t="shared" si="79"/>
        <v>708.66318562629613</v>
      </c>
      <c r="AK85">
        <f t="shared" si="76"/>
        <v>499.79883125292162</v>
      </c>
    </row>
    <row r="86" spans="9:37" x14ac:dyDescent="0.25">
      <c r="I86" t="s">
        <v>1065</v>
      </c>
      <c r="J86">
        <v>46.63</v>
      </c>
      <c r="K86" s="4" t="s">
        <v>1066</v>
      </c>
      <c r="L86" s="35">
        <v>44483</v>
      </c>
      <c r="AA86">
        <v>600</v>
      </c>
      <c r="AB86">
        <f t="shared" si="77"/>
        <v>823.40414786048905</v>
      </c>
      <c r="AC86">
        <v>2</v>
      </c>
      <c r="AD86">
        <v>1</v>
      </c>
      <c r="AE86">
        <v>0</v>
      </c>
      <c r="AF86">
        <f t="shared" si="78"/>
        <v>28</v>
      </c>
      <c r="AG86">
        <f t="shared" si="73"/>
        <v>168</v>
      </c>
      <c r="AH86">
        <f t="shared" si="74"/>
        <v>24</v>
      </c>
      <c r="AI86">
        <f t="shared" si="75"/>
        <v>833.22466362026626</v>
      </c>
      <c r="AJ86">
        <f t="shared" si="79"/>
        <v>833.22466362026626</v>
      </c>
      <c r="AK86">
        <f t="shared" si="76"/>
        <v>599.75859750350594</v>
      </c>
    </row>
    <row r="87" spans="9:37" x14ac:dyDescent="0.25">
      <c r="AA87">
        <v>800</v>
      </c>
      <c r="AB87">
        <f t="shared" si="77"/>
        <v>1096.939317800646</v>
      </c>
      <c r="AC87">
        <v>2</v>
      </c>
      <c r="AD87">
        <v>1</v>
      </c>
      <c r="AE87">
        <v>0</v>
      </c>
      <c r="AF87">
        <f t="shared" si="78"/>
        <v>32</v>
      </c>
      <c r="AG87">
        <f t="shared" si="73"/>
        <v>196</v>
      </c>
      <c r="AH87">
        <f t="shared" si="74"/>
        <v>28</v>
      </c>
      <c r="AI87">
        <f t="shared" si="75"/>
        <v>1078.8749870401518</v>
      </c>
      <c r="AJ87">
        <f t="shared" si="79"/>
        <v>1078.8749870401518</v>
      </c>
      <c r="AK87">
        <f t="shared" si="76"/>
        <v>799.67813000467447</v>
      </c>
    </row>
    <row r="88" spans="9:37" x14ac:dyDescent="0.25">
      <c r="AA88">
        <v>1000</v>
      </c>
      <c r="AB88">
        <f>AF36</f>
        <v>1370.378362260996</v>
      </c>
      <c r="AC88">
        <v>2</v>
      </c>
      <c r="AD88">
        <v>1</v>
      </c>
      <c r="AE88">
        <v>0</v>
      </c>
      <c r="AF88">
        <f t="shared" si="78"/>
        <v>36</v>
      </c>
      <c r="AG88">
        <f t="shared" si="73"/>
        <v>224</v>
      </c>
      <c r="AH88">
        <f t="shared" si="74"/>
        <v>32</v>
      </c>
      <c r="AI88">
        <f t="shared" si="75"/>
        <v>1321.2570441465932</v>
      </c>
      <c r="AJ88">
        <f t="shared" si="79"/>
        <v>1321.2570441465932</v>
      </c>
      <c r="AK88">
        <f t="shared" si="76"/>
        <v>999.59766250584335</v>
      </c>
    </row>
    <row r="89" spans="9:37" x14ac:dyDescent="0.25">
      <c r="I89" t="s">
        <v>1068</v>
      </c>
      <c r="J89">
        <f>J69</f>
        <v>11.94</v>
      </c>
      <c r="K89" t="s">
        <v>1057</v>
      </c>
      <c r="L89" t="s">
        <v>1058</v>
      </c>
      <c r="M89" s="35">
        <v>44483</v>
      </c>
    </row>
    <row r="90" spans="9:37" x14ac:dyDescent="0.25">
      <c r="I90" t="s">
        <v>1069</v>
      </c>
      <c r="J90">
        <v>24.4</v>
      </c>
      <c r="K90" t="s">
        <v>1057</v>
      </c>
      <c r="L90" s="4" t="s">
        <v>1058</v>
      </c>
      <c r="M90" s="35">
        <v>44483</v>
      </c>
    </row>
    <row r="91" spans="9:37" x14ac:dyDescent="0.25">
      <c r="I91" t="s">
        <v>1075</v>
      </c>
      <c r="J91">
        <f>R62</f>
        <v>9.24</v>
      </c>
      <c r="K91" t="s">
        <v>1057</v>
      </c>
      <c r="L91" t="s">
        <v>1070</v>
      </c>
      <c r="M91" s="35">
        <v>44483</v>
      </c>
    </row>
    <row r="92" spans="9:37" x14ac:dyDescent="0.25">
      <c r="I92" t="s">
        <v>1076</v>
      </c>
      <c r="J92">
        <v>6.83</v>
      </c>
      <c r="K92" t="s">
        <v>1057</v>
      </c>
      <c r="L92" t="s">
        <v>1070</v>
      </c>
      <c r="M92" s="35">
        <v>44483</v>
      </c>
    </row>
    <row r="94" spans="9:37" x14ac:dyDescent="0.25">
      <c r="AA94" t="s">
        <v>564</v>
      </c>
    </row>
    <row r="96" spans="9:37" x14ac:dyDescent="0.25">
      <c r="AA96" t="s">
        <v>156</v>
      </c>
      <c r="AB96" t="s">
        <v>14</v>
      </c>
      <c r="AC96" t="s">
        <v>766</v>
      </c>
      <c r="AD96" t="s">
        <v>1084</v>
      </c>
      <c r="AE96" t="s">
        <v>1068</v>
      </c>
      <c r="AF96" t="s">
        <v>1069</v>
      </c>
      <c r="AG96" t="s">
        <v>1080</v>
      </c>
      <c r="AH96" t="s">
        <v>1081</v>
      </c>
      <c r="AI96" t="s">
        <v>112</v>
      </c>
      <c r="AJ96" t="s">
        <v>1082</v>
      </c>
      <c r="AK96" t="s">
        <v>1083</v>
      </c>
    </row>
    <row r="97" spans="27:37" x14ac:dyDescent="0.25">
      <c r="AA97">
        <v>5</v>
      </c>
      <c r="AB97">
        <f>AF41</f>
        <v>3.8939387691339817</v>
      </c>
      <c r="AE97">
        <f>AN41</f>
        <v>8</v>
      </c>
      <c r="AF97">
        <v>0</v>
      </c>
      <c r="AG97">
        <f t="shared" ref="AG97:AG110" si="80">AU41</f>
        <v>12</v>
      </c>
      <c r="AH97">
        <f t="shared" ref="AH97:AH110" si="81">AZ41</f>
        <v>4</v>
      </c>
      <c r="AI97">
        <f t="shared" ref="AI97:AI110" si="82">AC41*AD41*2+AD41*0.3*2+AE41*AD41+AC41*AE41*2*AE41*0.3*2</f>
        <v>14.731156235874893</v>
      </c>
      <c r="AJ97">
        <f>AI97</f>
        <v>14.731156235874893</v>
      </c>
      <c r="AK97">
        <f t="shared" ref="AK97:AK110" si="83">BB41</f>
        <v>3.6651914291880918</v>
      </c>
    </row>
    <row r="98" spans="27:37" x14ac:dyDescent="0.25">
      <c r="AA98">
        <v>10</v>
      </c>
      <c r="AB98">
        <f t="shared" ref="AB98:AB110" si="84">AF42</f>
        <v>7.2949131128046156</v>
      </c>
      <c r="AE98">
        <v>0</v>
      </c>
      <c r="AF98">
        <f t="shared" ref="AF98:AF110" si="85">AN42</f>
        <v>8</v>
      </c>
      <c r="AG98">
        <f t="shared" si="80"/>
        <v>26</v>
      </c>
      <c r="AH98">
        <f t="shared" si="81"/>
        <v>2</v>
      </c>
      <c r="AI98">
        <f t="shared" si="82"/>
        <v>22.783409471720525</v>
      </c>
      <c r="AJ98">
        <f t="shared" ref="AJ98:AJ110" si="86">AI98</f>
        <v>22.783409471720525</v>
      </c>
      <c r="AK98">
        <f t="shared" si="83"/>
        <v>4.9979883125292162</v>
      </c>
    </row>
    <row r="99" spans="27:37" x14ac:dyDescent="0.25">
      <c r="AA99">
        <v>20</v>
      </c>
      <c r="AB99">
        <f t="shared" si="84"/>
        <v>14.310563498826877</v>
      </c>
      <c r="AE99">
        <v>0</v>
      </c>
      <c r="AF99">
        <f t="shared" si="85"/>
        <v>8</v>
      </c>
      <c r="AG99">
        <f t="shared" si="80"/>
        <v>26</v>
      </c>
      <c r="AH99">
        <f t="shared" si="81"/>
        <v>2</v>
      </c>
      <c r="AI99">
        <f t="shared" si="82"/>
        <v>34.95188623284114</v>
      </c>
      <c r="AJ99">
        <f t="shared" si="86"/>
        <v>34.95188623284114</v>
      </c>
      <c r="AK99">
        <f t="shared" si="83"/>
        <v>9.9959766250584323</v>
      </c>
    </row>
    <row r="100" spans="27:37" x14ac:dyDescent="0.25">
      <c r="AA100">
        <v>30</v>
      </c>
      <c r="AB100">
        <f t="shared" si="84"/>
        <v>21.280268278390224</v>
      </c>
      <c r="AE100">
        <v>0</v>
      </c>
      <c r="AF100">
        <f t="shared" si="85"/>
        <v>8</v>
      </c>
      <c r="AG100">
        <f t="shared" si="80"/>
        <v>26</v>
      </c>
      <c r="AH100">
        <f t="shared" si="81"/>
        <v>2</v>
      </c>
      <c r="AI100">
        <f t="shared" si="82"/>
        <v>45.558212374358561</v>
      </c>
      <c r="AJ100">
        <f t="shared" si="86"/>
        <v>45.558212374358561</v>
      </c>
      <c r="AK100">
        <f t="shared" si="83"/>
        <v>14.99396493758765</v>
      </c>
    </row>
    <row r="101" spans="27:37" x14ac:dyDescent="0.25">
      <c r="AA101">
        <v>50</v>
      </c>
      <c r="AB101">
        <f t="shared" si="84"/>
        <v>35.156912672687149</v>
      </c>
      <c r="AE101">
        <v>0</v>
      </c>
      <c r="AF101">
        <f t="shared" si="85"/>
        <v>12</v>
      </c>
      <c r="AG101">
        <f t="shared" si="80"/>
        <v>52</v>
      </c>
      <c r="AH101">
        <f t="shared" si="81"/>
        <v>4</v>
      </c>
      <c r="AI101">
        <f t="shared" si="82"/>
        <v>64.636849053181052</v>
      </c>
      <c r="AJ101">
        <f t="shared" si="86"/>
        <v>64.636849053181052</v>
      </c>
      <c r="AK101">
        <f t="shared" si="83"/>
        <v>24.989941562646081</v>
      </c>
    </row>
    <row r="102" spans="27:37" x14ac:dyDescent="0.25">
      <c r="AA102">
        <v>75</v>
      </c>
      <c r="AB102">
        <f t="shared" si="84"/>
        <v>52.441946056031355</v>
      </c>
      <c r="AE102">
        <v>0</v>
      </c>
      <c r="AF102">
        <f t="shared" si="85"/>
        <v>12</v>
      </c>
      <c r="AG102">
        <f t="shared" si="80"/>
        <v>52</v>
      </c>
      <c r="AH102">
        <f t="shared" si="81"/>
        <v>4</v>
      </c>
      <c r="AI102">
        <f t="shared" si="82"/>
        <v>86.418893177793834</v>
      </c>
      <c r="AJ102">
        <f t="shared" si="86"/>
        <v>86.418893177793834</v>
      </c>
      <c r="AK102">
        <f t="shared" si="83"/>
        <v>37.484912343969121</v>
      </c>
    </row>
    <row r="103" spans="27:37" x14ac:dyDescent="0.25">
      <c r="AA103">
        <v>100</v>
      </c>
      <c r="AB103">
        <f t="shared" si="84"/>
        <v>69.68937490470698</v>
      </c>
      <c r="AE103">
        <v>0</v>
      </c>
      <c r="AF103">
        <f t="shared" si="85"/>
        <v>12</v>
      </c>
      <c r="AG103">
        <f t="shared" si="80"/>
        <v>52</v>
      </c>
      <c r="AH103">
        <f t="shared" si="81"/>
        <v>4</v>
      </c>
      <c r="AI103">
        <f t="shared" si="82"/>
        <v>106.92238312367434</v>
      </c>
      <c r="AJ103">
        <f t="shared" si="86"/>
        <v>106.92238312367434</v>
      </c>
      <c r="AK103">
        <f t="shared" si="83"/>
        <v>49.979883125292154</v>
      </c>
    </row>
    <row r="104" spans="27:37" x14ac:dyDescent="0.25">
      <c r="AA104">
        <v>200</v>
      </c>
      <c r="AB104">
        <f t="shared" si="84"/>
        <v>138.49564352719247</v>
      </c>
      <c r="AE104">
        <v>0</v>
      </c>
      <c r="AF104">
        <f t="shared" si="85"/>
        <v>16</v>
      </c>
      <c r="AG104">
        <f t="shared" si="80"/>
        <v>78</v>
      </c>
      <c r="AH104">
        <f t="shared" si="81"/>
        <v>6</v>
      </c>
      <c r="AI104">
        <f t="shared" si="82"/>
        <v>182.69915265181663</v>
      </c>
      <c r="AJ104">
        <f t="shared" si="86"/>
        <v>182.69915265181663</v>
      </c>
      <c r="AK104">
        <f t="shared" si="83"/>
        <v>99.959766250584323</v>
      </c>
    </row>
    <row r="105" spans="27:37" x14ac:dyDescent="0.25">
      <c r="AA105">
        <v>300</v>
      </c>
      <c r="AB105">
        <f t="shared" si="84"/>
        <v>207.15661938478996</v>
      </c>
      <c r="AE105">
        <v>0</v>
      </c>
      <c r="AF105">
        <f t="shared" si="85"/>
        <v>16</v>
      </c>
      <c r="AG105">
        <f t="shared" si="80"/>
        <v>78</v>
      </c>
      <c r="AH105">
        <f t="shared" si="81"/>
        <v>6</v>
      </c>
      <c r="AI105">
        <f t="shared" si="82"/>
        <v>253.5359681737695</v>
      </c>
      <c r="AJ105">
        <f t="shared" si="86"/>
        <v>253.5359681737695</v>
      </c>
      <c r="AK105">
        <f t="shared" si="83"/>
        <v>149.93964937587648</v>
      </c>
    </row>
    <row r="106" spans="27:37" x14ac:dyDescent="0.25">
      <c r="AA106">
        <v>400</v>
      </c>
      <c r="AB106">
        <f t="shared" si="84"/>
        <v>275.74238617305031</v>
      </c>
      <c r="AE106">
        <v>0</v>
      </c>
      <c r="AF106">
        <f t="shared" si="85"/>
        <v>20</v>
      </c>
      <c r="AG106">
        <f t="shared" si="80"/>
        <v>104</v>
      </c>
      <c r="AH106">
        <f t="shared" si="81"/>
        <v>8</v>
      </c>
      <c r="AI106">
        <f t="shared" si="82"/>
        <v>321.81567533825779</v>
      </c>
      <c r="AJ106">
        <f t="shared" si="86"/>
        <v>321.81567533825779</v>
      </c>
      <c r="AK106">
        <f t="shared" si="83"/>
        <v>199.91953250116862</v>
      </c>
    </row>
    <row r="107" spans="27:37" x14ac:dyDescent="0.25">
      <c r="AA107">
        <v>500</v>
      </c>
      <c r="AB107">
        <f t="shared" si="84"/>
        <v>344.28009022140714</v>
      </c>
      <c r="AE107">
        <v>0</v>
      </c>
      <c r="AF107">
        <f t="shared" si="85"/>
        <v>20</v>
      </c>
      <c r="AG107">
        <f t="shared" si="80"/>
        <v>104</v>
      </c>
      <c r="AH107">
        <f t="shared" si="81"/>
        <v>8</v>
      </c>
      <c r="AI107">
        <f t="shared" si="82"/>
        <v>388.46124934602386</v>
      </c>
      <c r="AJ107">
        <f t="shared" si="86"/>
        <v>388.46124934602386</v>
      </c>
      <c r="AK107">
        <f t="shared" si="83"/>
        <v>249.89941562646084</v>
      </c>
    </row>
    <row r="108" spans="27:37" x14ac:dyDescent="0.25">
      <c r="AA108">
        <v>600</v>
      </c>
      <c r="AB108">
        <f t="shared" si="84"/>
        <v>412.78365382028909</v>
      </c>
      <c r="AE108">
        <v>0</v>
      </c>
      <c r="AF108">
        <f t="shared" si="85"/>
        <v>24</v>
      </c>
      <c r="AG108">
        <f t="shared" si="80"/>
        <v>130</v>
      </c>
      <c r="AH108">
        <f t="shared" si="81"/>
        <v>10</v>
      </c>
      <c r="AI108">
        <f t="shared" si="82"/>
        <v>453.94604807164671</v>
      </c>
      <c r="AJ108">
        <f t="shared" si="86"/>
        <v>453.94604807164671</v>
      </c>
      <c r="AK108">
        <f t="shared" si="83"/>
        <v>299.87929875175297</v>
      </c>
    </row>
    <row r="109" spans="27:37" x14ac:dyDescent="0.25">
      <c r="AA109">
        <v>800</v>
      </c>
      <c r="AB109">
        <f t="shared" si="84"/>
        <v>549.71855978165775</v>
      </c>
      <c r="AE109">
        <v>0</v>
      </c>
      <c r="AF109">
        <f t="shared" si="85"/>
        <v>24</v>
      </c>
      <c r="AG109">
        <f t="shared" si="80"/>
        <v>130</v>
      </c>
      <c r="AH109">
        <f t="shared" si="81"/>
        <v>10</v>
      </c>
      <c r="AI109">
        <f t="shared" si="82"/>
        <v>582.46012348545139</v>
      </c>
      <c r="AJ109">
        <f t="shared" si="86"/>
        <v>582.46012348545139</v>
      </c>
      <c r="AK109">
        <f t="shared" si="83"/>
        <v>399.83906500233729</v>
      </c>
    </row>
    <row r="110" spans="27:37" x14ac:dyDescent="0.25">
      <c r="AA110">
        <v>1000</v>
      </c>
      <c r="AB110">
        <f t="shared" si="84"/>
        <v>686.58549476440976</v>
      </c>
      <c r="AE110">
        <v>0</v>
      </c>
      <c r="AF110">
        <f t="shared" si="85"/>
        <v>28</v>
      </c>
      <c r="AG110">
        <f t="shared" si="80"/>
        <v>156</v>
      </c>
      <c r="AH110">
        <f t="shared" si="81"/>
        <v>12</v>
      </c>
      <c r="AI110">
        <f t="shared" si="82"/>
        <v>708.66318562629613</v>
      </c>
      <c r="AJ110">
        <f t="shared" si="86"/>
        <v>708.66318562629613</v>
      </c>
      <c r="AK110">
        <f t="shared" si="83"/>
        <v>499.79883125292162</v>
      </c>
    </row>
  </sheetData>
  <hyperlinks>
    <hyperlink ref="L90" r:id="rId1" xr:uid="{A2FB8332-5B58-478D-9B44-11FD7BC1472B}"/>
    <hyperlink ref="K85" r:id="rId2" xr:uid="{0123DDF5-3016-43E5-8D01-D25661D5A1F4}"/>
    <hyperlink ref="K86" r:id="rId3" xr:uid="{42CE2A93-2DC8-4CAE-B192-30F13638BA74}"/>
    <hyperlink ref="S64" r:id="rId4" xr:uid="{100A85AF-0A1C-4C80-86AC-7AAF16E04334}"/>
    <hyperlink ref="S63" r:id="rId5" xr:uid="{E820699A-45C7-445B-81D9-1124FF73CF9B}"/>
    <hyperlink ref="S62" r:id="rId6" xr:uid="{3B2694D1-28D1-4598-BD1A-E4614BB7C340}"/>
  </hyperlinks>
  <pageMargins left="0.7" right="0.7" top="0.75" bottom="0.75" header="0.3" footer="0.3"/>
  <pageSetup paperSize="9" orientation="portrait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Quoting</vt:lpstr>
      <vt:lpstr>Flow and Constent</vt:lpstr>
      <vt:lpstr>Index</vt:lpstr>
      <vt:lpstr>CPI</vt:lpstr>
      <vt:lpstr>Wet Well</vt:lpstr>
      <vt:lpstr>Fencing</vt:lpstr>
      <vt:lpstr>Septic Tank Design</vt:lpstr>
      <vt:lpstr>SAF - Design</vt:lpstr>
      <vt:lpstr>ABR Design</vt:lpstr>
      <vt:lpstr>Sectional GRP Tanks</vt:lpstr>
      <vt:lpstr>GRP Costing</vt:lpstr>
      <vt:lpstr>Wetland Design</vt:lpstr>
      <vt:lpstr>Wetland Operation</vt:lpstr>
      <vt:lpstr>Sheet1</vt:lpstr>
      <vt:lpstr>Septic Tank - BS</vt:lpstr>
      <vt:lpstr>STS</vt:lpstr>
      <vt:lpstr>SAF</vt:lpstr>
      <vt:lpstr>SAF-mk2</vt:lpstr>
      <vt:lpstr>ABR-T</vt:lpstr>
      <vt:lpstr>ABR-Exca</vt:lpstr>
      <vt:lpstr>VF</vt:lpstr>
      <vt:lpstr>AHF</vt:lpstr>
      <vt:lpstr>Pumping</vt:lpstr>
      <vt:lpstr>Hedge Fencing</vt:lpstr>
      <vt:lpstr>nth</vt:lpstr>
      <vt:lpstr>STS Summary</vt:lpstr>
      <vt:lpstr>SAF Summary</vt:lpstr>
      <vt:lpstr>ABR Summary</vt:lpstr>
      <vt:lpstr>Wetland Summary</vt:lpstr>
      <vt:lpstr>ABR-Wetland</vt:lpstr>
      <vt:lpstr>Initial Comparison</vt:lpstr>
      <vt:lpstr>10 NPV</vt:lpstr>
      <vt:lpstr>METland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Gareth Brown</dc:creator>
  <cp:lastModifiedBy>Gareth Brown</cp:lastModifiedBy>
  <dcterms:created xsi:type="dcterms:W3CDTF">2021-02-15T14:23:05Z</dcterms:created>
  <dcterms:modified xsi:type="dcterms:W3CDTF">2022-12-12T15:34:12Z</dcterms:modified>
</cp:coreProperties>
</file>